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70" yWindow="180" windowWidth="7700" windowHeight="8830" tabRatio="871"/>
  </bookViews>
  <sheets>
    <sheet name="Net Payment" sheetId="86" r:id="rId1"/>
    <sheet name="Charter Schools" sheetId="87" r:id="rId2"/>
    <sheet name="0054" sheetId="36" r:id="rId3"/>
    <sheet name="0642" sheetId="37" r:id="rId4"/>
    <sheet name="0664" sheetId="38" r:id="rId5"/>
    <sheet name="1461" sheetId="39" r:id="rId6"/>
    <sheet name="1571" sheetId="40" r:id="rId7"/>
    <sheet name="2521" sheetId="41" r:id="rId8"/>
    <sheet name="2531" sheetId="42" r:id="rId9"/>
    <sheet name="2641" sheetId="43" r:id="rId10"/>
    <sheet name="2661" sheetId="44" r:id="rId11"/>
    <sheet name="2791" sheetId="45" r:id="rId12"/>
    <sheet name="2801" sheetId="46" r:id="rId13"/>
    <sheet name="2911" sheetId="47" r:id="rId14"/>
    <sheet name="2941" sheetId="48" r:id="rId15"/>
    <sheet name="3083" sheetId="49" r:id="rId16"/>
    <sheet name="3344" sheetId="50" r:id="rId17"/>
    <sheet name="3345" sheetId="51" r:id="rId18"/>
    <sheet name="3347" sheetId="52" r:id="rId19"/>
    <sheet name="3381" sheetId="53" r:id="rId20"/>
    <sheet name="3382" sheetId="54" r:id="rId21"/>
    <sheet name="3384" sheetId="55" r:id="rId22"/>
    <sheet name="3385" sheetId="56" r:id="rId23"/>
    <sheet name="3386" sheetId="57" r:id="rId24"/>
    <sheet name="3391" sheetId="58" r:id="rId25"/>
    <sheet name="3392" sheetId="59" r:id="rId26"/>
    <sheet name="3394" sheetId="60" r:id="rId27"/>
    <sheet name="3395" sheetId="61" r:id="rId28"/>
    <sheet name="3396" sheetId="62" r:id="rId29"/>
    <sheet name="3398" sheetId="63" r:id="rId30"/>
    <sheet name="3400" sheetId="64" r:id="rId31"/>
    <sheet name="3401" sheetId="65" r:id="rId32"/>
    <sheet name="3411" sheetId="66" r:id="rId33"/>
    <sheet name="3413" sheetId="67" r:id="rId34"/>
    <sheet name="3421" sheetId="68" r:id="rId35"/>
    <sheet name="3431" sheetId="69" r:id="rId36"/>
    <sheet name="3441" sheetId="90" r:id="rId37"/>
    <sheet name="3443" sheetId="70" r:id="rId38"/>
    <sheet name="3941" sheetId="71" r:id="rId39"/>
    <sheet name="3961" sheetId="73" r:id="rId40"/>
    <sheet name="3971" sheetId="74" r:id="rId41"/>
    <sheet name="4000" sheetId="75" r:id="rId42"/>
    <sheet name="4010" sheetId="77" r:id="rId43"/>
    <sheet name="4002" sheetId="76" r:id="rId44"/>
    <sheet name="4012" sheetId="78" r:id="rId45"/>
    <sheet name="4013" sheetId="79" r:id="rId46"/>
    <sheet name="4020" sheetId="80" r:id="rId47"/>
    <sheet name="4037" sheetId="81" r:id="rId48"/>
    <sheet name="4040" sheetId="83" r:id="rId49"/>
    <sheet name="4041" sheetId="91" r:id="rId50"/>
  </sheets>
  <definedNames>
    <definedName name="_1.__2009_10_FEFP_State_and_Local_Funding" localSheetId="2">'0054'!$B$6</definedName>
    <definedName name="_1.__2009_10_FEFP_State_and_Local_Funding" localSheetId="3">'0642'!$B$6</definedName>
    <definedName name="_1.__2009_10_FEFP_State_and_Local_Funding" localSheetId="4">'0664'!$B$6</definedName>
    <definedName name="_1.__2009_10_FEFP_State_and_Local_Funding" localSheetId="5">'1461'!$B$6</definedName>
    <definedName name="_1.__2009_10_FEFP_State_and_Local_Funding" localSheetId="6">'1571'!$B$6</definedName>
    <definedName name="_1.__2009_10_FEFP_State_and_Local_Funding" localSheetId="7">'2521'!$B$6</definedName>
    <definedName name="_1.__2009_10_FEFP_State_and_Local_Funding" localSheetId="8">'2531'!$B$6</definedName>
    <definedName name="_1.__2009_10_FEFP_State_and_Local_Funding" localSheetId="9">'2641'!$B$6</definedName>
    <definedName name="_1.__2009_10_FEFP_State_and_Local_Funding" localSheetId="10">'2661'!$B$6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'3344'!$B$6</definedName>
    <definedName name="_1.__2009_10_FEFP_State_and_Local_Funding" localSheetId="17">'3345'!$B$6</definedName>
    <definedName name="_1.__2009_10_FEFP_State_and_Local_Funding" localSheetId="18">'3347'!$B$6</definedName>
    <definedName name="_1.__2009_10_FEFP_State_and_Local_Funding" localSheetId="19">'3381'!$B$6</definedName>
    <definedName name="_1.__2009_10_FEFP_State_and_Local_Funding" localSheetId="20">'3382'!$B$6</definedName>
    <definedName name="_1.__2009_10_FEFP_State_and_Local_Funding" localSheetId="21">'3384'!$B$6</definedName>
    <definedName name="_1.__2009_10_FEFP_State_and_Local_Funding" localSheetId="22">'3385'!$B$6</definedName>
    <definedName name="_1.__2009_10_FEFP_State_and_Local_Funding" localSheetId="23">'3386'!$B$6</definedName>
    <definedName name="_1.__2009_10_FEFP_State_and_Local_Funding" localSheetId="24">'3391'!$B$6</definedName>
    <definedName name="_1.__2009_10_FEFP_State_and_Local_Funding" localSheetId="25">'3392'!$B$6</definedName>
    <definedName name="_1.__2009_10_FEFP_State_and_Local_Funding" localSheetId="26">'3394'!$B$6</definedName>
    <definedName name="_1.__2009_10_FEFP_State_and_Local_Funding" localSheetId="27">'3395'!$B$6</definedName>
    <definedName name="_1.__2009_10_FEFP_State_and_Local_Funding" localSheetId="28">'3396'!$B$6</definedName>
    <definedName name="_1.__2009_10_FEFP_State_and_Local_Funding" localSheetId="29">'3398'!$B$6</definedName>
    <definedName name="_1.__2009_10_FEFP_State_and_Local_Funding" localSheetId="30">'3400'!$B$6</definedName>
    <definedName name="_1.__2009_10_FEFP_State_and_Local_Funding" localSheetId="31">'3401'!$B$6</definedName>
    <definedName name="_1.__2009_10_FEFP_State_and_Local_Funding" localSheetId="32">'3411'!$B$6</definedName>
    <definedName name="_1.__2009_10_FEFP_State_and_Local_Funding" localSheetId="33">'3413'!$B$6</definedName>
    <definedName name="_1.__2009_10_FEFP_State_and_Local_Funding" localSheetId="34">'3421'!$B$6</definedName>
    <definedName name="_1.__2009_10_FEFP_State_and_Local_Funding" localSheetId="35">'3431'!$B$6</definedName>
    <definedName name="_1.__2009_10_FEFP_State_and_Local_Funding" localSheetId="36">'3441'!$B$6</definedName>
    <definedName name="_1.__2009_10_FEFP_State_and_Local_Funding" localSheetId="37">'3443'!$B$6</definedName>
    <definedName name="_1.__2009_10_FEFP_State_and_Local_Funding" localSheetId="38">'3941'!$B$6</definedName>
    <definedName name="_1.__2009_10_FEFP_State_and_Local_Funding" localSheetId="39">'3961'!$B$6</definedName>
    <definedName name="_1.__2009_10_FEFP_State_and_Local_Funding" localSheetId="40">'3971'!$B$6</definedName>
    <definedName name="_1.__2009_10_FEFP_State_and_Local_Funding" localSheetId="41">'4000'!$B$6</definedName>
    <definedName name="_1.__2009_10_FEFP_State_and_Local_Funding" localSheetId="43">'4002'!$B$6</definedName>
    <definedName name="_1.__2009_10_FEFP_State_and_Local_Funding" localSheetId="42">'4010'!$B$6</definedName>
    <definedName name="_1.__2009_10_FEFP_State_and_Local_Funding" localSheetId="44">'4012'!$B$6</definedName>
    <definedName name="_1.__2009_10_FEFP_State_and_Local_Funding" localSheetId="45">'4013'!$B$6</definedName>
    <definedName name="_1.__2009_10_FEFP_State_and_Local_Funding" localSheetId="46">'4020'!$B$6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#REF!</definedName>
    <definedName name="_1.__2010_11_FEFP_State_and_Local_Funding" localSheetId="2">'0054'!$B$6</definedName>
    <definedName name="_1.__2010_11_FEFP_State_and_Local_Funding" localSheetId="3">'0642'!$B$6</definedName>
    <definedName name="_1.__2010_11_FEFP_State_and_Local_Funding" localSheetId="4">'0664'!$B$6</definedName>
    <definedName name="_1.__2010_11_FEFP_State_and_Local_Funding" localSheetId="5">'1461'!$B$6</definedName>
    <definedName name="_1.__2010_11_FEFP_State_and_Local_Funding" localSheetId="6">'1571'!$B$6</definedName>
    <definedName name="_1.__2010_11_FEFP_State_and_Local_Funding" localSheetId="7">'2521'!$B$6</definedName>
    <definedName name="_1.__2010_11_FEFP_State_and_Local_Funding" localSheetId="8">'2531'!$B$6</definedName>
    <definedName name="_1.__2010_11_FEFP_State_and_Local_Funding" localSheetId="9">'2641'!$B$6</definedName>
    <definedName name="_1.__2010_11_FEFP_State_and_Local_Funding" localSheetId="10">'2661'!$B$6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'3344'!$B$6</definedName>
    <definedName name="_1.__2010_11_FEFP_State_and_Local_Funding" localSheetId="17">'3345'!$B$6</definedName>
    <definedName name="_1.__2010_11_FEFP_State_and_Local_Funding" localSheetId="18">'3347'!$B$6</definedName>
    <definedName name="_1.__2010_11_FEFP_State_and_Local_Funding" localSheetId="19">'3381'!$B$6</definedName>
    <definedName name="_1.__2010_11_FEFP_State_and_Local_Funding" localSheetId="20">'3382'!$B$6</definedName>
    <definedName name="_1.__2010_11_FEFP_State_and_Local_Funding" localSheetId="21">'3384'!$B$6</definedName>
    <definedName name="_1.__2010_11_FEFP_State_and_Local_Funding" localSheetId="22">'3385'!$B$6</definedName>
    <definedName name="_1.__2010_11_FEFP_State_and_Local_Funding" localSheetId="23">'3386'!$B$6</definedName>
    <definedName name="_1.__2010_11_FEFP_State_and_Local_Funding" localSheetId="24">'3391'!$B$6</definedName>
    <definedName name="_1.__2010_11_FEFP_State_and_Local_Funding" localSheetId="25">'3392'!$B$6</definedName>
    <definedName name="_1.__2010_11_FEFP_State_and_Local_Funding" localSheetId="26">'3394'!$B$6</definedName>
    <definedName name="_1.__2010_11_FEFP_State_and_Local_Funding" localSheetId="27">'3395'!$B$6</definedName>
    <definedName name="_1.__2010_11_FEFP_State_and_Local_Funding" localSheetId="28">'3396'!$B$6</definedName>
    <definedName name="_1.__2010_11_FEFP_State_and_Local_Funding" localSheetId="29">'3398'!$B$6</definedName>
    <definedName name="_1.__2010_11_FEFP_State_and_Local_Funding" localSheetId="30">'3400'!$B$6</definedName>
    <definedName name="_1.__2010_11_FEFP_State_and_Local_Funding" localSheetId="31">'3401'!$B$6</definedName>
    <definedName name="_1.__2010_11_FEFP_State_and_Local_Funding" localSheetId="32">'3411'!$B$6</definedName>
    <definedName name="_1.__2010_11_FEFP_State_and_Local_Funding" localSheetId="33">'3413'!$B$6</definedName>
    <definedName name="_1.__2010_11_FEFP_State_and_Local_Funding" localSheetId="34">'3421'!$B$6</definedName>
    <definedName name="_1.__2010_11_FEFP_State_and_Local_Funding" localSheetId="35">'3431'!$B$6</definedName>
    <definedName name="_1.__2010_11_FEFP_State_and_Local_Funding" localSheetId="36">'3441'!$B$6</definedName>
    <definedName name="_1.__2010_11_FEFP_State_and_Local_Funding" localSheetId="37">'3443'!$B$6</definedName>
    <definedName name="_1.__2010_11_FEFP_State_and_Local_Funding" localSheetId="38">'3941'!$B$6</definedName>
    <definedName name="_1.__2010_11_FEFP_State_and_Local_Funding" localSheetId="39">'3961'!$B$6</definedName>
    <definedName name="_1.__2010_11_FEFP_State_and_Local_Funding" localSheetId="40">'3971'!$B$6</definedName>
    <definedName name="_1.__2010_11_FEFP_State_and_Local_Funding" localSheetId="41">'4000'!$B$6</definedName>
    <definedName name="_1.__2010_11_FEFP_State_and_Local_Funding" localSheetId="43">'4002'!$B$6</definedName>
    <definedName name="_1.__2010_11_FEFP_State_and_Local_Funding" localSheetId="42">'4010'!$B$6</definedName>
    <definedName name="_1.__2010_11_FEFP_State_and_Local_Funding" localSheetId="44">'4012'!$B$6</definedName>
    <definedName name="_1.__2010_11_FEFP_State_and_Local_Funding" localSheetId="45">'4013'!$B$6</definedName>
    <definedName name="_1.__2010_11_FEFP_State_and_Local_Funding" localSheetId="46">'4020'!$B$6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#REF!</definedName>
    <definedName name="_101_Basic_K_3" localSheetId="2">'0054'!$B$10</definedName>
    <definedName name="_101_Basic_K_3" localSheetId="3">'0642'!$B$10</definedName>
    <definedName name="_101_Basic_K_3" localSheetId="4">'0664'!$B$10</definedName>
    <definedName name="_101_Basic_K_3" localSheetId="5">'1461'!$B$10</definedName>
    <definedName name="_101_Basic_K_3" localSheetId="6">'1571'!$B$10</definedName>
    <definedName name="_101_Basic_K_3" localSheetId="7">'2521'!$B$10</definedName>
    <definedName name="_101_Basic_K_3" localSheetId="8">'2531'!$B$10</definedName>
    <definedName name="_101_Basic_K_3" localSheetId="9">'2641'!$B$10</definedName>
    <definedName name="_101_Basic_K_3" localSheetId="10">'2661'!$B$10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'3344'!$B$10</definedName>
    <definedName name="_101_Basic_K_3" localSheetId="17">'3345'!$B$10</definedName>
    <definedName name="_101_Basic_K_3" localSheetId="18">'3347'!$B$10</definedName>
    <definedName name="_101_Basic_K_3" localSheetId="19">'3381'!$B$10</definedName>
    <definedName name="_101_Basic_K_3" localSheetId="20">'3382'!$B$10</definedName>
    <definedName name="_101_Basic_K_3" localSheetId="21">'3384'!$B$10</definedName>
    <definedName name="_101_Basic_K_3" localSheetId="22">'3385'!$B$10</definedName>
    <definedName name="_101_Basic_K_3" localSheetId="23">'3386'!$B$10</definedName>
    <definedName name="_101_Basic_K_3" localSheetId="24">'3391'!$B$10</definedName>
    <definedName name="_101_Basic_K_3" localSheetId="25">'3392'!$B$10</definedName>
    <definedName name="_101_Basic_K_3" localSheetId="26">'3394'!$B$10</definedName>
    <definedName name="_101_Basic_K_3" localSheetId="27">'3395'!$B$10</definedName>
    <definedName name="_101_Basic_K_3" localSheetId="28">'3396'!$B$10</definedName>
    <definedName name="_101_Basic_K_3" localSheetId="29">'3398'!$B$10</definedName>
    <definedName name="_101_Basic_K_3" localSheetId="30">'3400'!$B$10</definedName>
    <definedName name="_101_Basic_K_3" localSheetId="31">'3401'!$B$10</definedName>
    <definedName name="_101_Basic_K_3" localSheetId="32">'3411'!$B$10</definedName>
    <definedName name="_101_Basic_K_3" localSheetId="33">'3413'!$B$10</definedName>
    <definedName name="_101_Basic_K_3" localSheetId="34">'3421'!$B$10</definedName>
    <definedName name="_101_Basic_K_3" localSheetId="35">'3431'!$B$10</definedName>
    <definedName name="_101_Basic_K_3" localSheetId="36">'3441'!$B$10</definedName>
    <definedName name="_101_Basic_K_3" localSheetId="37">'3443'!$B$10</definedName>
    <definedName name="_101_Basic_K_3" localSheetId="38">'3941'!$B$10</definedName>
    <definedName name="_101_Basic_K_3" localSheetId="39">'3961'!$B$10</definedName>
    <definedName name="_101_Basic_K_3" localSheetId="40">'3971'!$B$10</definedName>
    <definedName name="_101_Basic_K_3" localSheetId="41">'4000'!$B$10</definedName>
    <definedName name="_101_Basic_K_3" localSheetId="43">'4002'!$B$10</definedName>
    <definedName name="_101_Basic_K_3" localSheetId="42">'4010'!$B$10</definedName>
    <definedName name="_101_Basic_K_3" localSheetId="44">'4012'!$B$10</definedName>
    <definedName name="_101_Basic_K_3" localSheetId="45">'4013'!$B$10</definedName>
    <definedName name="_101_Basic_K_3" localSheetId="46">'4020'!$B$10</definedName>
    <definedName name="_101_Basic_K_3" localSheetId="47">'4037'!$B$10</definedName>
    <definedName name="_101_Basic_K_3" localSheetId="48">#REF!</definedName>
    <definedName name="_101_Basic_K_3" localSheetId="49">'4041'!$B$10</definedName>
    <definedName name="_101_Basic_K_3">#REF!</definedName>
    <definedName name="_102_Basic_4_8" localSheetId="2">'0054'!$B$12</definedName>
    <definedName name="_102_Basic_4_8" localSheetId="3">'0642'!$B$12</definedName>
    <definedName name="_102_Basic_4_8" localSheetId="4">'0664'!$B$12</definedName>
    <definedName name="_102_Basic_4_8" localSheetId="5">'1461'!$B$12</definedName>
    <definedName name="_102_Basic_4_8" localSheetId="6">'1571'!$B$12</definedName>
    <definedName name="_102_Basic_4_8" localSheetId="7">'2521'!$B$12</definedName>
    <definedName name="_102_Basic_4_8" localSheetId="8">'2531'!$B$12</definedName>
    <definedName name="_102_Basic_4_8" localSheetId="9">'2641'!$B$12</definedName>
    <definedName name="_102_Basic_4_8" localSheetId="10">'2661'!$B$12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'3344'!$B$12</definedName>
    <definedName name="_102_Basic_4_8" localSheetId="17">'3345'!$B$12</definedName>
    <definedName name="_102_Basic_4_8" localSheetId="18">'3347'!$B$12</definedName>
    <definedName name="_102_Basic_4_8" localSheetId="19">'3381'!$B$12</definedName>
    <definedName name="_102_Basic_4_8" localSheetId="20">'3382'!$B$12</definedName>
    <definedName name="_102_Basic_4_8" localSheetId="21">'3384'!$B$12</definedName>
    <definedName name="_102_Basic_4_8" localSheetId="22">'3385'!$B$12</definedName>
    <definedName name="_102_Basic_4_8" localSheetId="23">'3386'!$B$12</definedName>
    <definedName name="_102_Basic_4_8" localSheetId="24">'3391'!$B$12</definedName>
    <definedName name="_102_Basic_4_8" localSheetId="25">'3392'!$B$12</definedName>
    <definedName name="_102_Basic_4_8" localSheetId="26">'3394'!$B$12</definedName>
    <definedName name="_102_Basic_4_8" localSheetId="27">'3395'!$B$12</definedName>
    <definedName name="_102_Basic_4_8" localSheetId="28">'3396'!$B$12</definedName>
    <definedName name="_102_Basic_4_8" localSheetId="29">'3398'!$B$12</definedName>
    <definedName name="_102_Basic_4_8" localSheetId="30">'3400'!$B$12</definedName>
    <definedName name="_102_Basic_4_8" localSheetId="31">'3401'!$B$12</definedName>
    <definedName name="_102_Basic_4_8" localSheetId="32">'3411'!$B$12</definedName>
    <definedName name="_102_Basic_4_8" localSheetId="33">'3413'!$B$12</definedName>
    <definedName name="_102_Basic_4_8" localSheetId="34">'3421'!$B$12</definedName>
    <definedName name="_102_Basic_4_8" localSheetId="35">'3431'!$B$12</definedName>
    <definedName name="_102_Basic_4_8" localSheetId="36">'3441'!$B$12</definedName>
    <definedName name="_102_Basic_4_8" localSheetId="37">'3443'!$B$12</definedName>
    <definedName name="_102_Basic_4_8" localSheetId="38">'3941'!$B$12</definedName>
    <definedName name="_102_Basic_4_8" localSheetId="39">'3961'!$B$12</definedName>
    <definedName name="_102_Basic_4_8" localSheetId="40">'3971'!$B$12</definedName>
    <definedName name="_102_Basic_4_8" localSheetId="41">'4000'!$B$12</definedName>
    <definedName name="_102_Basic_4_8" localSheetId="43">'4002'!$B$12</definedName>
    <definedName name="_102_Basic_4_8" localSheetId="42">'4010'!$B$12</definedName>
    <definedName name="_102_Basic_4_8" localSheetId="44">'4012'!$B$12</definedName>
    <definedName name="_102_Basic_4_8" localSheetId="45">'4013'!$B$12</definedName>
    <definedName name="_102_Basic_4_8" localSheetId="46">'4020'!$B$12</definedName>
    <definedName name="_102_Basic_4_8" localSheetId="47">'4037'!$B$12</definedName>
    <definedName name="_102_Basic_4_8" localSheetId="48">#REF!</definedName>
    <definedName name="_102_Basic_4_8" localSheetId="49">'4041'!$B$12</definedName>
    <definedName name="_102_Basic_4_8">#REF!</definedName>
    <definedName name="_103_Basic_9_12" localSheetId="2">'0054'!$B$14</definedName>
    <definedName name="_103_Basic_9_12" localSheetId="3">'0642'!$B$14</definedName>
    <definedName name="_103_Basic_9_12" localSheetId="4">'0664'!$B$14</definedName>
    <definedName name="_103_Basic_9_12" localSheetId="5">'1461'!$B$14</definedName>
    <definedName name="_103_Basic_9_12" localSheetId="6">'1571'!$B$14</definedName>
    <definedName name="_103_Basic_9_12" localSheetId="7">'2521'!$B$14</definedName>
    <definedName name="_103_Basic_9_12" localSheetId="8">'2531'!$B$14</definedName>
    <definedName name="_103_Basic_9_12" localSheetId="9">'2641'!$B$14</definedName>
    <definedName name="_103_Basic_9_12" localSheetId="10">'2661'!$B$14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'3344'!$B$14</definedName>
    <definedName name="_103_Basic_9_12" localSheetId="17">'3345'!$B$14</definedName>
    <definedName name="_103_Basic_9_12" localSheetId="18">'3347'!$B$14</definedName>
    <definedName name="_103_Basic_9_12" localSheetId="19">'3381'!$B$14</definedName>
    <definedName name="_103_Basic_9_12" localSheetId="20">'3382'!$B$14</definedName>
    <definedName name="_103_Basic_9_12" localSheetId="21">'3384'!$B$14</definedName>
    <definedName name="_103_Basic_9_12" localSheetId="22">'3385'!$B$14</definedName>
    <definedName name="_103_Basic_9_12" localSheetId="23">'3386'!$B$14</definedName>
    <definedName name="_103_Basic_9_12" localSheetId="24">'3391'!$B$14</definedName>
    <definedName name="_103_Basic_9_12" localSheetId="25">'3392'!$B$14</definedName>
    <definedName name="_103_Basic_9_12" localSheetId="26">'3394'!$B$14</definedName>
    <definedName name="_103_Basic_9_12" localSheetId="27">'3395'!$B$14</definedName>
    <definedName name="_103_Basic_9_12" localSheetId="28">'3396'!$B$14</definedName>
    <definedName name="_103_Basic_9_12" localSheetId="29">'3398'!$B$14</definedName>
    <definedName name="_103_Basic_9_12" localSheetId="30">'3400'!$B$14</definedName>
    <definedName name="_103_Basic_9_12" localSheetId="31">'3401'!$B$14</definedName>
    <definedName name="_103_Basic_9_12" localSheetId="32">'3411'!$B$14</definedName>
    <definedName name="_103_Basic_9_12" localSheetId="33">'3413'!$B$14</definedName>
    <definedName name="_103_Basic_9_12" localSheetId="34">'3421'!$B$14</definedName>
    <definedName name="_103_Basic_9_12" localSheetId="35">'3431'!$B$14</definedName>
    <definedName name="_103_Basic_9_12" localSheetId="36">'3441'!$B$14</definedName>
    <definedName name="_103_Basic_9_12" localSheetId="37">'3443'!$B$14</definedName>
    <definedName name="_103_Basic_9_12" localSheetId="38">'3941'!$B$14</definedName>
    <definedName name="_103_Basic_9_12" localSheetId="39">'3961'!$B$14</definedName>
    <definedName name="_103_Basic_9_12" localSheetId="40">'3971'!$B$14</definedName>
    <definedName name="_103_Basic_9_12" localSheetId="41">'4000'!$B$14</definedName>
    <definedName name="_103_Basic_9_12" localSheetId="43">'4002'!$B$14</definedName>
    <definedName name="_103_Basic_9_12" localSheetId="42">'4010'!$B$14</definedName>
    <definedName name="_103_Basic_9_12" localSheetId="44">'4012'!$B$14</definedName>
    <definedName name="_103_Basic_9_12" localSheetId="45">'4013'!$B$14</definedName>
    <definedName name="_103_Basic_9_12" localSheetId="46">'4020'!$B$14</definedName>
    <definedName name="_103_Basic_9_12" localSheetId="47">'4037'!$B$14</definedName>
    <definedName name="_103_Basic_9_12" localSheetId="48">#REF!</definedName>
    <definedName name="_103_Basic_9_12" localSheetId="49">'4041'!$B$14</definedName>
    <definedName name="_103_Basic_9_12">#REF!</definedName>
    <definedName name="_111_Basic_K_3_with_ESE_Services" localSheetId="2">'0054'!$B$11</definedName>
    <definedName name="_111_Basic_K_3_with_ESE_Services" localSheetId="3">'0642'!$B$11</definedName>
    <definedName name="_111_Basic_K_3_with_ESE_Services" localSheetId="4">'0664'!$B$11</definedName>
    <definedName name="_111_Basic_K_3_with_ESE_Services" localSheetId="5">'1461'!$B$11</definedName>
    <definedName name="_111_Basic_K_3_with_ESE_Services" localSheetId="6">'1571'!$B$11</definedName>
    <definedName name="_111_Basic_K_3_with_ESE_Services" localSheetId="7">'2521'!$B$11</definedName>
    <definedName name="_111_Basic_K_3_with_ESE_Services" localSheetId="8">'2531'!$B$11</definedName>
    <definedName name="_111_Basic_K_3_with_ESE_Services" localSheetId="9">'2641'!$B$11</definedName>
    <definedName name="_111_Basic_K_3_with_ESE_Services" localSheetId="10">'2661'!$B$11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'3344'!$B$11</definedName>
    <definedName name="_111_Basic_K_3_with_ESE_Services" localSheetId="17">'3345'!$B$11</definedName>
    <definedName name="_111_Basic_K_3_with_ESE_Services" localSheetId="18">'3347'!$B$11</definedName>
    <definedName name="_111_Basic_K_3_with_ESE_Services" localSheetId="19">'3381'!$B$11</definedName>
    <definedName name="_111_Basic_K_3_with_ESE_Services" localSheetId="20">'3382'!$B$11</definedName>
    <definedName name="_111_Basic_K_3_with_ESE_Services" localSheetId="21">'3384'!$B$11</definedName>
    <definedName name="_111_Basic_K_3_with_ESE_Services" localSheetId="22">'3385'!$B$11</definedName>
    <definedName name="_111_Basic_K_3_with_ESE_Services" localSheetId="23">'3386'!$B$11</definedName>
    <definedName name="_111_Basic_K_3_with_ESE_Services" localSheetId="24">'3391'!$B$11</definedName>
    <definedName name="_111_Basic_K_3_with_ESE_Services" localSheetId="25">'3392'!$B$11</definedName>
    <definedName name="_111_Basic_K_3_with_ESE_Services" localSheetId="26">'3394'!$B$11</definedName>
    <definedName name="_111_Basic_K_3_with_ESE_Services" localSheetId="27">'3395'!$B$11</definedName>
    <definedName name="_111_Basic_K_3_with_ESE_Services" localSheetId="28">'3396'!$B$11</definedName>
    <definedName name="_111_Basic_K_3_with_ESE_Services" localSheetId="29">'3398'!$B$11</definedName>
    <definedName name="_111_Basic_K_3_with_ESE_Services" localSheetId="30">'3400'!$B$11</definedName>
    <definedName name="_111_Basic_K_3_with_ESE_Services" localSheetId="31">'3401'!$B$11</definedName>
    <definedName name="_111_Basic_K_3_with_ESE_Services" localSheetId="32">'3411'!$B$11</definedName>
    <definedName name="_111_Basic_K_3_with_ESE_Services" localSheetId="33">'3413'!$B$11</definedName>
    <definedName name="_111_Basic_K_3_with_ESE_Services" localSheetId="34">'3421'!$B$11</definedName>
    <definedName name="_111_Basic_K_3_with_ESE_Services" localSheetId="35">'3431'!$B$11</definedName>
    <definedName name="_111_Basic_K_3_with_ESE_Services" localSheetId="36">'3441'!$B$11</definedName>
    <definedName name="_111_Basic_K_3_with_ESE_Services" localSheetId="37">'3443'!$B$11</definedName>
    <definedName name="_111_Basic_K_3_with_ESE_Services" localSheetId="38">'3941'!$B$11</definedName>
    <definedName name="_111_Basic_K_3_with_ESE_Services" localSheetId="39">'3961'!$B$11</definedName>
    <definedName name="_111_Basic_K_3_with_ESE_Services" localSheetId="40">'3971'!$B$11</definedName>
    <definedName name="_111_Basic_K_3_with_ESE_Services" localSheetId="41">'4000'!$B$11</definedName>
    <definedName name="_111_Basic_K_3_with_ESE_Services" localSheetId="43">'4002'!$B$11</definedName>
    <definedName name="_111_Basic_K_3_with_ESE_Services" localSheetId="42">'4010'!$B$11</definedName>
    <definedName name="_111_Basic_K_3_with_ESE_Services" localSheetId="44">'4012'!$B$11</definedName>
    <definedName name="_111_Basic_K_3_with_ESE_Services" localSheetId="45">'4013'!$B$11</definedName>
    <definedName name="_111_Basic_K_3_with_ESE_Services" localSheetId="46">'4020'!$B$11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#REF!</definedName>
    <definedName name="_112_Basic_4_8_with_ESE_Services" localSheetId="2">'0054'!$B$13</definedName>
    <definedName name="_112_Basic_4_8_with_ESE_Services" localSheetId="3">'0642'!$B$13</definedName>
    <definedName name="_112_Basic_4_8_with_ESE_Services" localSheetId="4">'0664'!$B$13</definedName>
    <definedName name="_112_Basic_4_8_with_ESE_Services" localSheetId="5">'1461'!$B$13</definedName>
    <definedName name="_112_Basic_4_8_with_ESE_Services" localSheetId="6">'1571'!$B$13</definedName>
    <definedName name="_112_Basic_4_8_with_ESE_Services" localSheetId="7">'2521'!$B$13</definedName>
    <definedName name="_112_Basic_4_8_with_ESE_Services" localSheetId="8">'2531'!$B$13</definedName>
    <definedName name="_112_Basic_4_8_with_ESE_Services" localSheetId="9">'2641'!$B$13</definedName>
    <definedName name="_112_Basic_4_8_with_ESE_Services" localSheetId="10">'2661'!$B$13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'3344'!$B$13</definedName>
    <definedName name="_112_Basic_4_8_with_ESE_Services" localSheetId="17">'3345'!$B$13</definedName>
    <definedName name="_112_Basic_4_8_with_ESE_Services" localSheetId="18">'3347'!$B$13</definedName>
    <definedName name="_112_Basic_4_8_with_ESE_Services" localSheetId="19">'3381'!$B$13</definedName>
    <definedName name="_112_Basic_4_8_with_ESE_Services" localSheetId="20">'3382'!$B$13</definedName>
    <definedName name="_112_Basic_4_8_with_ESE_Services" localSheetId="21">'3384'!$B$13</definedName>
    <definedName name="_112_Basic_4_8_with_ESE_Services" localSheetId="22">'3385'!$B$13</definedName>
    <definedName name="_112_Basic_4_8_with_ESE_Services" localSheetId="23">'3386'!$B$13</definedName>
    <definedName name="_112_Basic_4_8_with_ESE_Services" localSheetId="24">'3391'!$B$13</definedName>
    <definedName name="_112_Basic_4_8_with_ESE_Services" localSheetId="25">'3392'!$B$13</definedName>
    <definedName name="_112_Basic_4_8_with_ESE_Services" localSheetId="26">'3394'!$B$13</definedName>
    <definedName name="_112_Basic_4_8_with_ESE_Services" localSheetId="27">'3395'!$B$13</definedName>
    <definedName name="_112_Basic_4_8_with_ESE_Services" localSheetId="28">'3396'!$B$13</definedName>
    <definedName name="_112_Basic_4_8_with_ESE_Services" localSheetId="29">'3398'!$B$13</definedName>
    <definedName name="_112_Basic_4_8_with_ESE_Services" localSheetId="30">'3400'!$B$13</definedName>
    <definedName name="_112_Basic_4_8_with_ESE_Services" localSheetId="31">'3401'!$B$13</definedName>
    <definedName name="_112_Basic_4_8_with_ESE_Services" localSheetId="32">'3411'!$B$13</definedName>
    <definedName name="_112_Basic_4_8_with_ESE_Services" localSheetId="33">'3413'!$B$13</definedName>
    <definedName name="_112_Basic_4_8_with_ESE_Services" localSheetId="34">'3421'!$B$13</definedName>
    <definedName name="_112_Basic_4_8_with_ESE_Services" localSheetId="35">'3431'!$B$13</definedName>
    <definedName name="_112_Basic_4_8_with_ESE_Services" localSheetId="36">'3441'!$B$13</definedName>
    <definedName name="_112_Basic_4_8_with_ESE_Services" localSheetId="37">'3443'!$B$13</definedName>
    <definedName name="_112_Basic_4_8_with_ESE_Services" localSheetId="38">'3941'!$B$13</definedName>
    <definedName name="_112_Basic_4_8_with_ESE_Services" localSheetId="39">'3961'!$B$13</definedName>
    <definedName name="_112_Basic_4_8_with_ESE_Services" localSheetId="40">'3971'!$B$13</definedName>
    <definedName name="_112_Basic_4_8_with_ESE_Services" localSheetId="41">'4000'!$B$13</definedName>
    <definedName name="_112_Basic_4_8_with_ESE_Services" localSheetId="43">'4002'!$B$13</definedName>
    <definedName name="_112_Basic_4_8_with_ESE_Services" localSheetId="42">'4010'!$B$13</definedName>
    <definedName name="_112_Basic_4_8_with_ESE_Services" localSheetId="44">'4012'!$B$13</definedName>
    <definedName name="_112_Basic_4_8_with_ESE_Services" localSheetId="45">'4013'!$B$13</definedName>
    <definedName name="_112_Basic_4_8_with_ESE_Services" localSheetId="46">'4020'!$B$13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#REF!</definedName>
    <definedName name="_113_Basic_9_12_with_ESE_Services" localSheetId="2">'0054'!$B$15</definedName>
    <definedName name="_113_Basic_9_12_with_ESE_Services" localSheetId="3">'0642'!$B$15</definedName>
    <definedName name="_113_Basic_9_12_with_ESE_Services" localSheetId="4">'0664'!$B$15</definedName>
    <definedName name="_113_Basic_9_12_with_ESE_Services" localSheetId="5">'1461'!$B$15</definedName>
    <definedName name="_113_Basic_9_12_with_ESE_Services" localSheetId="6">'1571'!$B$15</definedName>
    <definedName name="_113_Basic_9_12_with_ESE_Services" localSheetId="7">'2521'!$B$15</definedName>
    <definedName name="_113_Basic_9_12_with_ESE_Services" localSheetId="8">'2531'!$B$15</definedName>
    <definedName name="_113_Basic_9_12_with_ESE_Services" localSheetId="9">'2641'!$B$15</definedName>
    <definedName name="_113_Basic_9_12_with_ESE_Services" localSheetId="10">'2661'!$B$15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'3344'!$B$15</definedName>
    <definedName name="_113_Basic_9_12_with_ESE_Services" localSheetId="17">'3345'!$B$15</definedName>
    <definedName name="_113_Basic_9_12_with_ESE_Services" localSheetId="18">'3347'!$B$15</definedName>
    <definedName name="_113_Basic_9_12_with_ESE_Services" localSheetId="19">'3381'!$B$15</definedName>
    <definedName name="_113_Basic_9_12_with_ESE_Services" localSheetId="20">'3382'!$B$15</definedName>
    <definedName name="_113_Basic_9_12_with_ESE_Services" localSheetId="21">'3384'!$B$15</definedName>
    <definedName name="_113_Basic_9_12_with_ESE_Services" localSheetId="22">'3385'!$B$15</definedName>
    <definedName name="_113_Basic_9_12_with_ESE_Services" localSheetId="23">'3386'!$B$15</definedName>
    <definedName name="_113_Basic_9_12_with_ESE_Services" localSheetId="24">'3391'!$B$15</definedName>
    <definedName name="_113_Basic_9_12_with_ESE_Services" localSheetId="25">'3392'!$B$15</definedName>
    <definedName name="_113_Basic_9_12_with_ESE_Services" localSheetId="26">'3394'!$B$15</definedName>
    <definedName name="_113_Basic_9_12_with_ESE_Services" localSheetId="27">'3395'!$B$15</definedName>
    <definedName name="_113_Basic_9_12_with_ESE_Services" localSheetId="28">'3396'!$B$15</definedName>
    <definedName name="_113_Basic_9_12_with_ESE_Services" localSheetId="29">'3398'!$B$15</definedName>
    <definedName name="_113_Basic_9_12_with_ESE_Services" localSheetId="30">'3400'!$B$15</definedName>
    <definedName name="_113_Basic_9_12_with_ESE_Services" localSheetId="31">'3401'!$B$15</definedName>
    <definedName name="_113_Basic_9_12_with_ESE_Services" localSheetId="32">'3411'!$B$15</definedName>
    <definedName name="_113_Basic_9_12_with_ESE_Services" localSheetId="33">'3413'!$B$15</definedName>
    <definedName name="_113_Basic_9_12_with_ESE_Services" localSheetId="34">'3421'!$B$15</definedName>
    <definedName name="_113_Basic_9_12_with_ESE_Services" localSheetId="35">'3431'!$B$15</definedName>
    <definedName name="_113_Basic_9_12_with_ESE_Services" localSheetId="36">'3441'!$B$15</definedName>
    <definedName name="_113_Basic_9_12_with_ESE_Services" localSheetId="37">'3443'!$B$15</definedName>
    <definedName name="_113_Basic_9_12_with_ESE_Services" localSheetId="38">'3941'!$B$15</definedName>
    <definedName name="_113_Basic_9_12_with_ESE_Services" localSheetId="39">'3961'!$B$15</definedName>
    <definedName name="_113_Basic_9_12_with_ESE_Services" localSheetId="40">'3971'!$B$15</definedName>
    <definedName name="_113_Basic_9_12_with_ESE_Services" localSheetId="41">'4000'!$B$15</definedName>
    <definedName name="_113_Basic_9_12_with_ESE_Services" localSheetId="43">'4002'!$B$15</definedName>
    <definedName name="_113_Basic_9_12_with_ESE_Services" localSheetId="42">'4010'!$B$15</definedName>
    <definedName name="_113_Basic_9_12_with_ESE_Services" localSheetId="44">'4012'!$B$15</definedName>
    <definedName name="_113_Basic_9_12_with_ESE_Services" localSheetId="45">'4013'!$B$15</definedName>
    <definedName name="_113_Basic_9_12_with_ESE_Services" localSheetId="46">'4020'!$B$15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#REF!</definedName>
    <definedName name="_130_ESOL__Grade_Level_4_8" localSheetId="2">'0054'!$B$23</definedName>
    <definedName name="_130_ESOL__Grade_Level_4_8" localSheetId="3">'0642'!$B$23</definedName>
    <definedName name="_130_ESOL__Grade_Level_4_8" localSheetId="4">'0664'!$B$23</definedName>
    <definedName name="_130_ESOL__Grade_Level_4_8" localSheetId="5">'1461'!$B$23</definedName>
    <definedName name="_130_ESOL__Grade_Level_4_8" localSheetId="6">'1571'!$B$23</definedName>
    <definedName name="_130_ESOL__Grade_Level_4_8" localSheetId="7">'2521'!$B$23</definedName>
    <definedName name="_130_ESOL__Grade_Level_4_8" localSheetId="8">'2531'!$B$23</definedName>
    <definedName name="_130_ESOL__Grade_Level_4_8" localSheetId="9">'2641'!$B$23</definedName>
    <definedName name="_130_ESOL__Grade_Level_4_8" localSheetId="10">'2661'!$B$23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'3344'!$B$23</definedName>
    <definedName name="_130_ESOL__Grade_Level_4_8" localSheetId="17">'3345'!$B$23</definedName>
    <definedName name="_130_ESOL__Grade_Level_4_8" localSheetId="18">'3347'!$B$23</definedName>
    <definedName name="_130_ESOL__Grade_Level_4_8" localSheetId="19">'3381'!$B$23</definedName>
    <definedName name="_130_ESOL__Grade_Level_4_8" localSheetId="20">'3382'!$B$23</definedName>
    <definedName name="_130_ESOL__Grade_Level_4_8" localSheetId="21">'3384'!$B$23</definedName>
    <definedName name="_130_ESOL__Grade_Level_4_8" localSheetId="22">'3385'!$B$23</definedName>
    <definedName name="_130_ESOL__Grade_Level_4_8" localSheetId="23">'3386'!$B$23</definedName>
    <definedName name="_130_ESOL__Grade_Level_4_8" localSheetId="24">'3391'!$B$23</definedName>
    <definedName name="_130_ESOL__Grade_Level_4_8" localSheetId="25">'3392'!$B$23</definedName>
    <definedName name="_130_ESOL__Grade_Level_4_8" localSheetId="26">'3394'!$B$23</definedName>
    <definedName name="_130_ESOL__Grade_Level_4_8" localSheetId="27">'3395'!$B$23</definedName>
    <definedName name="_130_ESOL__Grade_Level_4_8" localSheetId="28">'3396'!$B$23</definedName>
    <definedName name="_130_ESOL__Grade_Level_4_8" localSheetId="29">'3398'!$B$23</definedName>
    <definedName name="_130_ESOL__Grade_Level_4_8" localSheetId="30">'3400'!$B$23</definedName>
    <definedName name="_130_ESOL__Grade_Level_4_8" localSheetId="31">'3401'!$B$23</definedName>
    <definedName name="_130_ESOL__Grade_Level_4_8" localSheetId="32">'3411'!$B$23</definedName>
    <definedName name="_130_ESOL__Grade_Level_4_8" localSheetId="33">'3413'!$B$23</definedName>
    <definedName name="_130_ESOL__Grade_Level_4_8" localSheetId="34">'3421'!$B$23</definedName>
    <definedName name="_130_ESOL__Grade_Level_4_8" localSheetId="35">'3431'!$B$23</definedName>
    <definedName name="_130_ESOL__Grade_Level_4_8" localSheetId="36">'3441'!$B$23</definedName>
    <definedName name="_130_ESOL__Grade_Level_4_8" localSheetId="37">'3443'!$B$23</definedName>
    <definedName name="_130_ESOL__Grade_Level_4_8" localSheetId="38">'3941'!$B$23</definedName>
    <definedName name="_130_ESOL__Grade_Level_4_8" localSheetId="39">'3961'!$B$23</definedName>
    <definedName name="_130_ESOL__Grade_Level_4_8" localSheetId="40">'3971'!$B$23</definedName>
    <definedName name="_130_ESOL__Grade_Level_4_8" localSheetId="41">'4000'!$B$23</definedName>
    <definedName name="_130_ESOL__Grade_Level_4_8" localSheetId="43">'4002'!$B$23</definedName>
    <definedName name="_130_ESOL__Grade_Level_4_8" localSheetId="42">'4010'!$B$23</definedName>
    <definedName name="_130_ESOL__Grade_Level_4_8" localSheetId="44">'4012'!$B$23</definedName>
    <definedName name="_130_ESOL__Grade_Level_4_8" localSheetId="45">'4013'!$B$23</definedName>
    <definedName name="_130_ESOL__Grade_Level_4_8" localSheetId="46">'4020'!$B$23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#REF!</definedName>
    <definedName name="_130_ESOL__Grade_Level_9_12" localSheetId="2">'0054'!$B$24</definedName>
    <definedName name="_130_ESOL__Grade_Level_9_12" localSheetId="3">'0642'!$B$24</definedName>
    <definedName name="_130_ESOL__Grade_Level_9_12" localSheetId="4">'0664'!$B$24</definedName>
    <definedName name="_130_ESOL__Grade_Level_9_12" localSheetId="5">'1461'!$B$24</definedName>
    <definedName name="_130_ESOL__Grade_Level_9_12" localSheetId="6">'1571'!$B$24</definedName>
    <definedName name="_130_ESOL__Grade_Level_9_12" localSheetId="7">'2521'!$B$24</definedName>
    <definedName name="_130_ESOL__Grade_Level_9_12" localSheetId="8">'2531'!$B$24</definedName>
    <definedName name="_130_ESOL__Grade_Level_9_12" localSheetId="9">'2641'!$B$24</definedName>
    <definedName name="_130_ESOL__Grade_Level_9_12" localSheetId="10">'2661'!$B$24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'3344'!$B$24</definedName>
    <definedName name="_130_ESOL__Grade_Level_9_12" localSheetId="17">'3345'!$B$24</definedName>
    <definedName name="_130_ESOL__Grade_Level_9_12" localSheetId="18">'3347'!$B$24</definedName>
    <definedName name="_130_ESOL__Grade_Level_9_12" localSheetId="19">'3381'!$B$24</definedName>
    <definedName name="_130_ESOL__Grade_Level_9_12" localSheetId="20">'3382'!$B$24</definedName>
    <definedName name="_130_ESOL__Grade_Level_9_12" localSheetId="21">'3384'!$B$24</definedName>
    <definedName name="_130_ESOL__Grade_Level_9_12" localSheetId="22">'3385'!$B$24</definedName>
    <definedName name="_130_ESOL__Grade_Level_9_12" localSheetId="23">'3386'!$B$24</definedName>
    <definedName name="_130_ESOL__Grade_Level_9_12" localSheetId="24">'3391'!$B$24</definedName>
    <definedName name="_130_ESOL__Grade_Level_9_12" localSheetId="25">'3392'!$B$24</definedName>
    <definedName name="_130_ESOL__Grade_Level_9_12" localSheetId="26">'3394'!$B$24</definedName>
    <definedName name="_130_ESOL__Grade_Level_9_12" localSheetId="27">'3395'!$B$24</definedName>
    <definedName name="_130_ESOL__Grade_Level_9_12" localSheetId="28">'3396'!$B$24</definedName>
    <definedName name="_130_ESOL__Grade_Level_9_12" localSheetId="29">'3398'!$B$24</definedName>
    <definedName name="_130_ESOL__Grade_Level_9_12" localSheetId="30">'3400'!$B$24</definedName>
    <definedName name="_130_ESOL__Grade_Level_9_12" localSheetId="31">'3401'!$B$24</definedName>
    <definedName name="_130_ESOL__Grade_Level_9_12" localSheetId="32">'3411'!$B$24</definedName>
    <definedName name="_130_ESOL__Grade_Level_9_12" localSheetId="33">'3413'!$B$24</definedName>
    <definedName name="_130_ESOL__Grade_Level_9_12" localSheetId="34">'3421'!$B$24</definedName>
    <definedName name="_130_ESOL__Grade_Level_9_12" localSheetId="35">'3431'!$B$24</definedName>
    <definedName name="_130_ESOL__Grade_Level_9_12" localSheetId="36">'3441'!$B$24</definedName>
    <definedName name="_130_ESOL__Grade_Level_9_12" localSheetId="37">'3443'!$B$24</definedName>
    <definedName name="_130_ESOL__Grade_Level_9_12" localSheetId="38">'3941'!$B$24</definedName>
    <definedName name="_130_ESOL__Grade_Level_9_12" localSheetId="39">'3961'!$B$24</definedName>
    <definedName name="_130_ESOL__Grade_Level_9_12" localSheetId="40">'3971'!$B$24</definedName>
    <definedName name="_130_ESOL__Grade_Level_9_12" localSheetId="41">'4000'!$B$24</definedName>
    <definedName name="_130_ESOL__Grade_Level_9_12" localSheetId="43">'4002'!$B$24</definedName>
    <definedName name="_130_ESOL__Grade_Level_9_12" localSheetId="42">'4010'!$B$24</definedName>
    <definedName name="_130_ESOL__Grade_Level_9_12" localSheetId="44">'4012'!$B$24</definedName>
    <definedName name="_130_ESOL__Grade_Level_9_12" localSheetId="45">'4013'!$B$24</definedName>
    <definedName name="_130_ESOL__Grade_Level_9_12" localSheetId="46">'4020'!$B$24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#REF!</definedName>
    <definedName name="_130_ESOL__Grade_Level_PK_3" localSheetId="2">'0054'!$B$22</definedName>
    <definedName name="_130_ESOL__Grade_Level_PK_3" localSheetId="3">'0642'!$B$22</definedName>
    <definedName name="_130_ESOL__Grade_Level_PK_3" localSheetId="4">'0664'!$B$22</definedName>
    <definedName name="_130_ESOL__Grade_Level_PK_3" localSheetId="5">'1461'!$B$22</definedName>
    <definedName name="_130_ESOL__Grade_Level_PK_3" localSheetId="6">'1571'!$B$22</definedName>
    <definedName name="_130_ESOL__Grade_Level_PK_3" localSheetId="7">'2521'!$B$22</definedName>
    <definedName name="_130_ESOL__Grade_Level_PK_3" localSheetId="8">'2531'!$B$22</definedName>
    <definedName name="_130_ESOL__Grade_Level_PK_3" localSheetId="9">'2641'!$B$22</definedName>
    <definedName name="_130_ESOL__Grade_Level_PK_3" localSheetId="10">'2661'!$B$22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'3344'!$B$22</definedName>
    <definedName name="_130_ESOL__Grade_Level_PK_3" localSheetId="17">'3345'!$B$22</definedName>
    <definedName name="_130_ESOL__Grade_Level_PK_3" localSheetId="18">'3347'!$B$22</definedName>
    <definedName name="_130_ESOL__Grade_Level_PK_3" localSheetId="19">'3381'!$B$22</definedName>
    <definedName name="_130_ESOL__Grade_Level_PK_3" localSheetId="20">'3382'!$B$22</definedName>
    <definedName name="_130_ESOL__Grade_Level_PK_3" localSheetId="21">'3384'!$B$22</definedName>
    <definedName name="_130_ESOL__Grade_Level_PK_3" localSheetId="22">'3385'!$B$22</definedName>
    <definedName name="_130_ESOL__Grade_Level_PK_3" localSheetId="23">'3386'!$B$22</definedName>
    <definedName name="_130_ESOL__Grade_Level_PK_3" localSheetId="24">'3391'!$B$22</definedName>
    <definedName name="_130_ESOL__Grade_Level_PK_3" localSheetId="25">'3392'!$B$22</definedName>
    <definedName name="_130_ESOL__Grade_Level_PK_3" localSheetId="26">'3394'!$B$22</definedName>
    <definedName name="_130_ESOL__Grade_Level_PK_3" localSheetId="27">'3395'!$B$22</definedName>
    <definedName name="_130_ESOL__Grade_Level_PK_3" localSheetId="28">'3396'!$B$22</definedName>
    <definedName name="_130_ESOL__Grade_Level_PK_3" localSheetId="29">'3398'!$B$22</definedName>
    <definedName name="_130_ESOL__Grade_Level_PK_3" localSheetId="30">'3400'!$B$22</definedName>
    <definedName name="_130_ESOL__Grade_Level_PK_3" localSheetId="31">'3401'!$B$22</definedName>
    <definedName name="_130_ESOL__Grade_Level_PK_3" localSheetId="32">'3411'!$B$22</definedName>
    <definedName name="_130_ESOL__Grade_Level_PK_3" localSheetId="33">'3413'!$B$22</definedName>
    <definedName name="_130_ESOL__Grade_Level_PK_3" localSheetId="34">'3421'!$B$22</definedName>
    <definedName name="_130_ESOL__Grade_Level_PK_3" localSheetId="35">'3431'!$B$22</definedName>
    <definedName name="_130_ESOL__Grade_Level_PK_3" localSheetId="36">'3441'!$B$22</definedName>
    <definedName name="_130_ESOL__Grade_Level_PK_3" localSheetId="37">'3443'!$B$22</definedName>
    <definedName name="_130_ESOL__Grade_Level_PK_3" localSheetId="38">'3941'!$B$22</definedName>
    <definedName name="_130_ESOL__Grade_Level_PK_3" localSheetId="39">'3961'!$B$22</definedName>
    <definedName name="_130_ESOL__Grade_Level_PK_3" localSheetId="40">'3971'!$B$22</definedName>
    <definedName name="_130_ESOL__Grade_Level_PK_3" localSheetId="41">'4000'!$B$22</definedName>
    <definedName name="_130_ESOL__Grade_Level_PK_3" localSheetId="43">'4002'!$B$22</definedName>
    <definedName name="_130_ESOL__Grade_Level_PK_3" localSheetId="42">'4010'!$B$22</definedName>
    <definedName name="_130_ESOL__Grade_Level_PK_3" localSheetId="44">'4012'!$B$22</definedName>
    <definedName name="_130_ESOL__Grade_Level_PK_3" localSheetId="45">'4013'!$B$22</definedName>
    <definedName name="_130_ESOL__Grade_Level_PK_3" localSheetId="46">'4020'!$B$22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#REF!</definedName>
    <definedName name="_2.__ESE_Guaranteed_Allocation" localSheetId="2">'0054'!$B$27</definedName>
    <definedName name="_2.__ESE_Guaranteed_Allocation" localSheetId="3">'0642'!$B$27</definedName>
    <definedName name="_2.__ESE_Guaranteed_Allocation" localSheetId="4">'0664'!$B$27</definedName>
    <definedName name="_2.__ESE_Guaranteed_Allocation" localSheetId="5">'1461'!$B$27</definedName>
    <definedName name="_2.__ESE_Guaranteed_Allocation" localSheetId="6">'1571'!$B$27</definedName>
    <definedName name="_2.__ESE_Guaranteed_Allocation" localSheetId="7">'2521'!$B$27</definedName>
    <definedName name="_2.__ESE_Guaranteed_Allocation" localSheetId="8">'2531'!$B$27</definedName>
    <definedName name="_2.__ESE_Guaranteed_Allocation" localSheetId="9">'2641'!$B$27</definedName>
    <definedName name="_2.__ESE_Guaranteed_Allocation" localSheetId="10">'2661'!$B$27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'3344'!$B$27</definedName>
    <definedName name="_2.__ESE_Guaranteed_Allocation" localSheetId="17">'3345'!$B$27</definedName>
    <definedName name="_2.__ESE_Guaranteed_Allocation" localSheetId="18">'3347'!$B$27</definedName>
    <definedName name="_2.__ESE_Guaranteed_Allocation" localSheetId="19">'3381'!$B$27</definedName>
    <definedName name="_2.__ESE_Guaranteed_Allocation" localSheetId="20">'3382'!$B$27</definedName>
    <definedName name="_2.__ESE_Guaranteed_Allocation" localSheetId="21">'3384'!$B$27</definedName>
    <definedName name="_2.__ESE_Guaranteed_Allocation" localSheetId="22">'3385'!$B$27</definedName>
    <definedName name="_2.__ESE_Guaranteed_Allocation" localSheetId="23">'3386'!$B$27</definedName>
    <definedName name="_2.__ESE_Guaranteed_Allocation" localSheetId="24">'3391'!$B$27</definedName>
    <definedName name="_2.__ESE_Guaranteed_Allocation" localSheetId="25">'3392'!$B$27</definedName>
    <definedName name="_2.__ESE_Guaranteed_Allocation" localSheetId="26">'3394'!$B$27</definedName>
    <definedName name="_2.__ESE_Guaranteed_Allocation" localSheetId="27">'3395'!$B$27</definedName>
    <definedName name="_2.__ESE_Guaranteed_Allocation" localSheetId="28">'3396'!$B$27</definedName>
    <definedName name="_2.__ESE_Guaranteed_Allocation" localSheetId="29">'3398'!$B$27</definedName>
    <definedName name="_2.__ESE_Guaranteed_Allocation" localSheetId="30">'3400'!$B$27</definedName>
    <definedName name="_2.__ESE_Guaranteed_Allocation" localSheetId="31">'3401'!$B$27</definedName>
    <definedName name="_2.__ESE_Guaranteed_Allocation" localSheetId="32">'3411'!$B$27</definedName>
    <definedName name="_2.__ESE_Guaranteed_Allocation" localSheetId="33">'3413'!$B$27</definedName>
    <definedName name="_2.__ESE_Guaranteed_Allocation" localSheetId="34">'3421'!$B$27</definedName>
    <definedName name="_2.__ESE_Guaranteed_Allocation" localSheetId="35">'3431'!$B$27</definedName>
    <definedName name="_2.__ESE_Guaranteed_Allocation" localSheetId="36">'3441'!$B$27</definedName>
    <definedName name="_2.__ESE_Guaranteed_Allocation" localSheetId="37">'3443'!$B$27</definedName>
    <definedName name="_2.__ESE_Guaranteed_Allocation" localSheetId="38">'3941'!$B$27</definedName>
    <definedName name="_2.__ESE_Guaranteed_Allocation" localSheetId="39">'3961'!$B$27</definedName>
    <definedName name="_2.__ESE_Guaranteed_Allocation" localSheetId="40">'3971'!$B$27</definedName>
    <definedName name="_2.__ESE_Guaranteed_Allocation" localSheetId="41">'4000'!$B$27</definedName>
    <definedName name="_2.__ESE_Guaranteed_Allocation" localSheetId="43">'4002'!$B$27</definedName>
    <definedName name="_2.__ESE_Guaranteed_Allocation" localSheetId="42">'4010'!$B$27</definedName>
    <definedName name="_2.__ESE_Guaranteed_Allocation" localSheetId="44">'4012'!$B$27</definedName>
    <definedName name="_2.__ESE_Guaranteed_Allocation" localSheetId="45">'4013'!$B$27</definedName>
    <definedName name="_2.__ESE_Guaranteed_Allocation" localSheetId="46">'4020'!$B$27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#REF!</definedName>
    <definedName name="_2010_11_Base_Funding_WFTE_x_BSA_x_DCD" localSheetId="2">'0054'!$L$8</definedName>
    <definedName name="_2010_11_Base_Funding_WFTE_x_BSA_x_DCD" localSheetId="3">'0642'!$L$8</definedName>
    <definedName name="_2010_11_Base_Funding_WFTE_x_BSA_x_DCD" localSheetId="4">'0664'!$L$8</definedName>
    <definedName name="_2010_11_Base_Funding_WFTE_x_BSA_x_DCD" localSheetId="5">'1461'!$L$8</definedName>
    <definedName name="_2010_11_Base_Funding_WFTE_x_BSA_x_DCD" localSheetId="6">'1571'!$L$8</definedName>
    <definedName name="_2010_11_Base_Funding_WFTE_x_BSA_x_DCD" localSheetId="7">'2521'!$L$8</definedName>
    <definedName name="_2010_11_Base_Funding_WFTE_x_BSA_x_DCD" localSheetId="8">'2531'!$L$8</definedName>
    <definedName name="_2010_11_Base_Funding_WFTE_x_BSA_x_DCD" localSheetId="9">'2641'!$L$8</definedName>
    <definedName name="_2010_11_Base_Funding_WFTE_x_BSA_x_DCD" localSheetId="10">'2661'!$L$8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'3344'!$L$8</definedName>
    <definedName name="_2010_11_Base_Funding_WFTE_x_BSA_x_DCD" localSheetId="17">'3345'!$L$8</definedName>
    <definedName name="_2010_11_Base_Funding_WFTE_x_BSA_x_DCD" localSheetId="18">'3347'!$L$8</definedName>
    <definedName name="_2010_11_Base_Funding_WFTE_x_BSA_x_DCD" localSheetId="19">'3381'!$L$8</definedName>
    <definedName name="_2010_11_Base_Funding_WFTE_x_BSA_x_DCD" localSheetId="20">'3382'!$L$8</definedName>
    <definedName name="_2010_11_Base_Funding_WFTE_x_BSA_x_DCD" localSheetId="21">'3384'!$L$8</definedName>
    <definedName name="_2010_11_Base_Funding_WFTE_x_BSA_x_DCD" localSheetId="22">'3385'!$L$8</definedName>
    <definedName name="_2010_11_Base_Funding_WFTE_x_BSA_x_DCD" localSheetId="23">'3386'!$L$8</definedName>
    <definedName name="_2010_11_Base_Funding_WFTE_x_BSA_x_DCD" localSheetId="24">'3391'!$L$8</definedName>
    <definedName name="_2010_11_Base_Funding_WFTE_x_BSA_x_DCD" localSheetId="25">'3392'!$L$8</definedName>
    <definedName name="_2010_11_Base_Funding_WFTE_x_BSA_x_DCD" localSheetId="26">'3394'!$L$8</definedName>
    <definedName name="_2010_11_Base_Funding_WFTE_x_BSA_x_DCD" localSheetId="27">'3395'!$L$8</definedName>
    <definedName name="_2010_11_Base_Funding_WFTE_x_BSA_x_DCD" localSheetId="28">'3396'!$L$8</definedName>
    <definedName name="_2010_11_Base_Funding_WFTE_x_BSA_x_DCD" localSheetId="29">'3398'!$L$8</definedName>
    <definedName name="_2010_11_Base_Funding_WFTE_x_BSA_x_DCD" localSheetId="30">'3400'!$L$8</definedName>
    <definedName name="_2010_11_Base_Funding_WFTE_x_BSA_x_DCD" localSheetId="31">'3401'!$L$8</definedName>
    <definedName name="_2010_11_Base_Funding_WFTE_x_BSA_x_DCD" localSheetId="32">'3411'!$L$8</definedName>
    <definedName name="_2010_11_Base_Funding_WFTE_x_BSA_x_DCD" localSheetId="33">'3413'!$L$8</definedName>
    <definedName name="_2010_11_Base_Funding_WFTE_x_BSA_x_DCD" localSheetId="34">'3421'!$L$8</definedName>
    <definedName name="_2010_11_Base_Funding_WFTE_x_BSA_x_DCD" localSheetId="35">'3431'!$L$8</definedName>
    <definedName name="_2010_11_Base_Funding_WFTE_x_BSA_x_DCD" localSheetId="36">'3441'!$L$8</definedName>
    <definedName name="_2010_11_Base_Funding_WFTE_x_BSA_x_DCD" localSheetId="37">'3443'!$L$8</definedName>
    <definedName name="_2010_11_Base_Funding_WFTE_x_BSA_x_DCD" localSheetId="38">'3941'!$L$8</definedName>
    <definedName name="_2010_11_Base_Funding_WFTE_x_BSA_x_DCD" localSheetId="39">'3961'!$L$8</definedName>
    <definedName name="_2010_11_Base_Funding_WFTE_x_BSA_x_DCD" localSheetId="40">'3971'!$L$8</definedName>
    <definedName name="_2010_11_Base_Funding_WFTE_x_BSA_x_DCD" localSheetId="41">'4000'!$L$8</definedName>
    <definedName name="_2010_11_Base_Funding_WFTE_x_BSA_x_DCD" localSheetId="43">'4002'!$L$8</definedName>
    <definedName name="_2010_11_Base_Funding_WFTE_x_BSA_x_DCD" localSheetId="42">'4010'!$L$8</definedName>
    <definedName name="_2010_11_Base_Funding_WFTE_x_BSA_x_DCD" localSheetId="44">'4012'!$L$8</definedName>
    <definedName name="_2010_11_Base_Funding_WFTE_x_BSA_x_DCD" localSheetId="45">'4013'!$L$8</definedName>
    <definedName name="_2010_11_Base_Funding_WFTE_x_BSA_x_DCD" localSheetId="46">'4020'!$L$8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#REF!</definedName>
    <definedName name="_254_ESE_Level_4__Grade_Level_4_8" localSheetId="2">'0054'!$B$17</definedName>
    <definedName name="_254_ESE_Level_4__Grade_Level_4_8" localSheetId="3">'0642'!$B$17</definedName>
    <definedName name="_254_ESE_Level_4__Grade_Level_4_8" localSheetId="4">'0664'!$B$17</definedName>
    <definedName name="_254_ESE_Level_4__Grade_Level_4_8" localSheetId="5">'1461'!$B$17</definedName>
    <definedName name="_254_ESE_Level_4__Grade_Level_4_8" localSheetId="6">'1571'!$B$17</definedName>
    <definedName name="_254_ESE_Level_4__Grade_Level_4_8" localSheetId="7">'2521'!$B$17</definedName>
    <definedName name="_254_ESE_Level_4__Grade_Level_4_8" localSheetId="8">'2531'!$B$17</definedName>
    <definedName name="_254_ESE_Level_4__Grade_Level_4_8" localSheetId="9">'2641'!$B$17</definedName>
    <definedName name="_254_ESE_Level_4__Grade_Level_4_8" localSheetId="10">'2661'!$B$17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'3344'!$B$17</definedName>
    <definedName name="_254_ESE_Level_4__Grade_Level_4_8" localSheetId="17">'3345'!$B$17</definedName>
    <definedName name="_254_ESE_Level_4__Grade_Level_4_8" localSheetId="18">'3347'!$B$17</definedName>
    <definedName name="_254_ESE_Level_4__Grade_Level_4_8" localSheetId="19">'3381'!$B$17</definedName>
    <definedName name="_254_ESE_Level_4__Grade_Level_4_8" localSheetId="20">'3382'!$B$17</definedName>
    <definedName name="_254_ESE_Level_4__Grade_Level_4_8" localSheetId="21">'3384'!$B$17</definedName>
    <definedName name="_254_ESE_Level_4__Grade_Level_4_8" localSheetId="22">'3385'!$B$17</definedName>
    <definedName name="_254_ESE_Level_4__Grade_Level_4_8" localSheetId="23">'3386'!$B$17</definedName>
    <definedName name="_254_ESE_Level_4__Grade_Level_4_8" localSheetId="24">'3391'!$B$17</definedName>
    <definedName name="_254_ESE_Level_4__Grade_Level_4_8" localSheetId="25">'3392'!$B$17</definedName>
    <definedName name="_254_ESE_Level_4__Grade_Level_4_8" localSheetId="26">'3394'!$B$17</definedName>
    <definedName name="_254_ESE_Level_4__Grade_Level_4_8" localSheetId="27">'3395'!$B$17</definedName>
    <definedName name="_254_ESE_Level_4__Grade_Level_4_8" localSheetId="28">'3396'!$B$17</definedName>
    <definedName name="_254_ESE_Level_4__Grade_Level_4_8" localSheetId="29">'3398'!$B$17</definedName>
    <definedName name="_254_ESE_Level_4__Grade_Level_4_8" localSheetId="30">'3400'!$B$17</definedName>
    <definedName name="_254_ESE_Level_4__Grade_Level_4_8" localSheetId="31">'3401'!$B$17</definedName>
    <definedName name="_254_ESE_Level_4__Grade_Level_4_8" localSheetId="32">'3411'!$B$17</definedName>
    <definedName name="_254_ESE_Level_4__Grade_Level_4_8" localSheetId="33">'3413'!$B$17</definedName>
    <definedName name="_254_ESE_Level_4__Grade_Level_4_8" localSheetId="34">'3421'!$B$17</definedName>
    <definedName name="_254_ESE_Level_4__Grade_Level_4_8" localSheetId="35">'3431'!$B$17</definedName>
    <definedName name="_254_ESE_Level_4__Grade_Level_4_8" localSheetId="36">'3441'!$B$17</definedName>
    <definedName name="_254_ESE_Level_4__Grade_Level_4_8" localSheetId="37">'3443'!$B$17</definedName>
    <definedName name="_254_ESE_Level_4__Grade_Level_4_8" localSheetId="38">'3941'!$B$17</definedName>
    <definedName name="_254_ESE_Level_4__Grade_Level_4_8" localSheetId="39">'3961'!$B$17</definedName>
    <definedName name="_254_ESE_Level_4__Grade_Level_4_8" localSheetId="40">'3971'!$B$17</definedName>
    <definedName name="_254_ESE_Level_4__Grade_Level_4_8" localSheetId="41">'4000'!$B$17</definedName>
    <definedName name="_254_ESE_Level_4__Grade_Level_4_8" localSheetId="43">'4002'!$B$17</definedName>
    <definedName name="_254_ESE_Level_4__Grade_Level_4_8" localSheetId="42">'4010'!$B$17</definedName>
    <definedName name="_254_ESE_Level_4__Grade_Level_4_8" localSheetId="44">'4012'!$B$17</definedName>
    <definedName name="_254_ESE_Level_4__Grade_Level_4_8" localSheetId="45">'4013'!$B$17</definedName>
    <definedName name="_254_ESE_Level_4__Grade_Level_4_8" localSheetId="46">'4020'!$B$17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#REF!</definedName>
    <definedName name="_254_ESE_Level_4__Grade_Level_9_12" localSheetId="2">'0054'!$B$18</definedName>
    <definedName name="_254_ESE_Level_4__Grade_Level_9_12" localSheetId="3">'0642'!$B$18</definedName>
    <definedName name="_254_ESE_Level_4__Grade_Level_9_12" localSheetId="4">'0664'!$B$18</definedName>
    <definedName name="_254_ESE_Level_4__Grade_Level_9_12" localSheetId="5">'1461'!$B$18</definedName>
    <definedName name="_254_ESE_Level_4__Grade_Level_9_12" localSheetId="6">'1571'!$B$18</definedName>
    <definedName name="_254_ESE_Level_4__Grade_Level_9_12" localSheetId="7">'2521'!$B$18</definedName>
    <definedName name="_254_ESE_Level_4__Grade_Level_9_12" localSheetId="8">'2531'!$B$18</definedName>
    <definedName name="_254_ESE_Level_4__Grade_Level_9_12" localSheetId="9">'2641'!$B$18</definedName>
    <definedName name="_254_ESE_Level_4__Grade_Level_9_12" localSheetId="10">'2661'!$B$18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'3344'!$B$18</definedName>
    <definedName name="_254_ESE_Level_4__Grade_Level_9_12" localSheetId="17">'3345'!$B$18</definedName>
    <definedName name="_254_ESE_Level_4__Grade_Level_9_12" localSheetId="18">'3347'!$B$18</definedName>
    <definedName name="_254_ESE_Level_4__Grade_Level_9_12" localSheetId="19">'3381'!$B$18</definedName>
    <definedName name="_254_ESE_Level_4__Grade_Level_9_12" localSheetId="20">'3382'!$B$18</definedName>
    <definedName name="_254_ESE_Level_4__Grade_Level_9_12" localSheetId="21">'3384'!$B$18</definedName>
    <definedName name="_254_ESE_Level_4__Grade_Level_9_12" localSheetId="22">'3385'!$B$18</definedName>
    <definedName name="_254_ESE_Level_4__Grade_Level_9_12" localSheetId="23">'3386'!$B$18</definedName>
    <definedName name="_254_ESE_Level_4__Grade_Level_9_12" localSheetId="24">'3391'!$B$18</definedName>
    <definedName name="_254_ESE_Level_4__Grade_Level_9_12" localSheetId="25">'3392'!$B$18</definedName>
    <definedName name="_254_ESE_Level_4__Grade_Level_9_12" localSheetId="26">'3394'!$B$18</definedName>
    <definedName name="_254_ESE_Level_4__Grade_Level_9_12" localSheetId="27">'3395'!$B$18</definedName>
    <definedName name="_254_ESE_Level_4__Grade_Level_9_12" localSheetId="28">'3396'!$B$18</definedName>
    <definedName name="_254_ESE_Level_4__Grade_Level_9_12" localSheetId="29">'3398'!$B$18</definedName>
    <definedName name="_254_ESE_Level_4__Grade_Level_9_12" localSheetId="30">'3400'!$B$18</definedName>
    <definedName name="_254_ESE_Level_4__Grade_Level_9_12" localSheetId="31">'3401'!$B$18</definedName>
    <definedName name="_254_ESE_Level_4__Grade_Level_9_12" localSheetId="32">'3411'!$B$18</definedName>
    <definedName name="_254_ESE_Level_4__Grade_Level_9_12" localSheetId="33">'3413'!$B$18</definedName>
    <definedName name="_254_ESE_Level_4__Grade_Level_9_12" localSheetId="34">'3421'!$B$18</definedName>
    <definedName name="_254_ESE_Level_4__Grade_Level_9_12" localSheetId="35">'3431'!$B$18</definedName>
    <definedName name="_254_ESE_Level_4__Grade_Level_9_12" localSheetId="36">'3441'!$B$18</definedName>
    <definedName name="_254_ESE_Level_4__Grade_Level_9_12" localSheetId="37">'3443'!$B$18</definedName>
    <definedName name="_254_ESE_Level_4__Grade_Level_9_12" localSheetId="38">'3941'!$B$18</definedName>
    <definedName name="_254_ESE_Level_4__Grade_Level_9_12" localSheetId="39">'3961'!$B$18</definedName>
    <definedName name="_254_ESE_Level_4__Grade_Level_9_12" localSheetId="40">'3971'!$B$18</definedName>
    <definedName name="_254_ESE_Level_4__Grade_Level_9_12" localSheetId="41">'4000'!$B$18</definedName>
    <definedName name="_254_ESE_Level_4__Grade_Level_9_12" localSheetId="43">'4002'!$B$18</definedName>
    <definedName name="_254_ESE_Level_4__Grade_Level_9_12" localSheetId="42">'4010'!$B$18</definedName>
    <definedName name="_254_ESE_Level_4__Grade_Level_9_12" localSheetId="44">'4012'!$B$18</definedName>
    <definedName name="_254_ESE_Level_4__Grade_Level_9_12" localSheetId="45">'4013'!$B$18</definedName>
    <definedName name="_254_ESE_Level_4__Grade_Level_9_12" localSheetId="46">'4020'!$B$18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#REF!</definedName>
    <definedName name="_254_ESE_Level_4__Grade_Level_PK_3" localSheetId="2">'0054'!$B$16</definedName>
    <definedName name="_254_ESE_Level_4__Grade_Level_PK_3" localSheetId="3">'0642'!$B$16</definedName>
    <definedName name="_254_ESE_Level_4__Grade_Level_PK_3" localSheetId="4">'0664'!$B$16</definedName>
    <definedName name="_254_ESE_Level_4__Grade_Level_PK_3" localSheetId="5">'1461'!$B$16</definedName>
    <definedName name="_254_ESE_Level_4__Grade_Level_PK_3" localSheetId="6">'1571'!$B$16</definedName>
    <definedName name="_254_ESE_Level_4__Grade_Level_PK_3" localSheetId="7">'2521'!$B$16</definedName>
    <definedName name="_254_ESE_Level_4__Grade_Level_PK_3" localSheetId="8">'2531'!$B$16</definedName>
    <definedName name="_254_ESE_Level_4__Grade_Level_PK_3" localSheetId="9">'2641'!$B$16</definedName>
    <definedName name="_254_ESE_Level_4__Grade_Level_PK_3" localSheetId="10">'2661'!$B$16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'3344'!$B$16</definedName>
    <definedName name="_254_ESE_Level_4__Grade_Level_PK_3" localSheetId="17">'3345'!$B$16</definedName>
    <definedName name="_254_ESE_Level_4__Grade_Level_PK_3" localSheetId="18">'3347'!$B$16</definedName>
    <definedName name="_254_ESE_Level_4__Grade_Level_PK_3" localSheetId="19">'3381'!$B$16</definedName>
    <definedName name="_254_ESE_Level_4__Grade_Level_PK_3" localSheetId="20">'3382'!$B$16</definedName>
    <definedName name="_254_ESE_Level_4__Grade_Level_PK_3" localSheetId="21">'3384'!$B$16</definedName>
    <definedName name="_254_ESE_Level_4__Grade_Level_PK_3" localSheetId="22">'3385'!$B$16</definedName>
    <definedName name="_254_ESE_Level_4__Grade_Level_PK_3" localSheetId="23">'3386'!$B$16</definedName>
    <definedName name="_254_ESE_Level_4__Grade_Level_PK_3" localSheetId="24">'3391'!$B$16</definedName>
    <definedName name="_254_ESE_Level_4__Grade_Level_PK_3" localSheetId="25">'3392'!$B$16</definedName>
    <definedName name="_254_ESE_Level_4__Grade_Level_PK_3" localSheetId="26">'3394'!$B$16</definedName>
    <definedName name="_254_ESE_Level_4__Grade_Level_PK_3" localSheetId="27">'3395'!$B$16</definedName>
    <definedName name="_254_ESE_Level_4__Grade_Level_PK_3" localSheetId="28">'3396'!$B$16</definedName>
    <definedName name="_254_ESE_Level_4__Grade_Level_PK_3" localSheetId="29">'3398'!$B$16</definedName>
    <definedName name="_254_ESE_Level_4__Grade_Level_PK_3" localSheetId="30">'3400'!$B$16</definedName>
    <definedName name="_254_ESE_Level_4__Grade_Level_PK_3" localSheetId="31">'3401'!$B$16</definedName>
    <definedName name="_254_ESE_Level_4__Grade_Level_PK_3" localSheetId="32">'3411'!$B$16</definedName>
    <definedName name="_254_ESE_Level_4__Grade_Level_PK_3" localSheetId="33">'3413'!$B$16</definedName>
    <definedName name="_254_ESE_Level_4__Grade_Level_PK_3" localSheetId="34">'3421'!$B$16</definedName>
    <definedName name="_254_ESE_Level_4__Grade_Level_PK_3" localSheetId="35">'3431'!$B$16</definedName>
    <definedName name="_254_ESE_Level_4__Grade_Level_PK_3" localSheetId="36">'3441'!$B$16</definedName>
    <definedName name="_254_ESE_Level_4__Grade_Level_PK_3" localSheetId="37">'3443'!$B$16</definedName>
    <definedName name="_254_ESE_Level_4__Grade_Level_PK_3" localSheetId="38">'3941'!$B$16</definedName>
    <definedName name="_254_ESE_Level_4__Grade_Level_PK_3" localSheetId="39">'3961'!$B$16</definedName>
    <definedName name="_254_ESE_Level_4__Grade_Level_PK_3" localSheetId="40">'3971'!$B$16</definedName>
    <definedName name="_254_ESE_Level_4__Grade_Level_PK_3" localSheetId="41">'4000'!$B$16</definedName>
    <definedName name="_254_ESE_Level_4__Grade_Level_PK_3" localSheetId="43">'4002'!$B$16</definedName>
    <definedName name="_254_ESE_Level_4__Grade_Level_PK_3" localSheetId="42">'4010'!$B$16</definedName>
    <definedName name="_254_ESE_Level_4__Grade_Level_PK_3" localSheetId="44">'4012'!$B$16</definedName>
    <definedName name="_254_ESE_Level_4__Grade_Level_PK_3" localSheetId="45">'4013'!$B$16</definedName>
    <definedName name="_254_ESE_Level_4__Grade_Level_PK_3" localSheetId="46">'4020'!$B$16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#REF!</definedName>
    <definedName name="_255_ESE_Level_5__Grade_Level_4_8" localSheetId="2">'0054'!$B$20</definedName>
    <definedName name="_255_ESE_Level_5__Grade_Level_4_8" localSheetId="3">'0642'!$B$20</definedName>
    <definedName name="_255_ESE_Level_5__Grade_Level_4_8" localSheetId="4">'0664'!$B$20</definedName>
    <definedName name="_255_ESE_Level_5__Grade_Level_4_8" localSheetId="5">'1461'!$B$20</definedName>
    <definedName name="_255_ESE_Level_5__Grade_Level_4_8" localSheetId="6">'1571'!$B$20</definedName>
    <definedName name="_255_ESE_Level_5__Grade_Level_4_8" localSheetId="7">'2521'!$B$20</definedName>
    <definedName name="_255_ESE_Level_5__Grade_Level_4_8" localSheetId="8">'2531'!$B$20</definedName>
    <definedName name="_255_ESE_Level_5__Grade_Level_4_8" localSheetId="9">'2641'!$B$20</definedName>
    <definedName name="_255_ESE_Level_5__Grade_Level_4_8" localSheetId="10">'2661'!$B$20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'3344'!$B$20</definedName>
    <definedName name="_255_ESE_Level_5__Grade_Level_4_8" localSheetId="17">'3345'!$B$20</definedName>
    <definedName name="_255_ESE_Level_5__Grade_Level_4_8" localSheetId="18">'3347'!$B$20</definedName>
    <definedName name="_255_ESE_Level_5__Grade_Level_4_8" localSheetId="19">'3381'!$B$20</definedName>
    <definedName name="_255_ESE_Level_5__Grade_Level_4_8" localSheetId="20">'3382'!$B$20</definedName>
    <definedName name="_255_ESE_Level_5__Grade_Level_4_8" localSheetId="21">'3384'!$B$20</definedName>
    <definedName name="_255_ESE_Level_5__Grade_Level_4_8" localSheetId="22">'3385'!$B$20</definedName>
    <definedName name="_255_ESE_Level_5__Grade_Level_4_8" localSheetId="23">'3386'!$B$20</definedName>
    <definedName name="_255_ESE_Level_5__Grade_Level_4_8" localSheetId="24">'3391'!$B$20</definedName>
    <definedName name="_255_ESE_Level_5__Grade_Level_4_8" localSheetId="25">'3392'!$B$20</definedName>
    <definedName name="_255_ESE_Level_5__Grade_Level_4_8" localSheetId="26">'3394'!$B$20</definedName>
    <definedName name="_255_ESE_Level_5__Grade_Level_4_8" localSheetId="27">'3395'!$B$20</definedName>
    <definedName name="_255_ESE_Level_5__Grade_Level_4_8" localSheetId="28">'3396'!$B$20</definedName>
    <definedName name="_255_ESE_Level_5__Grade_Level_4_8" localSheetId="29">'3398'!$B$20</definedName>
    <definedName name="_255_ESE_Level_5__Grade_Level_4_8" localSheetId="30">'3400'!$B$20</definedName>
    <definedName name="_255_ESE_Level_5__Grade_Level_4_8" localSheetId="31">'3401'!$B$20</definedName>
    <definedName name="_255_ESE_Level_5__Grade_Level_4_8" localSheetId="32">'3411'!$B$20</definedName>
    <definedName name="_255_ESE_Level_5__Grade_Level_4_8" localSheetId="33">'3413'!$B$20</definedName>
    <definedName name="_255_ESE_Level_5__Grade_Level_4_8" localSheetId="34">'3421'!$B$20</definedName>
    <definedName name="_255_ESE_Level_5__Grade_Level_4_8" localSheetId="35">'3431'!$B$20</definedName>
    <definedName name="_255_ESE_Level_5__Grade_Level_4_8" localSheetId="36">'3441'!$B$20</definedName>
    <definedName name="_255_ESE_Level_5__Grade_Level_4_8" localSheetId="37">'3443'!$B$20</definedName>
    <definedName name="_255_ESE_Level_5__Grade_Level_4_8" localSheetId="38">'3941'!$B$20</definedName>
    <definedName name="_255_ESE_Level_5__Grade_Level_4_8" localSheetId="39">'3961'!$B$20</definedName>
    <definedName name="_255_ESE_Level_5__Grade_Level_4_8" localSheetId="40">'3971'!$B$20</definedName>
    <definedName name="_255_ESE_Level_5__Grade_Level_4_8" localSheetId="41">'4000'!$B$20</definedName>
    <definedName name="_255_ESE_Level_5__Grade_Level_4_8" localSheetId="43">'4002'!$B$20</definedName>
    <definedName name="_255_ESE_Level_5__Grade_Level_4_8" localSheetId="42">'4010'!$B$20</definedName>
    <definedName name="_255_ESE_Level_5__Grade_Level_4_8" localSheetId="44">'4012'!$B$20</definedName>
    <definedName name="_255_ESE_Level_5__Grade_Level_4_8" localSheetId="45">'4013'!$B$20</definedName>
    <definedName name="_255_ESE_Level_5__Grade_Level_4_8" localSheetId="46">'4020'!$B$20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#REF!</definedName>
    <definedName name="_255_ESE_Level_5__Grade_Level_9_12" localSheetId="2">'0054'!$B$21</definedName>
    <definedName name="_255_ESE_Level_5__Grade_Level_9_12" localSheetId="3">'0642'!$B$21</definedName>
    <definedName name="_255_ESE_Level_5__Grade_Level_9_12" localSheetId="4">'0664'!$B$21</definedName>
    <definedName name="_255_ESE_Level_5__Grade_Level_9_12" localSheetId="5">'1461'!$B$21</definedName>
    <definedName name="_255_ESE_Level_5__Grade_Level_9_12" localSheetId="6">'1571'!$B$21</definedName>
    <definedName name="_255_ESE_Level_5__Grade_Level_9_12" localSheetId="7">'2521'!$B$21</definedName>
    <definedName name="_255_ESE_Level_5__Grade_Level_9_12" localSheetId="8">'2531'!$B$21</definedName>
    <definedName name="_255_ESE_Level_5__Grade_Level_9_12" localSheetId="9">'2641'!$B$21</definedName>
    <definedName name="_255_ESE_Level_5__Grade_Level_9_12" localSheetId="10">'2661'!$B$21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'3344'!$B$21</definedName>
    <definedName name="_255_ESE_Level_5__Grade_Level_9_12" localSheetId="17">'3345'!$B$21</definedName>
    <definedName name="_255_ESE_Level_5__Grade_Level_9_12" localSheetId="18">'3347'!$B$21</definedName>
    <definedName name="_255_ESE_Level_5__Grade_Level_9_12" localSheetId="19">'3381'!$B$21</definedName>
    <definedName name="_255_ESE_Level_5__Grade_Level_9_12" localSheetId="20">'3382'!$B$21</definedName>
    <definedName name="_255_ESE_Level_5__Grade_Level_9_12" localSheetId="21">'3384'!$B$21</definedName>
    <definedName name="_255_ESE_Level_5__Grade_Level_9_12" localSheetId="22">'3385'!$B$21</definedName>
    <definedName name="_255_ESE_Level_5__Grade_Level_9_12" localSheetId="23">'3386'!$B$21</definedName>
    <definedName name="_255_ESE_Level_5__Grade_Level_9_12" localSheetId="24">'3391'!$B$21</definedName>
    <definedName name="_255_ESE_Level_5__Grade_Level_9_12" localSheetId="25">'3392'!$B$21</definedName>
    <definedName name="_255_ESE_Level_5__Grade_Level_9_12" localSheetId="26">'3394'!$B$21</definedName>
    <definedName name="_255_ESE_Level_5__Grade_Level_9_12" localSheetId="27">'3395'!$B$21</definedName>
    <definedName name="_255_ESE_Level_5__Grade_Level_9_12" localSheetId="28">'3396'!$B$21</definedName>
    <definedName name="_255_ESE_Level_5__Grade_Level_9_12" localSheetId="29">'3398'!$B$21</definedName>
    <definedName name="_255_ESE_Level_5__Grade_Level_9_12" localSheetId="30">'3400'!$B$21</definedName>
    <definedName name="_255_ESE_Level_5__Grade_Level_9_12" localSheetId="31">'3401'!$B$21</definedName>
    <definedName name="_255_ESE_Level_5__Grade_Level_9_12" localSheetId="32">'3411'!$B$21</definedName>
    <definedName name="_255_ESE_Level_5__Grade_Level_9_12" localSheetId="33">'3413'!$B$21</definedName>
    <definedName name="_255_ESE_Level_5__Grade_Level_9_12" localSheetId="34">'3421'!$B$21</definedName>
    <definedName name="_255_ESE_Level_5__Grade_Level_9_12" localSheetId="35">'3431'!$B$21</definedName>
    <definedName name="_255_ESE_Level_5__Grade_Level_9_12" localSheetId="36">'3441'!$B$21</definedName>
    <definedName name="_255_ESE_Level_5__Grade_Level_9_12" localSheetId="37">'3443'!$B$21</definedName>
    <definedName name="_255_ESE_Level_5__Grade_Level_9_12" localSheetId="38">'3941'!$B$21</definedName>
    <definedName name="_255_ESE_Level_5__Grade_Level_9_12" localSheetId="39">'3961'!$B$21</definedName>
    <definedName name="_255_ESE_Level_5__Grade_Level_9_12" localSheetId="40">'3971'!$B$21</definedName>
    <definedName name="_255_ESE_Level_5__Grade_Level_9_12" localSheetId="41">'4000'!$B$21</definedName>
    <definedName name="_255_ESE_Level_5__Grade_Level_9_12" localSheetId="43">'4002'!$B$21</definedName>
    <definedName name="_255_ESE_Level_5__Grade_Level_9_12" localSheetId="42">'4010'!$B$21</definedName>
    <definedName name="_255_ESE_Level_5__Grade_Level_9_12" localSheetId="44">'4012'!$B$21</definedName>
    <definedName name="_255_ESE_Level_5__Grade_Level_9_12" localSheetId="45">'4013'!$B$21</definedName>
    <definedName name="_255_ESE_Level_5__Grade_Level_9_12" localSheetId="46">'4020'!$B$21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#REF!</definedName>
    <definedName name="_255_ESE_Level_5__Grade_Level_PK_3" localSheetId="2">'0054'!$B$19</definedName>
    <definedName name="_255_ESE_Level_5__Grade_Level_PK_3" localSheetId="3">'0642'!$B$19</definedName>
    <definedName name="_255_ESE_Level_5__Grade_Level_PK_3" localSheetId="4">'0664'!$B$19</definedName>
    <definedName name="_255_ESE_Level_5__Grade_Level_PK_3" localSheetId="5">'1461'!$B$19</definedName>
    <definedName name="_255_ESE_Level_5__Grade_Level_PK_3" localSheetId="6">'1571'!$B$19</definedName>
    <definedName name="_255_ESE_Level_5__Grade_Level_PK_3" localSheetId="7">'2521'!$B$19</definedName>
    <definedName name="_255_ESE_Level_5__Grade_Level_PK_3" localSheetId="8">'2531'!$B$19</definedName>
    <definedName name="_255_ESE_Level_5__Grade_Level_PK_3" localSheetId="9">'2641'!$B$19</definedName>
    <definedName name="_255_ESE_Level_5__Grade_Level_PK_3" localSheetId="10">'2661'!$B$19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'3344'!$B$19</definedName>
    <definedName name="_255_ESE_Level_5__Grade_Level_PK_3" localSheetId="17">'3345'!$B$19</definedName>
    <definedName name="_255_ESE_Level_5__Grade_Level_PK_3" localSheetId="18">'3347'!$B$19</definedName>
    <definedName name="_255_ESE_Level_5__Grade_Level_PK_3" localSheetId="19">'3381'!$B$19</definedName>
    <definedName name="_255_ESE_Level_5__Grade_Level_PK_3" localSheetId="20">'3382'!$B$19</definedName>
    <definedName name="_255_ESE_Level_5__Grade_Level_PK_3" localSheetId="21">'3384'!$B$19</definedName>
    <definedName name="_255_ESE_Level_5__Grade_Level_PK_3" localSheetId="22">'3385'!$B$19</definedName>
    <definedName name="_255_ESE_Level_5__Grade_Level_PK_3" localSheetId="23">'3386'!$B$19</definedName>
    <definedName name="_255_ESE_Level_5__Grade_Level_PK_3" localSheetId="24">'3391'!$B$19</definedName>
    <definedName name="_255_ESE_Level_5__Grade_Level_PK_3" localSheetId="25">'3392'!$B$19</definedName>
    <definedName name="_255_ESE_Level_5__Grade_Level_PK_3" localSheetId="26">'3394'!$B$19</definedName>
    <definedName name="_255_ESE_Level_5__Grade_Level_PK_3" localSheetId="27">'3395'!$B$19</definedName>
    <definedName name="_255_ESE_Level_5__Grade_Level_PK_3" localSheetId="28">'3396'!$B$19</definedName>
    <definedName name="_255_ESE_Level_5__Grade_Level_PK_3" localSheetId="29">'3398'!$B$19</definedName>
    <definedName name="_255_ESE_Level_5__Grade_Level_PK_3" localSheetId="30">'3400'!$B$19</definedName>
    <definedName name="_255_ESE_Level_5__Grade_Level_PK_3" localSheetId="31">'3401'!$B$19</definedName>
    <definedName name="_255_ESE_Level_5__Grade_Level_PK_3" localSheetId="32">'3411'!$B$19</definedName>
    <definedName name="_255_ESE_Level_5__Grade_Level_PK_3" localSheetId="33">'3413'!$B$19</definedName>
    <definedName name="_255_ESE_Level_5__Grade_Level_PK_3" localSheetId="34">'3421'!$B$19</definedName>
    <definedName name="_255_ESE_Level_5__Grade_Level_PK_3" localSheetId="35">'3431'!$B$19</definedName>
    <definedName name="_255_ESE_Level_5__Grade_Level_PK_3" localSheetId="36">'3441'!$B$19</definedName>
    <definedName name="_255_ESE_Level_5__Grade_Level_PK_3" localSheetId="37">'3443'!$B$19</definedName>
    <definedName name="_255_ESE_Level_5__Grade_Level_PK_3" localSheetId="38">'3941'!$B$19</definedName>
    <definedName name="_255_ESE_Level_5__Grade_Level_PK_3" localSheetId="39">'3961'!$B$19</definedName>
    <definedName name="_255_ESE_Level_5__Grade_Level_PK_3" localSheetId="40">'3971'!$B$19</definedName>
    <definedName name="_255_ESE_Level_5__Grade_Level_PK_3" localSheetId="41">'4000'!$B$19</definedName>
    <definedName name="_255_ESE_Level_5__Grade_Level_PK_3" localSheetId="43">'4002'!$B$19</definedName>
    <definedName name="_255_ESE_Level_5__Grade_Level_PK_3" localSheetId="42">'4010'!$B$19</definedName>
    <definedName name="_255_ESE_Level_5__Grade_Level_PK_3" localSheetId="44">'4012'!$B$19</definedName>
    <definedName name="_255_ESE_Level_5__Grade_Level_PK_3" localSheetId="45">'4013'!$B$19</definedName>
    <definedName name="_255_ESE_Level_5__Grade_Level_PK_3" localSheetId="46">'4020'!$B$19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#REF!</definedName>
    <definedName name="_3.__Supplemental_Academic_Instruction" localSheetId="2">'0054'!$B$38</definedName>
    <definedName name="_3.__Supplemental_Academic_Instruction" localSheetId="3">'0642'!$B$38</definedName>
    <definedName name="_3.__Supplemental_Academic_Instruction" localSheetId="4">'0664'!$B$38</definedName>
    <definedName name="_3.__Supplemental_Academic_Instruction" localSheetId="5">'1461'!$B$38</definedName>
    <definedName name="_3.__Supplemental_Academic_Instruction" localSheetId="6">'1571'!$B$38</definedName>
    <definedName name="_3.__Supplemental_Academic_Instruction" localSheetId="7">'2521'!$B$38</definedName>
    <definedName name="_3.__Supplemental_Academic_Instruction" localSheetId="8">'2531'!$B$38</definedName>
    <definedName name="_3.__Supplemental_Academic_Instruction" localSheetId="9">'2641'!$B$38</definedName>
    <definedName name="_3.__Supplemental_Academic_Instruction" localSheetId="10">'2661'!$B$38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'3344'!$B$38</definedName>
    <definedName name="_3.__Supplemental_Academic_Instruction" localSheetId="17">'3345'!$B$38</definedName>
    <definedName name="_3.__Supplemental_Academic_Instruction" localSheetId="18">'3347'!$B$38</definedName>
    <definedName name="_3.__Supplemental_Academic_Instruction" localSheetId="19">'3381'!$B$38</definedName>
    <definedName name="_3.__Supplemental_Academic_Instruction" localSheetId="20">'3382'!$B$38</definedName>
    <definedName name="_3.__Supplemental_Academic_Instruction" localSheetId="21">'3384'!$B$38</definedName>
    <definedName name="_3.__Supplemental_Academic_Instruction" localSheetId="22">'3385'!$B$38</definedName>
    <definedName name="_3.__Supplemental_Academic_Instruction" localSheetId="23">'3386'!$B$38</definedName>
    <definedName name="_3.__Supplemental_Academic_Instruction" localSheetId="24">'3391'!$B$38</definedName>
    <definedName name="_3.__Supplemental_Academic_Instruction" localSheetId="25">'3392'!$B$38</definedName>
    <definedName name="_3.__Supplemental_Academic_Instruction" localSheetId="26">'3394'!$B$38</definedName>
    <definedName name="_3.__Supplemental_Academic_Instruction" localSheetId="27">'3395'!$B$38</definedName>
    <definedName name="_3.__Supplemental_Academic_Instruction" localSheetId="28">'3396'!$B$38</definedName>
    <definedName name="_3.__Supplemental_Academic_Instruction" localSheetId="29">'3398'!$B$38</definedName>
    <definedName name="_3.__Supplemental_Academic_Instruction" localSheetId="30">'3400'!$B$38</definedName>
    <definedName name="_3.__Supplemental_Academic_Instruction" localSheetId="31">'3401'!$B$38</definedName>
    <definedName name="_3.__Supplemental_Academic_Instruction" localSheetId="32">'3411'!$B$38</definedName>
    <definedName name="_3.__Supplemental_Academic_Instruction" localSheetId="33">'3413'!$B$38</definedName>
    <definedName name="_3.__Supplemental_Academic_Instruction" localSheetId="34">'3421'!$B$38</definedName>
    <definedName name="_3.__Supplemental_Academic_Instruction" localSheetId="35">'3431'!$B$38</definedName>
    <definedName name="_3.__Supplemental_Academic_Instruction" localSheetId="36">'3441'!$B$38</definedName>
    <definedName name="_3.__Supplemental_Academic_Instruction" localSheetId="37">'3443'!$B$38</definedName>
    <definedName name="_3.__Supplemental_Academic_Instruction" localSheetId="38">'3941'!$B$38</definedName>
    <definedName name="_3.__Supplemental_Academic_Instruction" localSheetId="39">'3961'!$B$38</definedName>
    <definedName name="_3.__Supplemental_Academic_Instruction" localSheetId="40">'3971'!$B$38</definedName>
    <definedName name="_3.__Supplemental_Academic_Instruction" localSheetId="41">'4000'!$B$38</definedName>
    <definedName name="_3.__Supplemental_Academic_Instruction" localSheetId="43">'4002'!$B$38</definedName>
    <definedName name="_3.__Supplemental_Academic_Instruction" localSheetId="42">'4010'!$B$38</definedName>
    <definedName name="_3.__Supplemental_Academic_Instruction" localSheetId="44">'4012'!$B$38</definedName>
    <definedName name="_3.__Supplemental_Academic_Instruction" localSheetId="45">'4013'!$B$38</definedName>
    <definedName name="_3.__Supplemental_Academic_Instruction" localSheetId="46">'4020'!$B$38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#REF!</definedName>
    <definedName name="_300_Career_Education__Grades_9_12" localSheetId="2">'0054'!$B$25</definedName>
    <definedName name="_300_Career_Education__Grades_9_12" localSheetId="3">'0642'!$B$25</definedName>
    <definedName name="_300_Career_Education__Grades_9_12" localSheetId="4">'0664'!$B$25</definedName>
    <definedName name="_300_Career_Education__Grades_9_12" localSheetId="5">'1461'!$B$25</definedName>
    <definedName name="_300_Career_Education__Grades_9_12" localSheetId="6">'1571'!$B$25</definedName>
    <definedName name="_300_Career_Education__Grades_9_12" localSheetId="7">'2521'!$B$25</definedName>
    <definedName name="_300_Career_Education__Grades_9_12" localSheetId="8">'2531'!$B$25</definedName>
    <definedName name="_300_Career_Education__Grades_9_12" localSheetId="9">'2641'!$B$25</definedName>
    <definedName name="_300_Career_Education__Grades_9_12" localSheetId="10">'2661'!$B$25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'3344'!$B$25</definedName>
    <definedName name="_300_Career_Education__Grades_9_12" localSheetId="17">'3345'!$B$25</definedName>
    <definedName name="_300_Career_Education__Grades_9_12" localSheetId="18">'3347'!$B$25</definedName>
    <definedName name="_300_Career_Education__Grades_9_12" localSheetId="19">'3381'!$B$25</definedName>
    <definedName name="_300_Career_Education__Grades_9_12" localSheetId="20">'3382'!$B$25</definedName>
    <definedName name="_300_Career_Education__Grades_9_12" localSheetId="21">'3384'!$B$25</definedName>
    <definedName name="_300_Career_Education__Grades_9_12" localSheetId="22">'3385'!$B$25</definedName>
    <definedName name="_300_Career_Education__Grades_9_12" localSheetId="23">'3386'!$B$25</definedName>
    <definedName name="_300_Career_Education__Grades_9_12" localSheetId="24">'3391'!$B$25</definedName>
    <definedName name="_300_Career_Education__Grades_9_12" localSheetId="25">'3392'!$B$25</definedName>
    <definedName name="_300_Career_Education__Grades_9_12" localSheetId="26">'3394'!$B$25</definedName>
    <definedName name="_300_Career_Education__Grades_9_12" localSheetId="27">'3395'!$B$25</definedName>
    <definedName name="_300_Career_Education__Grades_9_12" localSheetId="28">'3396'!$B$25</definedName>
    <definedName name="_300_Career_Education__Grades_9_12" localSheetId="29">'3398'!$B$25</definedName>
    <definedName name="_300_Career_Education__Grades_9_12" localSheetId="30">'3400'!$B$25</definedName>
    <definedName name="_300_Career_Education__Grades_9_12" localSheetId="31">'3401'!$B$25</definedName>
    <definedName name="_300_Career_Education__Grades_9_12" localSheetId="32">'3411'!$B$25</definedName>
    <definedName name="_300_Career_Education__Grades_9_12" localSheetId="33">'3413'!$B$25</definedName>
    <definedName name="_300_Career_Education__Grades_9_12" localSheetId="34">'3421'!$B$25</definedName>
    <definedName name="_300_Career_Education__Grades_9_12" localSheetId="35">'3431'!$B$25</definedName>
    <definedName name="_300_Career_Education__Grades_9_12" localSheetId="36">'3441'!$B$25</definedName>
    <definedName name="_300_Career_Education__Grades_9_12" localSheetId="37">'3443'!$B$25</definedName>
    <definedName name="_300_Career_Education__Grades_9_12" localSheetId="38">'3941'!$B$25</definedName>
    <definedName name="_300_Career_Education__Grades_9_12" localSheetId="39">'3961'!$B$25</definedName>
    <definedName name="_300_Career_Education__Grades_9_12" localSheetId="40">'3971'!$B$25</definedName>
    <definedName name="_300_Career_Education__Grades_9_12" localSheetId="41">'4000'!$B$25</definedName>
    <definedName name="_300_Career_Education__Grades_9_12" localSheetId="43">'4002'!$B$25</definedName>
    <definedName name="_300_Career_Education__Grades_9_12" localSheetId="42">'4010'!$B$25</definedName>
    <definedName name="_300_Career_Education__Grades_9_12" localSheetId="44">'4012'!$B$25</definedName>
    <definedName name="_300_Career_Education__Grades_9_12" localSheetId="45">'4013'!$B$25</definedName>
    <definedName name="_300_Career_Education__Grades_9_12" localSheetId="46">'4020'!$B$25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#REF!</definedName>
    <definedName name="_4_8" localSheetId="2">'0054'!$B$48</definedName>
    <definedName name="_4_8" localSheetId="3">'0642'!$B$48</definedName>
    <definedName name="_4_8" localSheetId="4">'0664'!$B$48</definedName>
    <definedName name="_4_8" localSheetId="5">'1461'!$B$48</definedName>
    <definedName name="_4_8" localSheetId="6">'1571'!$B$48</definedName>
    <definedName name="_4_8" localSheetId="7">'2521'!$B$48</definedName>
    <definedName name="_4_8" localSheetId="8">'2531'!$B$48</definedName>
    <definedName name="_4_8" localSheetId="9">'2641'!$B$48</definedName>
    <definedName name="_4_8" localSheetId="10">'2661'!$B$48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'3344'!$B$48</definedName>
    <definedName name="_4_8" localSheetId="17">'3345'!$B$48</definedName>
    <definedName name="_4_8" localSheetId="18">'3347'!$B$48</definedName>
    <definedName name="_4_8" localSheetId="19">'3381'!$B$48</definedName>
    <definedName name="_4_8" localSheetId="20">'3382'!$B$48</definedName>
    <definedName name="_4_8" localSheetId="21">'3384'!$B$48</definedName>
    <definedName name="_4_8" localSheetId="22">'3385'!$B$48</definedName>
    <definedName name="_4_8" localSheetId="23">'3386'!$B$48</definedName>
    <definedName name="_4_8" localSheetId="24">'3391'!$B$48</definedName>
    <definedName name="_4_8" localSheetId="25">'3392'!$B$48</definedName>
    <definedName name="_4_8" localSheetId="26">'3394'!$B$48</definedName>
    <definedName name="_4_8" localSheetId="27">'3395'!$B$48</definedName>
    <definedName name="_4_8" localSheetId="28">'3396'!$B$48</definedName>
    <definedName name="_4_8" localSheetId="29">'3398'!$B$48</definedName>
    <definedName name="_4_8" localSheetId="30">'3400'!$B$48</definedName>
    <definedName name="_4_8" localSheetId="31">'3401'!$B$48</definedName>
    <definedName name="_4_8" localSheetId="32">'3411'!$B$48</definedName>
    <definedName name="_4_8" localSheetId="33">'3413'!$B$48</definedName>
    <definedName name="_4_8" localSheetId="34">'3421'!$B$48</definedName>
    <definedName name="_4_8" localSheetId="35">'3431'!$B$48</definedName>
    <definedName name="_4_8" localSheetId="36">'3441'!$B$48</definedName>
    <definedName name="_4_8" localSheetId="37">'3443'!$B$48</definedName>
    <definedName name="_4_8" localSheetId="38">'3941'!$B$48</definedName>
    <definedName name="_4_8" localSheetId="39">'3961'!$B$48</definedName>
    <definedName name="_4_8" localSheetId="40">'3971'!$B$48</definedName>
    <definedName name="_4_8" localSheetId="41">'4000'!$B$48</definedName>
    <definedName name="_4_8" localSheetId="43">'4002'!$B$48</definedName>
    <definedName name="_4_8" localSheetId="42">'4010'!$B$48</definedName>
    <definedName name="_4_8" localSheetId="44">'4012'!$B$48</definedName>
    <definedName name="_4_8" localSheetId="45">'4013'!$B$48</definedName>
    <definedName name="_4_8" localSheetId="46">'4020'!$B$48</definedName>
    <definedName name="_4_8" localSheetId="47">'4037'!$B$48</definedName>
    <definedName name="_4_8" localSheetId="48">#REF!</definedName>
    <definedName name="_4_8" localSheetId="49">'4041'!$B$48</definedName>
    <definedName name="_4_8">#REF!</definedName>
    <definedName name="_9_12" localSheetId="2">'0054'!$B$49</definedName>
    <definedName name="_9_12" localSheetId="3">'0642'!$B$49</definedName>
    <definedName name="_9_12" localSheetId="4">'0664'!$B$49</definedName>
    <definedName name="_9_12" localSheetId="5">'1461'!$B$49</definedName>
    <definedName name="_9_12" localSheetId="6">'1571'!$B$49</definedName>
    <definedName name="_9_12" localSheetId="7">'2521'!$B$49</definedName>
    <definedName name="_9_12" localSheetId="8">'2531'!$B$49</definedName>
    <definedName name="_9_12" localSheetId="9">'2641'!$B$49</definedName>
    <definedName name="_9_12" localSheetId="10">'2661'!$B$49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'3344'!$B$49</definedName>
    <definedName name="_9_12" localSheetId="17">'3345'!$B$49</definedName>
    <definedName name="_9_12" localSheetId="18">'3347'!$B$49</definedName>
    <definedName name="_9_12" localSheetId="19">'3381'!$B$49</definedName>
    <definedName name="_9_12" localSheetId="20">'3382'!$B$49</definedName>
    <definedName name="_9_12" localSheetId="21">'3384'!$B$49</definedName>
    <definedName name="_9_12" localSheetId="22">'3385'!$B$49</definedName>
    <definedName name="_9_12" localSheetId="23">'3386'!$B$49</definedName>
    <definedName name="_9_12" localSheetId="24">'3391'!$B$49</definedName>
    <definedName name="_9_12" localSheetId="25">'3392'!$B$49</definedName>
    <definedName name="_9_12" localSheetId="26">'3394'!$B$49</definedName>
    <definedName name="_9_12" localSheetId="27">'3395'!$B$49</definedName>
    <definedName name="_9_12" localSheetId="28">'3396'!$B$49</definedName>
    <definedName name="_9_12" localSheetId="29">'3398'!$B$49</definedName>
    <definedName name="_9_12" localSheetId="30">'3400'!$B$49</definedName>
    <definedName name="_9_12" localSheetId="31">'3401'!$B$49</definedName>
    <definedName name="_9_12" localSheetId="32">'3411'!$B$49</definedName>
    <definedName name="_9_12" localSheetId="33">'3413'!$B$49</definedName>
    <definedName name="_9_12" localSheetId="34">'3421'!$B$49</definedName>
    <definedName name="_9_12" localSheetId="35">'3431'!$B$49</definedName>
    <definedName name="_9_12" localSheetId="36">'3441'!$B$49</definedName>
    <definedName name="_9_12" localSheetId="37">'3443'!$B$49</definedName>
    <definedName name="_9_12" localSheetId="38">'3941'!$B$49</definedName>
    <definedName name="_9_12" localSheetId="39">'3961'!$B$49</definedName>
    <definedName name="_9_12" localSheetId="40">'3971'!$B$49</definedName>
    <definedName name="_9_12" localSheetId="41">'4000'!$B$49</definedName>
    <definedName name="_9_12" localSheetId="43">'4002'!$B$49</definedName>
    <definedName name="_9_12" localSheetId="42">'4010'!$B$49</definedName>
    <definedName name="_9_12" localSheetId="44">'4012'!$B$49</definedName>
    <definedName name="_9_12" localSheetId="45">'4013'!$B$49</definedName>
    <definedName name="_9_12" localSheetId="46">'4020'!$B$49</definedName>
    <definedName name="_9_12" localSheetId="47">'4037'!$B$49</definedName>
    <definedName name="_9_12" localSheetId="48">#REF!</definedName>
    <definedName name="_9_12" localSheetId="49">'4041'!$B$49</definedName>
    <definedName name="_9_12">#REF!</definedName>
    <definedName name="_xlnm._FilterDatabase" localSheetId="0" hidden="1">'Net Payment'!$A$3:$E$65</definedName>
    <definedName name="Allocation_factors" localSheetId="2">'0054'!$I$46</definedName>
    <definedName name="Allocation_factors" localSheetId="3">'0642'!$I$46</definedName>
    <definedName name="Allocation_factors" localSheetId="4">'0664'!$I$46</definedName>
    <definedName name="Allocation_factors" localSheetId="5">'1461'!$I$46</definedName>
    <definedName name="Allocation_factors" localSheetId="6">'1571'!$I$46</definedName>
    <definedName name="Allocation_factors" localSheetId="7">'2521'!$I$46</definedName>
    <definedName name="Allocation_factors" localSheetId="8">'2531'!$I$46</definedName>
    <definedName name="Allocation_factors" localSheetId="9">'2641'!$I$46</definedName>
    <definedName name="Allocation_factors" localSheetId="10">'2661'!$I$46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'3344'!$I$46</definedName>
    <definedName name="Allocation_factors" localSheetId="17">'3345'!$I$46</definedName>
    <definedName name="Allocation_factors" localSheetId="18">'3347'!$I$46</definedName>
    <definedName name="Allocation_factors" localSheetId="19">'3381'!$I$46</definedName>
    <definedName name="Allocation_factors" localSheetId="20">'3382'!$I$46</definedName>
    <definedName name="Allocation_factors" localSheetId="21">'3384'!$I$46</definedName>
    <definedName name="Allocation_factors" localSheetId="22">'3385'!$I$46</definedName>
    <definedName name="Allocation_factors" localSheetId="23">'3386'!$I$46</definedName>
    <definedName name="Allocation_factors" localSheetId="24">'3391'!$I$46</definedName>
    <definedName name="Allocation_factors" localSheetId="25">'3392'!$I$46</definedName>
    <definedName name="Allocation_factors" localSheetId="26">'3394'!$I$46</definedName>
    <definedName name="Allocation_factors" localSheetId="27">'3395'!$I$46</definedName>
    <definedName name="Allocation_factors" localSheetId="28">'3396'!$I$46</definedName>
    <definedName name="Allocation_factors" localSheetId="29">'3398'!$I$46</definedName>
    <definedName name="Allocation_factors" localSheetId="30">'3400'!$I$46</definedName>
    <definedName name="Allocation_factors" localSheetId="31">'3401'!$I$46</definedName>
    <definedName name="Allocation_factors" localSheetId="32">'3411'!$I$46</definedName>
    <definedName name="Allocation_factors" localSheetId="33">'3413'!$I$46</definedName>
    <definedName name="Allocation_factors" localSheetId="34">'3421'!$I$46</definedName>
    <definedName name="Allocation_factors" localSheetId="35">'3431'!$I$46</definedName>
    <definedName name="Allocation_factors" localSheetId="36">'3441'!$I$46</definedName>
    <definedName name="Allocation_factors" localSheetId="37">'3443'!$I$46</definedName>
    <definedName name="Allocation_factors" localSheetId="38">'3941'!$I$46</definedName>
    <definedName name="Allocation_factors" localSheetId="39">'3961'!$I$46</definedName>
    <definedName name="Allocation_factors" localSheetId="40">'3971'!$I$46</definedName>
    <definedName name="Allocation_factors" localSheetId="41">'4000'!$I$46</definedName>
    <definedName name="Allocation_factors" localSheetId="43">'4002'!$I$46</definedName>
    <definedName name="Allocation_factors" localSheetId="42">'4010'!$I$46</definedName>
    <definedName name="Allocation_factors" localSheetId="44">'4012'!$I$46</definedName>
    <definedName name="Allocation_factors" localSheetId="45">'4013'!$I$46</definedName>
    <definedName name="Allocation_factors" localSheetId="46">'4020'!$I$46</definedName>
    <definedName name="Allocation_factors" localSheetId="47">'4037'!$I$46</definedName>
    <definedName name="Allocation_factors" localSheetId="48">#REF!</definedName>
    <definedName name="Allocation_factors" localSheetId="49">'4041'!$I$46</definedName>
    <definedName name="Allocation_factors">#REF!</definedName>
    <definedName name="Base_Student_Allocation" localSheetId="2">'0054'!$B$7</definedName>
    <definedName name="Base_Student_Allocation" localSheetId="3">'0642'!$B$7</definedName>
    <definedName name="Base_Student_Allocation" localSheetId="4">'0664'!$B$7</definedName>
    <definedName name="Base_Student_Allocation" localSheetId="5">'1461'!$B$7</definedName>
    <definedName name="Base_Student_Allocation" localSheetId="6">'1571'!$B$7</definedName>
    <definedName name="Base_Student_Allocation" localSheetId="7">'2521'!$B$7</definedName>
    <definedName name="Base_Student_Allocation" localSheetId="8">'2531'!$B$7</definedName>
    <definedName name="Base_Student_Allocation" localSheetId="9">'2641'!$B$7</definedName>
    <definedName name="Base_Student_Allocation" localSheetId="10">'2661'!$B$7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'3344'!$B$7</definedName>
    <definedName name="Base_Student_Allocation" localSheetId="17">'3345'!$B$7</definedName>
    <definedName name="Base_Student_Allocation" localSheetId="18">'3347'!$B$7</definedName>
    <definedName name="Base_Student_Allocation" localSheetId="19">'3381'!$B$7</definedName>
    <definedName name="Base_Student_Allocation" localSheetId="20">'3382'!$B$7</definedName>
    <definedName name="Base_Student_Allocation" localSheetId="21">'3384'!$B$7</definedName>
    <definedName name="Base_Student_Allocation" localSheetId="22">'3385'!$B$7</definedName>
    <definedName name="Base_Student_Allocation" localSheetId="23">'3386'!$B$7</definedName>
    <definedName name="Base_Student_Allocation" localSheetId="24">'3391'!$B$7</definedName>
    <definedName name="Base_Student_Allocation" localSheetId="25">'3392'!$B$7</definedName>
    <definedName name="Base_Student_Allocation" localSheetId="26">'3394'!$B$7</definedName>
    <definedName name="Base_Student_Allocation" localSheetId="27">'3395'!$B$7</definedName>
    <definedName name="Base_Student_Allocation" localSheetId="28">'3396'!$B$7</definedName>
    <definedName name="Base_Student_Allocation" localSheetId="29">'3398'!$B$7</definedName>
    <definedName name="Base_Student_Allocation" localSheetId="30">'3400'!$B$7</definedName>
    <definedName name="Base_Student_Allocation" localSheetId="31">'3401'!$B$7</definedName>
    <definedName name="Base_Student_Allocation" localSheetId="32">'3411'!$B$7</definedName>
    <definedName name="Base_Student_Allocation" localSheetId="33">'3413'!$B$7</definedName>
    <definedName name="Base_Student_Allocation" localSheetId="34">'3421'!$B$7</definedName>
    <definedName name="Base_Student_Allocation" localSheetId="35">'3431'!$B$7</definedName>
    <definedName name="Base_Student_Allocation" localSheetId="36">'3441'!$B$7</definedName>
    <definedName name="Base_Student_Allocation" localSheetId="37">'3443'!$B$7</definedName>
    <definedName name="Base_Student_Allocation" localSheetId="38">'3941'!$B$7</definedName>
    <definedName name="Base_Student_Allocation" localSheetId="39">'3961'!$B$7</definedName>
    <definedName name="Base_Student_Allocation" localSheetId="40">'3971'!$B$7</definedName>
    <definedName name="Base_Student_Allocation" localSheetId="41">'4000'!$B$7</definedName>
    <definedName name="Base_Student_Allocation" localSheetId="43">'4002'!$B$7</definedName>
    <definedName name="Base_Student_Allocation" localSheetId="42">'4010'!$B$7</definedName>
    <definedName name="Base_Student_Allocation" localSheetId="44">'4012'!$B$7</definedName>
    <definedName name="Base_Student_Allocation" localSheetId="45">'4013'!$B$7</definedName>
    <definedName name="Base_Student_Allocation" localSheetId="46">'4020'!$B$7</definedName>
    <definedName name="Base_Student_Allocation" localSheetId="47">'4037'!$B$7</definedName>
    <definedName name="Base_Student_Allocation" localSheetId="48">#REF!</definedName>
    <definedName name="Base_Student_Allocation" localSheetId="49">'4041'!$B$7</definedName>
    <definedName name="Base_Student_Allocation">#REF!</definedName>
    <definedName name="Based_on_the_Second_Calculation_of_the_FEFP_2010_11" localSheetId="2">'0054'!$B$4</definedName>
    <definedName name="Based_on_the_Second_Calculation_of_the_FEFP_2010_11" localSheetId="3">'0642'!$B$4</definedName>
    <definedName name="Based_on_the_Second_Calculation_of_the_FEFP_2010_11" localSheetId="4">'0664'!$B$4</definedName>
    <definedName name="Based_on_the_Second_Calculation_of_the_FEFP_2010_11" localSheetId="5">'1461'!$B$4</definedName>
    <definedName name="Based_on_the_Second_Calculation_of_the_FEFP_2010_11" localSheetId="6">'1571'!$B$4</definedName>
    <definedName name="Based_on_the_Second_Calculation_of_the_FEFP_2010_11" localSheetId="7">'2521'!$B$4</definedName>
    <definedName name="Based_on_the_Second_Calculation_of_the_FEFP_2010_11" localSheetId="8">'2531'!$B$4</definedName>
    <definedName name="Based_on_the_Second_Calculation_of_the_FEFP_2010_11" localSheetId="9">'2641'!$B$4</definedName>
    <definedName name="Based_on_the_Second_Calculation_of_the_FEFP_2010_11" localSheetId="10">'2661'!$B$4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'3344'!$B$4</definedName>
    <definedName name="Based_on_the_Second_Calculation_of_the_FEFP_2010_11" localSheetId="17">'3345'!$B$4</definedName>
    <definedName name="Based_on_the_Second_Calculation_of_the_FEFP_2010_11" localSheetId="18">'3347'!$B$4</definedName>
    <definedName name="Based_on_the_Second_Calculation_of_the_FEFP_2010_11" localSheetId="19">'3381'!$B$4</definedName>
    <definedName name="Based_on_the_Second_Calculation_of_the_FEFP_2010_11" localSheetId="20">'3382'!$B$4</definedName>
    <definedName name="Based_on_the_Second_Calculation_of_the_FEFP_2010_11" localSheetId="21">'3384'!$B$4</definedName>
    <definedName name="Based_on_the_Second_Calculation_of_the_FEFP_2010_11" localSheetId="22">'3385'!$B$4</definedName>
    <definedName name="Based_on_the_Second_Calculation_of_the_FEFP_2010_11" localSheetId="23">'3386'!$B$4</definedName>
    <definedName name="Based_on_the_Second_Calculation_of_the_FEFP_2010_11" localSheetId="24">'3391'!$B$4</definedName>
    <definedName name="Based_on_the_Second_Calculation_of_the_FEFP_2010_11" localSheetId="25">'3392'!$B$4</definedName>
    <definedName name="Based_on_the_Second_Calculation_of_the_FEFP_2010_11" localSheetId="26">'3394'!$B$4</definedName>
    <definedName name="Based_on_the_Second_Calculation_of_the_FEFP_2010_11" localSheetId="27">'3395'!$B$4</definedName>
    <definedName name="Based_on_the_Second_Calculation_of_the_FEFP_2010_11" localSheetId="28">'3396'!$B$4</definedName>
    <definedName name="Based_on_the_Second_Calculation_of_the_FEFP_2010_11" localSheetId="29">'3398'!$B$4</definedName>
    <definedName name="Based_on_the_Second_Calculation_of_the_FEFP_2010_11" localSheetId="30">'3400'!$B$4</definedName>
    <definedName name="Based_on_the_Second_Calculation_of_the_FEFP_2010_11" localSheetId="31">'3401'!$B$4</definedName>
    <definedName name="Based_on_the_Second_Calculation_of_the_FEFP_2010_11" localSheetId="32">'3411'!$B$4</definedName>
    <definedName name="Based_on_the_Second_Calculation_of_the_FEFP_2010_11" localSheetId="33">'3413'!$B$4</definedName>
    <definedName name="Based_on_the_Second_Calculation_of_the_FEFP_2010_11" localSheetId="34">'3421'!$B$4</definedName>
    <definedName name="Based_on_the_Second_Calculation_of_the_FEFP_2010_11" localSheetId="35">'3431'!$B$4</definedName>
    <definedName name="Based_on_the_Second_Calculation_of_the_FEFP_2010_11" localSheetId="36">'3441'!$B$4</definedName>
    <definedName name="Based_on_the_Second_Calculation_of_the_FEFP_2010_11" localSheetId="37">'3443'!$B$4</definedName>
    <definedName name="Based_on_the_Second_Calculation_of_the_FEFP_2010_11" localSheetId="38">'3941'!$B$4</definedName>
    <definedName name="Based_on_the_Second_Calculation_of_the_FEFP_2010_11" localSheetId="39">'3961'!$B$4</definedName>
    <definedName name="Based_on_the_Second_Calculation_of_the_FEFP_2010_11" localSheetId="40">'3971'!$B$4</definedName>
    <definedName name="Based_on_the_Second_Calculation_of_the_FEFP_2010_11" localSheetId="41">'4000'!$B$4</definedName>
    <definedName name="Based_on_the_Second_Calculation_of_the_FEFP_2010_11" localSheetId="43">'4002'!$B$4</definedName>
    <definedName name="Based_on_the_Second_Calculation_of_the_FEFP_2010_11" localSheetId="42">'4010'!$B$4</definedName>
    <definedName name="Based_on_the_Second_Calculation_of_the_FEFP_2010_11" localSheetId="44">'4012'!$B$4</definedName>
    <definedName name="Based_on_the_Second_Calculation_of_the_FEFP_2010_11" localSheetId="45">'4013'!$B$4</definedName>
    <definedName name="Based_on_the_Second_Calculation_of_the_FEFP_2010_11" localSheetId="46">'4020'!$B$4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#REF!</definedName>
    <definedName name="CAP" localSheetId="2"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CD" localSheetId="2">'0054'!$G$46</definedName>
    <definedName name="DCD" localSheetId="3">'0642'!$G$46</definedName>
    <definedName name="DCD" localSheetId="4">'0664'!$G$46</definedName>
    <definedName name="DCD" localSheetId="5">'1461'!$G$46</definedName>
    <definedName name="DCD" localSheetId="6">'1571'!$G$46</definedName>
    <definedName name="DCD" localSheetId="7">'2521'!$G$46</definedName>
    <definedName name="DCD" localSheetId="8">'2531'!$G$46</definedName>
    <definedName name="DCD" localSheetId="9">'2641'!$G$46</definedName>
    <definedName name="DCD" localSheetId="10">'2661'!$G$46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'3344'!$G$46</definedName>
    <definedName name="DCD" localSheetId="17">'3345'!$G$46</definedName>
    <definedName name="DCD" localSheetId="18">'3347'!$G$46</definedName>
    <definedName name="DCD" localSheetId="19">'3381'!$G$46</definedName>
    <definedName name="DCD" localSheetId="20">'3382'!$G$46</definedName>
    <definedName name="DCD" localSheetId="21">'3384'!$G$46</definedName>
    <definedName name="DCD" localSheetId="22">'3385'!$G$46</definedName>
    <definedName name="DCD" localSheetId="23">'3386'!$G$46</definedName>
    <definedName name="DCD" localSheetId="24">'3391'!$G$46</definedName>
    <definedName name="DCD" localSheetId="25">'3392'!$G$46</definedName>
    <definedName name="DCD" localSheetId="26">'3394'!$G$46</definedName>
    <definedName name="DCD" localSheetId="27">'3395'!$G$46</definedName>
    <definedName name="DCD" localSheetId="28">'3396'!$G$46</definedName>
    <definedName name="DCD" localSheetId="29">'3398'!$G$46</definedName>
    <definedName name="DCD" localSheetId="30">'3400'!$G$46</definedName>
    <definedName name="DCD" localSheetId="31">'3401'!$G$46</definedName>
    <definedName name="DCD" localSheetId="32">'3411'!$G$46</definedName>
    <definedName name="DCD" localSheetId="33">'3413'!$G$46</definedName>
    <definedName name="DCD" localSheetId="34">'3421'!$G$46</definedName>
    <definedName name="DCD" localSheetId="35">'3431'!$G$46</definedName>
    <definedName name="DCD" localSheetId="36">'3441'!$G$46</definedName>
    <definedName name="DCD" localSheetId="37">'3443'!$G$46</definedName>
    <definedName name="DCD" localSheetId="38">'3941'!$G$46</definedName>
    <definedName name="DCD" localSheetId="39">'3961'!$G$46</definedName>
    <definedName name="DCD" localSheetId="40">'3971'!$G$46</definedName>
    <definedName name="DCD" localSheetId="41">'4000'!$G$46</definedName>
    <definedName name="DCD" localSheetId="43">'4002'!$G$46</definedName>
    <definedName name="DCD" localSheetId="42">'4010'!$G$46</definedName>
    <definedName name="DCD" localSheetId="44">'4012'!$G$46</definedName>
    <definedName name="DCD" localSheetId="45">'4013'!$G$46</definedName>
    <definedName name="DCD" localSheetId="46">'4020'!$G$46</definedName>
    <definedName name="DCD" localSheetId="47">'4037'!$G$46</definedName>
    <definedName name="DCD" localSheetId="48">#REF!</definedName>
    <definedName name="DCD" localSheetId="49">'4041'!$G$46</definedName>
    <definedName name="DCD">#REF!</definedName>
    <definedName name="District_Cost_Differential" localSheetId="2">'0054'!$I$7</definedName>
    <definedName name="District_Cost_Differential" localSheetId="3">'0642'!$I$7</definedName>
    <definedName name="District_Cost_Differential" localSheetId="4">'0664'!$I$7</definedName>
    <definedName name="District_Cost_Differential" localSheetId="5">'1461'!$I$7</definedName>
    <definedName name="District_Cost_Differential" localSheetId="6">'1571'!$I$7</definedName>
    <definedName name="District_Cost_Differential" localSheetId="7">'2521'!$I$7</definedName>
    <definedName name="District_Cost_Differential" localSheetId="8">'2531'!$I$7</definedName>
    <definedName name="District_Cost_Differential" localSheetId="9">'2641'!$I$7</definedName>
    <definedName name="District_Cost_Differential" localSheetId="10">'2661'!$I$7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'3344'!$I$7</definedName>
    <definedName name="District_Cost_Differential" localSheetId="17">'3345'!$I$7</definedName>
    <definedName name="District_Cost_Differential" localSheetId="18">'3347'!$I$7</definedName>
    <definedName name="District_Cost_Differential" localSheetId="19">'3381'!$I$7</definedName>
    <definedName name="District_Cost_Differential" localSheetId="20">'3382'!$I$7</definedName>
    <definedName name="District_Cost_Differential" localSheetId="21">'3384'!$I$7</definedName>
    <definedName name="District_Cost_Differential" localSheetId="22">'3385'!$I$7</definedName>
    <definedName name="District_Cost_Differential" localSheetId="23">'3386'!$I$7</definedName>
    <definedName name="District_Cost_Differential" localSheetId="24">'3391'!$I$7</definedName>
    <definedName name="District_Cost_Differential" localSheetId="25">'3392'!$I$7</definedName>
    <definedName name="District_Cost_Differential" localSheetId="26">'3394'!$I$7</definedName>
    <definedName name="District_Cost_Differential" localSheetId="27">'3395'!$I$7</definedName>
    <definedName name="District_Cost_Differential" localSheetId="28">'3396'!$I$7</definedName>
    <definedName name="District_Cost_Differential" localSheetId="29">'3398'!$I$7</definedName>
    <definedName name="District_Cost_Differential" localSheetId="30">'3400'!$I$7</definedName>
    <definedName name="District_Cost_Differential" localSheetId="31">'3401'!$I$7</definedName>
    <definedName name="District_Cost_Differential" localSheetId="32">'3411'!$I$7</definedName>
    <definedName name="District_Cost_Differential" localSheetId="33">'3413'!$I$7</definedName>
    <definedName name="District_Cost_Differential" localSheetId="34">'3421'!$I$7</definedName>
    <definedName name="District_Cost_Differential" localSheetId="35">'3431'!$I$7</definedName>
    <definedName name="District_Cost_Differential" localSheetId="36">'3441'!$I$7</definedName>
    <definedName name="District_Cost_Differential" localSheetId="37">'3443'!$I$7</definedName>
    <definedName name="District_Cost_Differential" localSheetId="38">'3941'!$I$7</definedName>
    <definedName name="District_Cost_Differential" localSheetId="39">'3961'!$I$7</definedName>
    <definedName name="District_Cost_Differential" localSheetId="40">'3971'!$I$7</definedName>
    <definedName name="District_Cost_Differential" localSheetId="41">'4000'!$I$7</definedName>
    <definedName name="District_Cost_Differential" localSheetId="43">'4002'!$I$7</definedName>
    <definedName name="District_Cost_Differential" localSheetId="42">'4010'!$I$7</definedName>
    <definedName name="District_Cost_Differential" localSheetId="44">'4012'!$I$7</definedName>
    <definedName name="District_Cost_Differential" localSheetId="45">'4013'!$I$7</definedName>
    <definedName name="District_Cost_Differential" localSheetId="46">'4020'!$I$7</definedName>
    <definedName name="District_Cost_Differential" localSheetId="47">'4037'!$I$7</definedName>
    <definedName name="District_Cost_Differential" localSheetId="48">#REF!</definedName>
    <definedName name="District_Cost_Differential" localSheetId="49">'4041'!$I$7</definedName>
    <definedName name="District_Cost_Differential">#REF!</definedName>
    <definedName name="District_SAI_Allocation" localSheetId="2">'0054'!$B$39</definedName>
    <definedName name="District_SAI_Allocation" localSheetId="3">'0642'!$B$39</definedName>
    <definedName name="District_SAI_Allocation" localSheetId="4">'0664'!$B$39</definedName>
    <definedName name="District_SAI_Allocation" localSheetId="5">'1461'!$B$39</definedName>
    <definedName name="District_SAI_Allocation" localSheetId="6">'1571'!$B$39</definedName>
    <definedName name="District_SAI_Allocation" localSheetId="7">'2521'!$B$39</definedName>
    <definedName name="District_SAI_Allocation" localSheetId="8">'2531'!$B$39</definedName>
    <definedName name="District_SAI_Allocation" localSheetId="9">'2641'!$B$39</definedName>
    <definedName name="District_SAI_Allocation" localSheetId="10">'2661'!$B$39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'3344'!$B$39</definedName>
    <definedName name="District_SAI_Allocation" localSheetId="17">'3345'!$B$39</definedName>
    <definedName name="District_SAI_Allocation" localSheetId="18">'3347'!$B$39</definedName>
    <definedName name="District_SAI_Allocation" localSheetId="19">'3381'!$B$39</definedName>
    <definedName name="District_SAI_Allocation" localSheetId="20">'3382'!$B$39</definedName>
    <definedName name="District_SAI_Allocation" localSheetId="21">'3384'!$B$39</definedName>
    <definedName name="District_SAI_Allocation" localSheetId="22">'3385'!$B$39</definedName>
    <definedName name="District_SAI_Allocation" localSheetId="23">'3386'!$B$39</definedName>
    <definedName name="District_SAI_Allocation" localSheetId="24">'3391'!$B$39</definedName>
    <definedName name="District_SAI_Allocation" localSheetId="25">'3392'!$B$39</definedName>
    <definedName name="District_SAI_Allocation" localSheetId="26">'3394'!$B$39</definedName>
    <definedName name="District_SAI_Allocation" localSheetId="27">'3395'!$B$39</definedName>
    <definedName name="District_SAI_Allocation" localSheetId="28">'3396'!$B$39</definedName>
    <definedName name="District_SAI_Allocation" localSheetId="29">'3398'!$B$39</definedName>
    <definedName name="District_SAI_Allocation" localSheetId="30">'3400'!$B$39</definedName>
    <definedName name="District_SAI_Allocation" localSheetId="31">'3401'!$B$39</definedName>
    <definedName name="District_SAI_Allocation" localSheetId="32">'3411'!$B$39</definedName>
    <definedName name="District_SAI_Allocation" localSheetId="33">'3413'!$B$39</definedName>
    <definedName name="District_SAI_Allocation" localSheetId="34">'3421'!$B$39</definedName>
    <definedName name="District_SAI_Allocation" localSheetId="35">'3431'!$B$39</definedName>
    <definedName name="District_SAI_Allocation" localSheetId="36">'3441'!$B$39</definedName>
    <definedName name="District_SAI_Allocation" localSheetId="37">'3443'!$B$39</definedName>
    <definedName name="District_SAI_Allocation" localSheetId="38">'3941'!$B$39</definedName>
    <definedName name="District_SAI_Allocation" localSheetId="39">'3961'!$B$39</definedName>
    <definedName name="District_SAI_Allocation" localSheetId="40">'3971'!$B$39</definedName>
    <definedName name="District_SAI_Allocation" localSheetId="41">'4000'!$B$39</definedName>
    <definedName name="District_SAI_Allocation" localSheetId="43">'4002'!$B$39</definedName>
    <definedName name="District_SAI_Allocation" localSheetId="42">'4010'!$B$39</definedName>
    <definedName name="District_SAI_Allocation" localSheetId="44">'4012'!$B$39</definedName>
    <definedName name="District_SAI_Allocation" localSheetId="45">'4013'!$B$39</definedName>
    <definedName name="District_SAI_Allocation" localSheetId="46">'4020'!$B$39</definedName>
    <definedName name="District_SAI_Allocation" localSheetId="47">'4037'!$B$39</definedName>
    <definedName name="District_SAI_Allocation" localSheetId="48">#REF!</definedName>
    <definedName name="District_SAI_Allocation" localSheetId="49">'4041'!$B$39</definedName>
    <definedName name="District_SAI_Allocation">#REF!</definedName>
    <definedName name="divided_by_district_FTE" localSheetId="2">'0054'!$B$40</definedName>
    <definedName name="divided_by_district_FTE" localSheetId="3">'0642'!$B$40</definedName>
    <definedName name="divided_by_district_FTE" localSheetId="4">'0664'!$B$40</definedName>
    <definedName name="divided_by_district_FTE" localSheetId="5">'1461'!$B$40</definedName>
    <definedName name="divided_by_district_FTE" localSheetId="6">'1571'!$B$40</definedName>
    <definedName name="divided_by_district_FTE" localSheetId="7">'2521'!$B$40</definedName>
    <definedName name="divided_by_district_FTE" localSheetId="8">'2531'!$B$40</definedName>
    <definedName name="divided_by_district_FTE" localSheetId="9">'2641'!$B$40</definedName>
    <definedName name="divided_by_district_FTE" localSheetId="10">'2661'!$B$40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'3344'!$B$40</definedName>
    <definedName name="divided_by_district_FTE" localSheetId="17">'3345'!$B$40</definedName>
    <definedName name="divided_by_district_FTE" localSheetId="18">'3347'!$B$40</definedName>
    <definedName name="divided_by_district_FTE" localSheetId="19">'3381'!$B$40</definedName>
    <definedName name="divided_by_district_FTE" localSheetId="20">'3382'!$B$40</definedName>
    <definedName name="divided_by_district_FTE" localSheetId="21">'3384'!$B$40</definedName>
    <definedName name="divided_by_district_FTE" localSheetId="22">'3385'!$B$40</definedName>
    <definedName name="divided_by_district_FTE" localSheetId="23">'3386'!$B$40</definedName>
    <definedName name="divided_by_district_FTE" localSheetId="24">'3391'!$B$40</definedName>
    <definedName name="divided_by_district_FTE" localSheetId="25">'3392'!$B$40</definedName>
    <definedName name="divided_by_district_FTE" localSheetId="26">'3394'!$B$40</definedName>
    <definedName name="divided_by_district_FTE" localSheetId="27">'3395'!$B$40</definedName>
    <definedName name="divided_by_district_FTE" localSheetId="28">'3396'!$B$40</definedName>
    <definedName name="divided_by_district_FTE" localSheetId="29">'3398'!$B$40</definedName>
    <definedName name="divided_by_district_FTE" localSheetId="30">'3400'!$B$40</definedName>
    <definedName name="divided_by_district_FTE" localSheetId="31">'3401'!$B$40</definedName>
    <definedName name="divided_by_district_FTE" localSheetId="32">'3411'!$B$40</definedName>
    <definedName name="divided_by_district_FTE" localSheetId="33">'3413'!$B$40</definedName>
    <definedName name="divided_by_district_FTE" localSheetId="34">'3421'!$B$40</definedName>
    <definedName name="divided_by_district_FTE" localSheetId="35">'3431'!$B$40</definedName>
    <definedName name="divided_by_district_FTE" localSheetId="36">'3441'!$B$40</definedName>
    <definedName name="divided_by_district_FTE" localSheetId="37">'3443'!$B$40</definedName>
    <definedName name="divided_by_district_FTE" localSheetId="38">'3941'!$B$40</definedName>
    <definedName name="divided_by_district_FTE" localSheetId="39">'3961'!$B$40</definedName>
    <definedName name="divided_by_district_FTE" localSheetId="40">'3971'!$B$40</definedName>
    <definedName name="divided_by_district_FTE" localSheetId="41">'4000'!$B$40</definedName>
    <definedName name="divided_by_district_FTE" localSheetId="43">'4002'!$B$40</definedName>
    <definedName name="divided_by_district_FTE" localSheetId="42">'4010'!$B$40</definedName>
    <definedName name="divided_by_district_FTE" localSheetId="44">'4012'!$B$40</definedName>
    <definedName name="divided_by_district_FTE" localSheetId="45">'4013'!$B$40</definedName>
    <definedName name="divided_by_district_FTE" localSheetId="46">'4020'!$B$40</definedName>
    <definedName name="divided_by_district_FTE" localSheetId="47">'4037'!$B$40</definedName>
    <definedName name="divided_by_district_FTE" localSheetId="48">#REF!</definedName>
    <definedName name="divided_by_district_FTE" localSheetId="49">'4041'!$B$40</definedName>
    <definedName name="divided_by_district_FTE">#REF!</definedName>
    <definedName name="FTE" localSheetId="2">'0054'!$G$27</definedName>
    <definedName name="FTE" localSheetId="3">'0642'!$G$27</definedName>
    <definedName name="FTE" localSheetId="4">'0664'!$G$27</definedName>
    <definedName name="FTE" localSheetId="5">'1461'!$G$27</definedName>
    <definedName name="FTE" localSheetId="6">'1571'!$G$27</definedName>
    <definedName name="FTE" localSheetId="7">'2521'!$G$27</definedName>
    <definedName name="FTE" localSheetId="8">'2531'!$G$27</definedName>
    <definedName name="FTE" localSheetId="9">'2641'!$G$27</definedName>
    <definedName name="FTE" localSheetId="10">'2661'!$G$27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'3344'!$G$27</definedName>
    <definedName name="FTE" localSheetId="17">'3345'!$G$27</definedName>
    <definedName name="FTE" localSheetId="18">'3347'!$G$27</definedName>
    <definedName name="FTE" localSheetId="19">'3381'!$G$27</definedName>
    <definedName name="FTE" localSheetId="20">'3382'!$G$27</definedName>
    <definedName name="FTE" localSheetId="21">'3384'!$G$27</definedName>
    <definedName name="FTE" localSheetId="22">'3385'!$G$27</definedName>
    <definedName name="FTE" localSheetId="23">'3386'!$G$27</definedName>
    <definedName name="FTE" localSheetId="24">'3391'!$G$27</definedName>
    <definedName name="FTE" localSheetId="25">'3392'!$G$27</definedName>
    <definedName name="FTE" localSheetId="26">'3394'!$G$27</definedName>
    <definedName name="FTE" localSheetId="27">'3395'!$G$27</definedName>
    <definedName name="FTE" localSheetId="28">'3396'!$G$27</definedName>
    <definedName name="FTE" localSheetId="29">'3398'!$G$27</definedName>
    <definedName name="FTE" localSheetId="30">'3400'!$G$27</definedName>
    <definedName name="FTE" localSheetId="31">'3401'!$G$27</definedName>
    <definedName name="FTE" localSheetId="32">'3411'!$G$27</definedName>
    <definedName name="FTE" localSheetId="33">'3413'!$G$27</definedName>
    <definedName name="FTE" localSheetId="34">'3421'!$G$27</definedName>
    <definedName name="FTE" localSheetId="35">'3431'!$G$27</definedName>
    <definedName name="FTE" localSheetId="36">'3441'!$G$27</definedName>
    <definedName name="FTE" localSheetId="37">'3443'!$G$27</definedName>
    <definedName name="FTE" localSheetId="38">'3941'!$G$27</definedName>
    <definedName name="FTE" localSheetId="39">'3961'!$G$27</definedName>
    <definedName name="FTE" localSheetId="40">'3971'!$G$27</definedName>
    <definedName name="FTE" localSheetId="41">'4000'!$G$27</definedName>
    <definedName name="FTE" localSheetId="43">'4002'!$G$27</definedName>
    <definedName name="FTE" localSheetId="42">'4010'!$G$27</definedName>
    <definedName name="FTE" localSheetId="44">'4012'!$G$27</definedName>
    <definedName name="FTE" localSheetId="45">'4013'!$G$27</definedName>
    <definedName name="FTE" localSheetId="46">'4020'!$G$27</definedName>
    <definedName name="FTE" localSheetId="47">'4037'!$G$27</definedName>
    <definedName name="FTE" localSheetId="48">#REF!</definedName>
    <definedName name="FTE" localSheetId="49">'4041'!$G$27</definedName>
    <definedName name="FTE">#REF!</definedName>
    <definedName name="Grade_Level" localSheetId="2">'0054'!$I$27</definedName>
    <definedName name="Grade_Level" localSheetId="3">'0642'!$I$27</definedName>
    <definedName name="Grade_Level" localSheetId="4">'0664'!$I$27</definedName>
    <definedName name="Grade_Level" localSheetId="5">'1461'!$I$27</definedName>
    <definedName name="Grade_Level" localSheetId="6">'1571'!$I$27</definedName>
    <definedName name="Grade_Level" localSheetId="7">'2521'!$I$27</definedName>
    <definedName name="Grade_Level" localSheetId="8">'2531'!$I$27</definedName>
    <definedName name="Grade_Level" localSheetId="9">'2641'!$I$27</definedName>
    <definedName name="Grade_Level" localSheetId="10">'2661'!$I$27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'3344'!$I$27</definedName>
    <definedName name="Grade_Level" localSheetId="17">'3345'!$I$27</definedName>
    <definedName name="Grade_Level" localSheetId="18">'3347'!$I$27</definedName>
    <definedName name="Grade_Level" localSheetId="19">'3381'!$I$27</definedName>
    <definedName name="Grade_Level" localSheetId="20">'3382'!$I$27</definedName>
    <definedName name="Grade_Level" localSheetId="21">'3384'!$I$27</definedName>
    <definedName name="Grade_Level" localSheetId="22">'3385'!$I$27</definedName>
    <definedName name="Grade_Level" localSheetId="23">'3386'!$I$27</definedName>
    <definedName name="Grade_Level" localSheetId="24">'3391'!$I$27</definedName>
    <definedName name="Grade_Level" localSheetId="25">'3392'!$I$27</definedName>
    <definedName name="Grade_Level" localSheetId="26">'3394'!$I$27</definedName>
    <definedName name="Grade_Level" localSheetId="27">'3395'!$I$27</definedName>
    <definedName name="Grade_Level" localSheetId="28">'3396'!$I$27</definedName>
    <definedName name="Grade_Level" localSheetId="29">'3398'!$I$27</definedName>
    <definedName name="Grade_Level" localSheetId="30">'3400'!$I$27</definedName>
    <definedName name="Grade_Level" localSheetId="31">'3401'!$I$27</definedName>
    <definedName name="Grade_Level" localSheetId="32">'3411'!$I$27</definedName>
    <definedName name="Grade_Level" localSheetId="33">'3413'!$I$27</definedName>
    <definedName name="Grade_Level" localSheetId="34">'3421'!$I$27</definedName>
    <definedName name="Grade_Level" localSheetId="35">'3431'!$I$27</definedName>
    <definedName name="Grade_Level" localSheetId="36">'3441'!$I$27</definedName>
    <definedName name="Grade_Level" localSheetId="37">'3443'!$I$27</definedName>
    <definedName name="Grade_Level" localSheetId="38">'3941'!$I$27</definedName>
    <definedName name="Grade_Level" localSheetId="39">'3961'!$I$27</definedName>
    <definedName name="Grade_Level" localSheetId="40">'3971'!$I$27</definedName>
    <definedName name="Grade_Level" localSheetId="41">'4000'!$I$27</definedName>
    <definedName name="Grade_Level" localSheetId="43">'4002'!$I$27</definedName>
    <definedName name="Grade_Level" localSheetId="42">'4010'!$I$27</definedName>
    <definedName name="Grade_Level" localSheetId="44">'4012'!$I$27</definedName>
    <definedName name="Grade_Level" localSheetId="45">'4013'!$I$27</definedName>
    <definedName name="Grade_Level" localSheetId="46">'4020'!$I$27</definedName>
    <definedName name="Grade_Level" localSheetId="47">'4037'!$I$27</definedName>
    <definedName name="Grade_Level" localSheetId="48">#REF!</definedName>
    <definedName name="Grade_Level" localSheetId="49">'4041'!$I$27</definedName>
    <definedName name="Grade_Level">#REF!</definedName>
    <definedName name="Guarantee_Per_Student" localSheetId="2">'0054'!$K$27</definedName>
    <definedName name="Guarantee_Per_Student" localSheetId="3">'0642'!$K$27</definedName>
    <definedName name="Guarantee_Per_Student" localSheetId="4">'0664'!$K$27</definedName>
    <definedName name="Guarantee_Per_Student" localSheetId="5">'1461'!$K$27</definedName>
    <definedName name="Guarantee_Per_Student" localSheetId="6">'1571'!$K$27</definedName>
    <definedName name="Guarantee_Per_Student" localSheetId="7">'2521'!$K$27</definedName>
    <definedName name="Guarantee_Per_Student" localSheetId="8">'2531'!$K$27</definedName>
    <definedName name="Guarantee_Per_Student" localSheetId="9">'2641'!$K$27</definedName>
    <definedName name="Guarantee_Per_Student" localSheetId="10">'2661'!$K$27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'3344'!$K$27</definedName>
    <definedName name="Guarantee_Per_Student" localSheetId="17">'3345'!$K$27</definedName>
    <definedName name="Guarantee_Per_Student" localSheetId="18">'3347'!$K$27</definedName>
    <definedName name="Guarantee_Per_Student" localSheetId="19">'3381'!$K$27</definedName>
    <definedName name="Guarantee_Per_Student" localSheetId="20">'3382'!$K$27</definedName>
    <definedName name="Guarantee_Per_Student" localSheetId="21">'3384'!$K$27</definedName>
    <definedName name="Guarantee_Per_Student" localSheetId="22">'3385'!$K$27</definedName>
    <definedName name="Guarantee_Per_Student" localSheetId="23">'3386'!$K$27</definedName>
    <definedName name="Guarantee_Per_Student" localSheetId="24">'3391'!$K$27</definedName>
    <definedName name="Guarantee_Per_Student" localSheetId="25">'3392'!$K$27</definedName>
    <definedName name="Guarantee_Per_Student" localSheetId="26">'3394'!$K$27</definedName>
    <definedName name="Guarantee_Per_Student" localSheetId="27">'3395'!$K$27</definedName>
    <definedName name="Guarantee_Per_Student" localSheetId="28">'3396'!$K$27</definedName>
    <definedName name="Guarantee_Per_Student" localSheetId="29">'3398'!$K$27</definedName>
    <definedName name="Guarantee_Per_Student" localSheetId="30">'3400'!$K$27</definedName>
    <definedName name="Guarantee_Per_Student" localSheetId="31">'3401'!$K$27</definedName>
    <definedName name="Guarantee_Per_Student" localSheetId="32">'3411'!$K$27</definedName>
    <definedName name="Guarantee_Per_Student" localSheetId="33">'3413'!$K$27</definedName>
    <definedName name="Guarantee_Per_Student" localSheetId="34">'3421'!$K$27</definedName>
    <definedName name="Guarantee_Per_Student" localSheetId="35">'3431'!$K$27</definedName>
    <definedName name="Guarantee_Per_Student" localSheetId="36">'3441'!$K$27</definedName>
    <definedName name="Guarantee_Per_Student" localSheetId="37">'3443'!$K$27</definedName>
    <definedName name="Guarantee_Per_Student" localSheetId="38">'3941'!$K$27</definedName>
    <definedName name="Guarantee_Per_Student" localSheetId="39">'3961'!$K$27</definedName>
    <definedName name="Guarantee_Per_Student" localSheetId="40">'3971'!$K$27</definedName>
    <definedName name="Guarantee_Per_Student" localSheetId="41">'4000'!$K$27</definedName>
    <definedName name="Guarantee_Per_Student" localSheetId="43">'4002'!$K$27</definedName>
    <definedName name="Guarantee_Per_Student" localSheetId="42">'4010'!$K$27</definedName>
    <definedName name="Guarantee_Per_Student" localSheetId="44">'4012'!$K$27</definedName>
    <definedName name="Guarantee_Per_Student" localSheetId="45">'4013'!$K$27</definedName>
    <definedName name="Guarantee_Per_Student" localSheetId="46">'4020'!$K$27</definedName>
    <definedName name="Guarantee_Per_Student" localSheetId="47">'4037'!$K$27</definedName>
    <definedName name="Guarantee_Per_Student" localSheetId="48">#REF!</definedName>
    <definedName name="Guarantee_Per_Student" localSheetId="49">'4041'!$K$27</definedName>
    <definedName name="Guarantee_Per_Student">#REF!</definedName>
    <definedName name="HTML_CodePage" hidden="1">1252</definedName>
    <definedName name="HTML_Control" localSheetId="2" hidden="1">{"'AssumptionsHTML'!$B$9:$E$357","'SummationHTML'!$A$4:$J$93","'Difference'!$A$11:$K$101","'DifferenceFTE'!$A$11:$K$101","'Detail1'!$A$11:$I$97","'Detail2'!$A$11:$J$97","'Detail3'!$A$11:$J$97","'Categorical1'!$A$11:$L$97"}</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6">#REF!</definedName>
    <definedName name="IDN" localSheetId="48">#REF!</definedName>
    <definedName name="IDN" localSheetId="49">#REF!</definedName>
    <definedName name="IDN">#REF!</definedName>
    <definedName name="IFN" localSheetId="36">#REF!</definedName>
    <definedName name="IFN" localSheetId="48">#REF!</definedName>
    <definedName name="IFN" localSheetId="49">#REF!</definedName>
    <definedName name="IFN">#REF!</definedName>
    <definedName name="LYN" localSheetId="36">#REF!</definedName>
    <definedName name="LYN" localSheetId="48">#REF!</definedName>
    <definedName name="LYN" localSheetId="49">#REF!</definedName>
    <definedName name="LYN">#REF!</definedName>
    <definedName name="Matrix_Level" localSheetId="2">'0054'!$J$27</definedName>
    <definedName name="Matrix_Level" localSheetId="3">'0642'!$J$27</definedName>
    <definedName name="Matrix_Level" localSheetId="4">'0664'!$J$27</definedName>
    <definedName name="Matrix_Level" localSheetId="5">'1461'!$J$27</definedName>
    <definedName name="Matrix_Level" localSheetId="6">'1571'!$J$27</definedName>
    <definedName name="Matrix_Level" localSheetId="7">'2521'!$J$27</definedName>
    <definedName name="Matrix_Level" localSheetId="8">'2531'!$J$27</definedName>
    <definedName name="Matrix_Level" localSheetId="9">'2641'!$J$27</definedName>
    <definedName name="Matrix_Level" localSheetId="10">'2661'!$J$27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'3344'!$J$27</definedName>
    <definedName name="Matrix_Level" localSheetId="17">'3345'!$J$27</definedName>
    <definedName name="Matrix_Level" localSheetId="18">'3347'!$J$27</definedName>
    <definedName name="Matrix_Level" localSheetId="19">'3381'!$J$27</definedName>
    <definedName name="Matrix_Level" localSheetId="20">'3382'!$J$27</definedName>
    <definedName name="Matrix_Level" localSheetId="21">'3384'!$J$27</definedName>
    <definedName name="Matrix_Level" localSheetId="22">'3385'!$J$27</definedName>
    <definedName name="Matrix_Level" localSheetId="23">'3386'!$J$27</definedName>
    <definedName name="Matrix_Level" localSheetId="24">'3391'!$J$27</definedName>
    <definedName name="Matrix_Level" localSheetId="25">'3392'!$J$27</definedName>
    <definedName name="Matrix_Level" localSheetId="26">'3394'!$J$27</definedName>
    <definedName name="Matrix_Level" localSheetId="27">'3395'!$J$27</definedName>
    <definedName name="Matrix_Level" localSheetId="28">'3396'!$J$27</definedName>
    <definedName name="Matrix_Level" localSheetId="29">'3398'!$J$27</definedName>
    <definedName name="Matrix_Level" localSheetId="30">'3400'!$J$27</definedName>
    <definedName name="Matrix_Level" localSheetId="31">'3401'!$J$27</definedName>
    <definedName name="Matrix_Level" localSheetId="32">'3411'!$J$27</definedName>
    <definedName name="Matrix_Level" localSheetId="33">'3413'!$J$27</definedName>
    <definedName name="Matrix_Level" localSheetId="34">'3421'!$J$27</definedName>
    <definedName name="Matrix_Level" localSheetId="35">'3431'!$J$27</definedName>
    <definedName name="Matrix_Level" localSheetId="36">'3441'!$J$27</definedName>
    <definedName name="Matrix_Level" localSheetId="37">'3443'!$J$27</definedName>
    <definedName name="Matrix_Level" localSheetId="38">'3941'!$J$27</definedName>
    <definedName name="Matrix_Level" localSheetId="39">'3961'!$J$27</definedName>
    <definedName name="Matrix_Level" localSheetId="40">'3971'!$J$27</definedName>
    <definedName name="Matrix_Level" localSheetId="41">'4000'!$J$27</definedName>
    <definedName name="Matrix_Level" localSheetId="43">'4002'!$J$27</definedName>
    <definedName name="Matrix_Level" localSheetId="42">'4010'!$J$27</definedName>
    <definedName name="Matrix_Level" localSheetId="44">'4012'!$J$27</definedName>
    <definedName name="Matrix_Level" localSheetId="45">'4013'!$J$27</definedName>
    <definedName name="Matrix_Level" localSheetId="46">'4020'!$J$27</definedName>
    <definedName name="Matrix_Level" localSheetId="47">'4037'!$J$27</definedName>
    <definedName name="Matrix_Level" localSheetId="48">#REF!</definedName>
    <definedName name="Matrix_Level" localSheetId="49">'4041'!$J$27</definedName>
    <definedName name="Matrix_Level">#REF!</definedName>
    <definedName name="Number_of_FTE" localSheetId="2">'0054'!$G$8</definedName>
    <definedName name="Number_of_FTE" localSheetId="3">'0642'!$G$8</definedName>
    <definedName name="Number_of_FTE" localSheetId="4">'0664'!$G$8</definedName>
    <definedName name="Number_of_FTE" localSheetId="5">'1461'!$G$8</definedName>
    <definedName name="Number_of_FTE" localSheetId="6">'1571'!$G$8</definedName>
    <definedName name="Number_of_FTE" localSheetId="7">'2521'!$G$8</definedName>
    <definedName name="Number_of_FTE" localSheetId="8">'2531'!$G$8</definedName>
    <definedName name="Number_of_FTE" localSheetId="9">'2641'!$G$8</definedName>
    <definedName name="Number_of_FTE" localSheetId="10">'2661'!$G$8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'3344'!$G$8</definedName>
    <definedName name="Number_of_FTE" localSheetId="17">'3345'!$G$8</definedName>
    <definedName name="Number_of_FTE" localSheetId="18">'3347'!$G$8</definedName>
    <definedName name="Number_of_FTE" localSheetId="19">'3381'!$G$8</definedName>
    <definedName name="Number_of_FTE" localSheetId="20">'3382'!$G$8</definedName>
    <definedName name="Number_of_FTE" localSheetId="21">'3384'!$G$8</definedName>
    <definedName name="Number_of_FTE" localSheetId="22">'3385'!$G$8</definedName>
    <definedName name="Number_of_FTE" localSheetId="23">'3386'!$G$8</definedName>
    <definedName name="Number_of_FTE" localSheetId="24">'3391'!$G$8</definedName>
    <definedName name="Number_of_FTE" localSheetId="25">'3392'!$G$8</definedName>
    <definedName name="Number_of_FTE" localSheetId="26">'3394'!$G$8</definedName>
    <definedName name="Number_of_FTE" localSheetId="27">'3395'!$G$8</definedName>
    <definedName name="Number_of_FTE" localSheetId="28">'3396'!$G$8</definedName>
    <definedName name="Number_of_FTE" localSheetId="29">'3398'!$G$8</definedName>
    <definedName name="Number_of_FTE" localSheetId="30">'3400'!$G$8</definedName>
    <definedName name="Number_of_FTE" localSheetId="31">'3401'!$G$8</definedName>
    <definedName name="Number_of_FTE" localSheetId="32">'3411'!$G$8</definedName>
    <definedName name="Number_of_FTE" localSheetId="33">'3413'!$G$8</definedName>
    <definedName name="Number_of_FTE" localSheetId="34">'3421'!$G$8</definedName>
    <definedName name="Number_of_FTE" localSheetId="35">'3431'!$G$8</definedName>
    <definedName name="Number_of_FTE" localSheetId="36">'3441'!$G$8</definedName>
    <definedName name="Number_of_FTE" localSheetId="37">'3443'!$G$8</definedName>
    <definedName name="Number_of_FTE" localSheetId="38">'3941'!$G$8</definedName>
    <definedName name="Number_of_FTE" localSheetId="39">'3961'!$G$8</definedName>
    <definedName name="Number_of_FTE" localSheetId="40">'3971'!$G$8</definedName>
    <definedName name="Number_of_FTE" localSheetId="41">'4000'!$G$8</definedName>
    <definedName name="Number_of_FTE" localSheetId="43">'4002'!$G$8</definedName>
    <definedName name="Number_of_FTE" localSheetId="42">'4010'!$G$8</definedName>
    <definedName name="Number_of_FTE" localSheetId="44">'4012'!$G$8</definedName>
    <definedName name="Number_of_FTE" localSheetId="45">'4013'!$G$8</definedName>
    <definedName name="Number_of_FTE" localSheetId="46">'4020'!$G$8</definedName>
    <definedName name="Number_of_FTE" localSheetId="47">'4037'!$G$8</definedName>
    <definedName name="Number_of_FTE" localSheetId="48">#REF!</definedName>
    <definedName name="Number_of_FTE" localSheetId="49">'4041'!$G$8</definedName>
    <definedName name="Number_of_FTE">#REF!</definedName>
    <definedName name="NvsASD" localSheetId="2">"V2014-01-01"</definedName>
    <definedName name="NvsASD" localSheetId="3">"V2014-01-01"</definedName>
    <definedName name="NvsASD" localSheetId="4">"V2014-01-01"</definedName>
    <definedName name="NvsASD" localSheetId="5">"V2014-01-01"</definedName>
    <definedName name="NvsASD" localSheetId="6">"V2014-01-01"</definedName>
    <definedName name="NvsASD" localSheetId="7">"V2014-01-01"</definedName>
    <definedName name="NvsASD" localSheetId="8">"V2014-01-01"</definedName>
    <definedName name="NvsASD" localSheetId="9">"V2014-01-01"</definedName>
    <definedName name="NvsASD" localSheetId="10">"V2014-01-01"</definedName>
    <definedName name="NvsASD" localSheetId="11">"V2014-01-01"</definedName>
    <definedName name="NvsASD" localSheetId="12">"V2014-01-01"</definedName>
    <definedName name="NvsASD" localSheetId="13">"V2014-01-01"</definedName>
    <definedName name="NvsASD" localSheetId="14">"V2014-01-01"</definedName>
    <definedName name="NvsASD" localSheetId="15">"V2014-01-01"</definedName>
    <definedName name="NvsASD" localSheetId="16">"V2014-01-01"</definedName>
    <definedName name="NvsASD" localSheetId="17">"V2014-01-01"</definedName>
    <definedName name="NvsASD" localSheetId="18">"V2014-01-01"</definedName>
    <definedName name="NvsASD" localSheetId="19">"V2014-01-01"</definedName>
    <definedName name="NvsASD" localSheetId="20">"V2014-01-01"</definedName>
    <definedName name="NvsASD" localSheetId="21">"V2014-01-01"</definedName>
    <definedName name="NvsASD" localSheetId="22">"V2014-01-01"</definedName>
    <definedName name="NvsASD" localSheetId="23">"V2014-01-01"</definedName>
    <definedName name="NvsASD" localSheetId="24">"V2014-01-01"</definedName>
    <definedName name="NvsASD" localSheetId="25">"V2014-01-01"</definedName>
    <definedName name="NvsASD" localSheetId="26">"V2014-01-01"</definedName>
    <definedName name="NvsASD" localSheetId="27">"V2014-01-01"</definedName>
    <definedName name="NvsASD" localSheetId="28">"V2014-01-01"</definedName>
    <definedName name="NvsASD" localSheetId="29">"V2014-01-01"</definedName>
    <definedName name="NvsASD" localSheetId="30">"V2014-01-01"</definedName>
    <definedName name="NvsASD" localSheetId="31">"V2014-01-01"</definedName>
    <definedName name="NvsASD" localSheetId="32">"V2014-01-01"</definedName>
    <definedName name="NvsASD" localSheetId="33">"V2014-01-01"</definedName>
    <definedName name="NvsASD" localSheetId="34">"V2014-01-01"</definedName>
    <definedName name="NvsASD" localSheetId="35">"V2014-01-01"</definedName>
    <definedName name="NvsASD" localSheetId="36">"V2014-01-01"</definedName>
    <definedName name="NvsASD" localSheetId="37">"V2014-01-01"</definedName>
    <definedName name="NvsASD" localSheetId="38">"V2014-01-01"</definedName>
    <definedName name="NvsASD" localSheetId="39">"V2014-01-01"</definedName>
    <definedName name="NvsASD" localSheetId="40">"V2014-01-01"</definedName>
    <definedName name="NvsASD" localSheetId="41">"V2014-01-01"</definedName>
    <definedName name="NvsASD" localSheetId="43">"V2014-01-01"</definedName>
    <definedName name="NvsASD" localSheetId="42">"V2014-01-01"</definedName>
    <definedName name="NvsASD" localSheetId="44">"V2014-01-01"</definedName>
    <definedName name="NvsASD" localSheetId="45">"V2014-01-01"</definedName>
    <definedName name="NvsASD" localSheetId="46">"V2014-01-01"</definedName>
    <definedName name="NvsASD" localSheetId="47">"V2014-01-01"</definedName>
    <definedName name="NvsASD" localSheetId="49">"V2014-01-01"</definedName>
    <definedName name="NvsASD">"V2009-04-30"</definedName>
    <definedName name="NvsAutoDrillOk">"VN"</definedName>
    <definedName name="NvsElapsedTime" localSheetId="2">0.0000231481462833472</definedName>
    <definedName name="NvsElapsedTime" localSheetId="3">0</definedName>
    <definedName name="NvsElapsedTime" localSheetId="4">0</definedName>
    <definedName name="NvsElapsedTime" localSheetId="5">0.0000115740767796524</definedName>
    <definedName name="NvsElapsedTime" localSheetId="6">0</definedName>
    <definedName name="NvsElapsedTime" localSheetId="7">0.0000115740767796524</definedName>
    <definedName name="NvsElapsedTime" localSheetId="8">0.0000115740767796524</definedName>
    <definedName name="NvsElapsedTime" localSheetId="9">0.0000231481462833472</definedName>
    <definedName name="NvsElapsedTime" localSheetId="10">0.0000115740767796524</definedName>
    <definedName name="NvsElapsedTime" localSheetId="11">0.0000115740767796524</definedName>
    <definedName name="NvsElapsedTime" localSheetId="12">0.0000115740695036948</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0.0000115740767796524</definedName>
    <definedName name="NvsElapsedTime" localSheetId="19">0.0000115740767796524</definedName>
    <definedName name="NvsElapsedTime" localSheetId="20">0.0000115740695036948</definedName>
    <definedName name="NvsElapsedTime" localSheetId="21">0.0000115740767796524</definedName>
    <definedName name="NvsElapsedTime" localSheetId="22">0.0000115740695036948</definedName>
    <definedName name="NvsElapsedTime" localSheetId="23">0.0000115740767796524</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0.0000115740695036948</definedName>
    <definedName name="NvsElapsedTime" localSheetId="29">0.0000115740767796524</definedName>
    <definedName name="NvsElapsedTime" localSheetId="30">0.0000115740767796524</definedName>
    <definedName name="NvsElapsedTime" localSheetId="31">0.0000115740695036948</definedName>
    <definedName name="NvsElapsedTime" localSheetId="32">0.0000115740767796524</definedName>
    <definedName name="NvsElapsedTime" localSheetId="33">0.0000115740767796524</definedName>
    <definedName name="NvsElapsedTime" localSheetId="34">0.0000115740767796524</definedName>
    <definedName name="NvsElapsedTime" localSheetId="35">0.0000115740695036948</definedName>
    <definedName name="NvsElapsedTime" localSheetId="36">0.0000115740695036948</definedName>
    <definedName name="NvsElapsedTime" localSheetId="37">0.0000115740767796524</definedName>
    <definedName name="NvsElapsedTime" localSheetId="38">0.0000115740767796524</definedName>
    <definedName name="NvsElapsedTime" localSheetId="39">0.0000115740767796524</definedName>
    <definedName name="NvsElapsedTime" localSheetId="40">0.0000115740695036948</definedName>
    <definedName name="NvsElapsedTime" localSheetId="41">0.0000115740767796524</definedName>
    <definedName name="NvsElapsedTime" localSheetId="43">0.0000115740767796524</definedName>
    <definedName name="NvsElapsedTime" localSheetId="42">0.0000115740695036948</definedName>
    <definedName name="NvsElapsedTime" localSheetId="44">0</definedName>
    <definedName name="NvsElapsedTime" localSheetId="45">0.0000115740695036948</definedName>
    <definedName name="NvsElapsedTime" localSheetId="46">0.0000115740767796524</definedName>
    <definedName name="NvsElapsedTime" localSheetId="47">0.0000115740695036948</definedName>
    <definedName name="NvsElapsedTime" localSheetId="49">0.0000115740695036948</definedName>
    <definedName name="NvsElapsedTime">0.0000578703693463467</definedName>
    <definedName name="NvsEndTime" localSheetId="2">41646.4689583333</definedName>
    <definedName name="NvsEndTime" localSheetId="3">41646.4689583333</definedName>
    <definedName name="NvsEndTime" localSheetId="4">41646.4689699074</definedName>
    <definedName name="NvsEndTime" localSheetId="5">41646.4689814815</definedName>
    <definedName name="NvsEndTime" localSheetId="6">41646.4689930556</definedName>
    <definedName name="NvsEndTime" localSheetId="7">41646.4690046296</definedName>
    <definedName name="NvsEndTime" localSheetId="8">41646.4690277778</definedName>
    <definedName name="NvsEndTime" localSheetId="9">41646.4690509259</definedName>
    <definedName name="NvsEndTime" localSheetId="10">41646.4690625</definedName>
    <definedName name="NvsEndTime" localSheetId="11">41646.4690740741</definedName>
    <definedName name="NvsEndTime" localSheetId="12">41646.4690856481</definedName>
    <definedName name="NvsEndTime" localSheetId="13">41646.4690972222</definedName>
    <definedName name="NvsEndTime" localSheetId="14">41646.4691087963</definedName>
    <definedName name="NvsEndTime" localSheetId="15">41646.4691203704</definedName>
    <definedName name="NvsEndTime" localSheetId="16">41646.4691319444</definedName>
    <definedName name="NvsEndTime" localSheetId="17">41646.4691435185</definedName>
    <definedName name="NvsEndTime" localSheetId="18">41646.4691550926</definedName>
    <definedName name="NvsEndTime" localSheetId="19">41646.4691666667</definedName>
    <definedName name="NvsEndTime" localSheetId="20">41646.4691782407</definedName>
    <definedName name="NvsEndTime" localSheetId="21">41646.4691898148</definedName>
    <definedName name="NvsEndTime" localSheetId="22">41646.4692013889</definedName>
    <definedName name="NvsEndTime" localSheetId="23">41646.469212963</definedName>
    <definedName name="NvsEndTime" localSheetId="24">41646.469224537</definedName>
    <definedName name="NvsEndTime" localSheetId="25">41646.4692361111</definedName>
    <definedName name="NvsEndTime" localSheetId="26">41646.4692476852</definedName>
    <definedName name="NvsEndTime" localSheetId="27">41646.4692592593</definedName>
    <definedName name="NvsEndTime" localSheetId="28">41646.4692708333</definedName>
    <definedName name="NvsEndTime" localSheetId="29">41646.4692824074</definedName>
    <definedName name="NvsEndTime" localSheetId="30">41646.4692939815</definedName>
    <definedName name="NvsEndTime" localSheetId="31">41646.4693055556</definedName>
    <definedName name="NvsEndTime" localSheetId="32">41646.4693171296</definedName>
    <definedName name="NvsEndTime" localSheetId="33">41646.4693402778</definedName>
    <definedName name="NvsEndTime" localSheetId="34">41646.4693518519</definedName>
    <definedName name="NvsEndTime" localSheetId="35">41646.4693634259</definedName>
    <definedName name="NvsEndTime" localSheetId="36">41646.4693634259</definedName>
    <definedName name="NvsEndTime" localSheetId="37">41646.469375</definedName>
    <definedName name="NvsEndTime" localSheetId="38">41646.4693865741</definedName>
    <definedName name="NvsEndTime" localSheetId="39">41646.4694097222</definedName>
    <definedName name="NvsEndTime" localSheetId="40">41646.4694212963</definedName>
    <definedName name="NvsEndTime" localSheetId="41">41646.4694328704</definedName>
    <definedName name="NvsEndTime" localSheetId="43">41646.4694444444</definedName>
    <definedName name="NvsEndTime" localSheetId="42">41646.4694560185</definedName>
    <definedName name="NvsEndTime" localSheetId="44">41646.4694675926</definedName>
    <definedName name="NvsEndTime" localSheetId="45">41646.4694907407</definedName>
    <definedName name="NvsEndTime" localSheetId="46">41646.4695023148</definedName>
    <definedName name="NvsEndTime" localSheetId="47">41646.4695138889</definedName>
    <definedName name="NvsEndTime" localSheetId="49">41646.4695138889</definedName>
    <definedName name="NvsEndTime">39955.4323032407</definedName>
    <definedName name="NvsInstanceHook" localSheetId="2">"CopySheet"</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3">"CopySheet"</definedName>
    <definedName name="NvsInstanceHook" localSheetId="42">"CopySheet"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"CopySheet"</definedName>
    <definedName name="NvsInstLang">"VENG"</definedName>
    <definedName name="NvsInstSpec" localSheetId="2">"%,FDEPTID,V0054"</definedName>
    <definedName name="NvsInstSpec" localSheetId="3">"%,FDEPTID,V0642"</definedName>
    <definedName name="NvsInstSpec" localSheetId="4">"%,FDEPTID,V0664"</definedName>
    <definedName name="NvsInstSpec" localSheetId="5">"%,FDEPTID,V1461"</definedName>
    <definedName name="NvsInstSpec" localSheetId="6">"%,FDEPTID,V1571"</definedName>
    <definedName name="NvsInstSpec" localSheetId="7">"%,FDEPTID,V2521"</definedName>
    <definedName name="NvsInstSpec" localSheetId="8">"%,FDEPTID,V2531"</definedName>
    <definedName name="NvsInstSpec" localSheetId="9">"%,FDEPTID,V2641"</definedName>
    <definedName name="NvsInstSpec" localSheetId="10">"%,FDEPTID,V2661"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"%,FDEPTID,V3344"</definedName>
    <definedName name="NvsInstSpec" localSheetId="17">"%,FDEPTID,V3345"</definedName>
    <definedName name="NvsInstSpec" localSheetId="18">"%,FDEPTID,V3347"</definedName>
    <definedName name="NvsInstSpec" localSheetId="19">"%,FDEPTID,V3381"</definedName>
    <definedName name="NvsInstSpec" localSheetId="20">"%,FDEPTID,V3382"</definedName>
    <definedName name="NvsInstSpec" localSheetId="21">"%,FDEPTID,V3384"</definedName>
    <definedName name="NvsInstSpec" localSheetId="22">"%,FDEPTID,V3385"</definedName>
    <definedName name="NvsInstSpec" localSheetId="23">"%,FDEPTID,V3386"</definedName>
    <definedName name="NvsInstSpec" localSheetId="24">"%,FDEPTID,V3391"</definedName>
    <definedName name="NvsInstSpec" localSheetId="25">"%,FDEPTID,V3392"</definedName>
    <definedName name="NvsInstSpec" localSheetId="26">"%,FDEPTID,V3394"</definedName>
    <definedName name="NvsInstSpec" localSheetId="27">"%,FDEPTID,V3395"</definedName>
    <definedName name="NvsInstSpec" localSheetId="28">"%,FDEPTID,V3396"</definedName>
    <definedName name="NvsInstSpec" localSheetId="29">"%,FDEPTID,V3398"</definedName>
    <definedName name="NvsInstSpec" localSheetId="30">"%,FDEPTID,V3400"</definedName>
    <definedName name="NvsInstSpec" localSheetId="31">"%,FDEPTID,V3401"</definedName>
    <definedName name="NvsInstSpec" localSheetId="32">"%,FDEPTID,V3411"</definedName>
    <definedName name="NvsInstSpec" localSheetId="33">"%,FDEPTID,V3413"</definedName>
    <definedName name="NvsInstSpec" localSheetId="34">"%,FDEPTID,V3421"</definedName>
    <definedName name="NvsInstSpec" localSheetId="35">"%,FDEPTID,V3431"</definedName>
    <definedName name="NvsInstSpec" localSheetId="36">"%,FDEPTID,V3431"</definedName>
    <definedName name="NvsInstSpec" localSheetId="37">"%,FDEPTID,V3443"</definedName>
    <definedName name="NvsInstSpec" localSheetId="38">"%,FDEPTID,V3941"</definedName>
    <definedName name="NvsInstSpec" localSheetId="39">"%,FDEPTID,V3961"</definedName>
    <definedName name="NvsInstSpec" localSheetId="40">"%,FDEPTID,V3971"</definedName>
    <definedName name="NvsInstSpec" localSheetId="41">"%,FDEPTID,V4000"</definedName>
    <definedName name="NvsInstSpec" localSheetId="43">"%,FDEPTID,V4002"</definedName>
    <definedName name="NvsInstSpec" localSheetId="42">"%,FDEPTID,V4010"</definedName>
    <definedName name="NvsInstSpec" localSheetId="44">"%,FDEPTID,V4012"</definedName>
    <definedName name="NvsInstSpec" localSheetId="45">"%,FDEPTID,V4013"</definedName>
    <definedName name="NvsInstSpec" localSheetId="46">"%,FDEPTID,V4020"</definedName>
    <definedName name="NvsInstSpec" localSheetId="47">"%,FDEPTID,V4037"</definedName>
    <definedName name="NvsInstSpec" localSheetId="49">"%,FDEPTID,V4037"</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2">"V2007-07-01"</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3">"V2007-07-01"</definedName>
    <definedName name="NvsPanelEffdt" localSheetId="42">"V2007-07-01"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"V1901-01-01"</definedName>
    <definedName name="NvsPanelSetid">"VSHARE"</definedName>
    <definedName name="NvsReqBU">"VSDPBC"</definedName>
    <definedName name="NvsReqBUOnly">"VY"</definedName>
    <definedName name="NvsSheetType" localSheetId="2">"M"</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3">"M"</definedName>
    <definedName name="NvsSheetType" localSheetId="42">"M"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TransLed">"VN"</definedName>
    <definedName name="NvsTreeASD" localSheetId="2">"V2014-01-01"</definedName>
    <definedName name="NvsTreeASD" localSheetId="3">"V2014-01-01"</definedName>
    <definedName name="NvsTreeASD" localSheetId="4">"V2014-01-01"</definedName>
    <definedName name="NvsTreeASD" localSheetId="5">"V2014-01-01"</definedName>
    <definedName name="NvsTreeASD" localSheetId="6">"V2014-01-01"</definedName>
    <definedName name="NvsTreeASD" localSheetId="7">"V2014-01-01"</definedName>
    <definedName name="NvsTreeASD" localSheetId="8">"V2014-01-01"</definedName>
    <definedName name="NvsTreeASD" localSheetId="9">"V2014-01-01"</definedName>
    <definedName name="NvsTreeASD" localSheetId="10">"V2014-01-01"</definedName>
    <definedName name="NvsTreeASD" localSheetId="11">"V2014-01-01"</definedName>
    <definedName name="NvsTreeASD" localSheetId="12">"V2014-01-01"</definedName>
    <definedName name="NvsTreeASD" localSheetId="13">"V2014-01-01"</definedName>
    <definedName name="NvsTreeASD" localSheetId="14">"V2014-01-01"</definedName>
    <definedName name="NvsTreeASD" localSheetId="15">"V2014-01-01"</definedName>
    <definedName name="NvsTreeASD" localSheetId="16">"V2014-01-01"</definedName>
    <definedName name="NvsTreeASD" localSheetId="17">"V2014-01-01"</definedName>
    <definedName name="NvsTreeASD" localSheetId="18">"V2014-01-01"</definedName>
    <definedName name="NvsTreeASD" localSheetId="19">"V2014-01-01"</definedName>
    <definedName name="NvsTreeASD" localSheetId="20">"V2014-01-01"</definedName>
    <definedName name="NvsTreeASD" localSheetId="21">"V2014-01-01"</definedName>
    <definedName name="NvsTreeASD" localSheetId="22">"V2014-01-01"</definedName>
    <definedName name="NvsTreeASD" localSheetId="23">"V2014-01-01"</definedName>
    <definedName name="NvsTreeASD" localSheetId="24">"V2014-01-01"</definedName>
    <definedName name="NvsTreeASD" localSheetId="25">"V2014-01-01"</definedName>
    <definedName name="NvsTreeASD" localSheetId="26">"V2014-01-01"</definedName>
    <definedName name="NvsTreeASD" localSheetId="27">"V2014-01-01"</definedName>
    <definedName name="NvsTreeASD" localSheetId="28">"V2014-01-01"</definedName>
    <definedName name="NvsTreeASD" localSheetId="29">"V2014-01-01"</definedName>
    <definedName name="NvsTreeASD" localSheetId="30">"V2014-01-01"</definedName>
    <definedName name="NvsTreeASD" localSheetId="31">"V2014-01-01"</definedName>
    <definedName name="NvsTreeASD" localSheetId="32">"V2014-01-01"</definedName>
    <definedName name="NvsTreeASD" localSheetId="33">"V2014-01-01"</definedName>
    <definedName name="NvsTreeASD" localSheetId="34">"V2014-01-01"</definedName>
    <definedName name="NvsTreeASD" localSheetId="35">"V2014-01-01"</definedName>
    <definedName name="NvsTreeASD" localSheetId="36">"V2014-01-01"</definedName>
    <definedName name="NvsTreeASD" localSheetId="37">"V2014-01-01"</definedName>
    <definedName name="NvsTreeASD" localSheetId="38">"V2014-01-01"</definedName>
    <definedName name="NvsTreeASD" localSheetId="39">"V2014-01-01"</definedName>
    <definedName name="NvsTreeASD" localSheetId="40">"V2014-01-01"</definedName>
    <definedName name="NvsTreeASD" localSheetId="41">"V2014-01-01"</definedName>
    <definedName name="NvsTreeASD" localSheetId="43">"V2014-01-01"</definedName>
    <definedName name="NvsTreeASD" localSheetId="42">"V2014-01-01"</definedName>
    <definedName name="NvsTreeASD" localSheetId="44">"V2014-01-01"</definedName>
    <definedName name="NvsTreeASD" localSheetId="45">"V2014-01-01"</definedName>
    <definedName name="NvsTreeASD" localSheetId="46">"V2014-01-01"</definedName>
    <definedName name="NvsTreeASD" localSheetId="47">"V2014-01-01"</definedName>
    <definedName name="NvsTreeASD" localSheetId="49">"V2014-01-01"</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2">'0054'!$I$39</definedName>
    <definedName name="Per_Student" localSheetId="3">'0642'!$I$39</definedName>
    <definedName name="Per_Student" localSheetId="4">'0664'!$I$39</definedName>
    <definedName name="Per_Student" localSheetId="5">'1461'!$I$39</definedName>
    <definedName name="Per_Student" localSheetId="6">'1571'!$I$39</definedName>
    <definedName name="Per_Student" localSheetId="7">'2521'!$I$39</definedName>
    <definedName name="Per_Student" localSheetId="8">'2531'!$I$39</definedName>
    <definedName name="Per_Student" localSheetId="9">'2641'!$I$39</definedName>
    <definedName name="Per_Student" localSheetId="10">'2661'!$I$39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'3344'!$I$39</definedName>
    <definedName name="Per_Student" localSheetId="17">'3345'!$I$39</definedName>
    <definedName name="Per_Student" localSheetId="18">'3347'!$I$39</definedName>
    <definedName name="Per_Student" localSheetId="19">'3381'!$I$39</definedName>
    <definedName name="Per_Student" localSheetId="20">'3382'!$I$39</definedName>
    <definedName name="Per_Student" localSheetId="21">'3384'!$I$39</definedName>
    <definedName name="Per_Student" localSheetId="22">'3385'!$I$39</definedName>
    <definedName name="Per_Student" localSheetId="23">'3386'!$I$39</definedName>
    <definedName name="Per_Student" localSheetId="24">'3391'!$I$39</definedName>
    <definedName name="Per_Student" localSheetId="25">'3392'!$I$39</definedName>
    <definedName name="Per_Student" localSheetId="26">'3394'!$I$39</definedName>
    <definedName name="Per_Student" localSheetId="27">'3395'!$I$39</definedName>
    <definedName name="Per_Student" localSheetId="28">'3396'!$I$39</definedName>
    <definedName name="Per_Student" localSheetId="29">'3398'!$I$39</definedName>
    <definedName name="Per_Student" localSheetId="30">'3400'!$I$39</definedName>
    <definedName name="Per_Student" localSheetId="31">'3401'!$I$39</definedName>
    <definedName name="Per_Student" localSheetId="32">'3411'!$I$39</definedName>
    <definedName name="Per_Student" localSheetId="33">'3413'!$I$39</definedName>
    <definedName name="Per_Student" localSheetId="34">'3421'!$I$39</definedName>
    <definedName name="Per_Student" localSheetId="35">'3431'!$I$39</definedName>
    <definedName name="Per_Student" localSheetId="36">'3441'!$I$39</definedName>
    <definedName name="Per_Student" localSheetId="37">'3443'!$I$39</definedName>
    <definedName name="Per_Student" localSheetId="38">'3941'!$I$39</definedName>
    <definedName name="Per_Student" localSheetId="39">'3961'!$I$39</definedName>
    <definedName name="Per_Student" localSheetId="40">'3971'!$I$39</definedName>
    <definedName name="Per_Student" localSheetId="41">'4000'!$I$39</definedName>
    <definedName name="Per_Student" localSheetId="43">'4002'!$I$39</definedName>
    <definedName name="Per_Student" localSheetId="42">'4010'!$I$39</definedName>
    <definedName name="Per_Student" localSheetId="44">'4012'!$I$39</definedName>
    <definedName name="Per_Student" localSheetId="45">'4013'!$I$39</definedName>
    <definedName name="Per_Student" localSheetId="46">'4020'!$I$39</definedName>
    <definedName name="Per_Student" localSheetId="47">'4037'!$I$39</definedName>
    <definedName name="Per_Student" localSheetId="48">#REF!</definedName>
    <definedName name="Per_Student" localSheetId="49">'4041'!$I$39</definedName>
    <definedName name="Per_Student">#REF!</definedName>
    <definedName name="PK___3" localSheetId="2">'0054'!$B$47</definedName>
    <definedName name="PK___3" localSheetId="3">'0642'!$B$47</definedName>
    <definedName name="PK___3" localSheetId="4">'0664'!$B$47</definedName>
    <definedName name="PK___3" localSheetId="5">'1461'!$B$47</definedName>
    <definedName name="PK___3" localSheetId="6">'1571'!$B$47</definedName>
    <definedName name="PK___3" localSheetId="7">'2521'!$B$47</definedName>
    <definedName name="PK___3" localSheetId="8">'2531'!$B$47</definedName>
    <definedName name="PK___3" localSheetId="9">'2641'!$B$47</definedName>
    <definedName name="PK___3" localSheetId="10">'2661'!$B$47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'3344'!$B$47</definedName>
    <definedName name="PK___3" localSheetId="17">'3345'!$B$47</definedName>
    <definedName name="PK___3" localSheetId="18">'3347'!$B$47</definedName>
    <definedName name="PK___3" localSheetId="19">'3381'!$B$47</definedName>
    <definedName name="PK___3" localSheetId="20">'3382'!$B$47</definedName>
    <definedName name="PK___3" localSheetId="21">'3384'!$B$47</definedName>
    <definedName name="PK___3" localSheetId="22">'3385'!$B$47</definedName>
    <definedName name="PK___3" localSheetId="23">'3386'!$B$47</definedName>
    <definedName name="PK___3" localSheetId="24">'3391'!$B$47</definedName>
    <definedName name="PK___3" localSheetId="25">'3392'!$B$47</definedName>
    <definedName name="PK___3" localSheetId="26">'3394'!$B$47</definedName>
    <definedName name="PK___3" localSheetId="27">'3395'!$B$47</definedName>
    <definedName name="PK___3" localSheetId="28">'3396'!$B$47</definedName>
    <definedName name="PK___3" localSheetId="29">'3398'!$B$47</definedName>
    <definedName name="PK___3" localSheetId="30">'3400'!$B$47</definedName>
    <definedName name="PK___3" localSheetId="31">'3401'!$B$47</definedName>
    <definedName name="PK___3" localSheetId="32">'3411'!$B$47</definedName>
    <definedName name="PK___3" localSheetId="33">'3413'!$B$47</definedName>
    <definedName name="PK___3" localSheetId="34">'3421'!$B$47</definedName>
    <definedName name="PK___3" localSheetId="35">'3431'!$B$47</definedName>
    <definedName name="PK___3" localSheetId="36">'3441'!$B$47</definedName>
    <definedName name="PK___3" localSheetId="37">'3443'!$B$47</definedName>
    <definedName name="PK___3" localSheetId="38">'3941'!$B$47</definedName>
    <definedName name="PK___3" localSheetId="39">'3961'!$B$47</definedName>
    <definedName name="PK___3" localSheetId="40">'3971'!$B$47</definedName>
    <definedName name="PK___3" localSheetId="41">'4000'!$B$47</definedName>
    <definedName name="PK___3" localSheetId="43">'4002'!$B$47</definedName>
    <definedName name="PK___3" localSheetId="42">'4010'!$B$47</definedName>
    <definedName name="PK___3" localSheetId="44">'4012'!$B$47</definedName>
    <definedName name="PK___3" localSheetId="45">'4013'!$B$47</definedName>
    <definedName name="PK___3" localSheetId="46">'4020'!$B$47</definedName>
    <definedName name="PK___3" localSheetId="47">'4037'!$B$47</definedName>
    <definedName name="PK___3" localSheetId="48">#REF!</definedName>
    <definedName name="PK___3" localSheetId="49">'4041'!$B$47</definedName>
    <definedName name="PK___3">#REF!</definedName>
    <definedName name="PRACTICE" localSheetId="2"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2">'0054'!$B$3:$L$95</definedName>
    <definedName name="_xlnm.Print_Area" localSheetId="3">'0642'!$B$3:$L$95</definedName>
    <definedName name="_xlnm.Print_Area" localSheetId="4">'0664'!$B$3:$L$95</definedName>
    <definedName name="_xlnm.Print_Area" localSheetId="5">'1461'!$B$3:$L$95</definedName>
    <definedName name="_xlnm.Print_Area" localSheetId="6">'1571'!$B$3:$L$95</definedName>
    <definedName name="_xlnm.Print_Area" localSheetId="7">'2521'!$B$3:$L$95</definedName>
    <definedName name="_xlnm.Print_Area" localSheetId="8">'2531'!$B$3:$L$95</definedName>
    <definedName name="_xlnm.Print_Area" localSheetId="9">'2641'!$B$3:$L$95</definedName>
    <definedName name="_xlnm.Print_Area" localSheetId="10">'2661'!$B$3:$L$95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'3344'!$B$3:$L$95</definedName>
    <definedName name="_xlnm.Print_Area" localSheetId="17">'3345'!$B$3:$L$95</definedName>
    <definedName name="_xlnm.Print_Area" localSheetId="18">'3347'!$B$3:$L$95</definedName>
    <definedName name="_xlnm.Print_Area" localSheetId="19">'3381'!$B$3:$L$95</definedName>
    <definedName name="_xlnm.Print_Area" localSheetId="20">'3382'!$B$3:$L$95</definedName>
    <definedName name="_xlnm.Print_Area" localSheetId="21">'3384'!$B$3:$L$95</definedName>
    <definedName name="_xlnm.Print_Area" localSheetId="22">'3385'!$B$3:$L$95</definedName>
    <definedName name="_xlnm.Print_Area" localSheetId="23">'3386'!$B$3:$L$95</definedName>
    <definedName name="_xlnm.Print_Area" localSheetId="24">'3391'!$B$3:$L$95</definedName>
    <definedName name="_xlnm.Print_Area" localSheetId="25">'3392'!$B$3:$L$95</definedName>
    <definedName name="_xlnm.Print_Area" localSheetId="26">'3394'!$B$3:$L$95</definedName>
    <definedName name="_xlnm.Print_Area" localSheetId="27">'3395'!$B$3:$L$95</definedName>
    <definedName name="_xlnm.Print_Area" localSheetId="28">'3396'!$B$3:$L$95</definedName>
    <definedName name="_xlnm.Print_Area" localSheetId="29">'3398'!$B$3:$L$95</definedName>
    <definedName name="_xlnm.Print_Area" localSheetId="30">'3400'!$B$3:$L$95</definedName>
    <definedName name="_xlnm.Print_Area" localSheetId="31">'3401'!$B$3:$L$95</definedName>
    <definedName name="_xlnm.Print_Area" localSheetId="32">'3411'!$B$3:$L$95</definedName>
    <definedName name="_xlnm.Print_Area" localSheetId="33">'3413'!$B$3:$L$95</definedName>
    <definedName name="_xlnm.Print_Area" localSheetId="34">'3421'!$B$3:$L$95</definedName>
    <definedName name="_xlnm.Print_Area" localSheetId="35">'3431'!$B$3:$L$95</definedName>
    <definedName name="_xlnm.Print_Area" localSheetId="36">'3441'!$B$3:$L$95</definedName>
    <definedName name="_xlnm.Print_Area" localSheetId="37">'3443'!$B$3:$L$95</definedName>
    <definedName name="_xlnm.Print_Area" localSheetId="38">'3941'!$B$3:$L$95</definedName>
    <definedName name="_xlnm.Print_Area" localSheetId="39">'3961'!$B$3:$L$95</definedName>
    <definedName name="_xlnm.Print_Area" localSheetId="40">'3971'!$B$3:$L$95</definedName>
    <definedName name="_xlnm.Print_Area" localSheetId="41">'4000'!$B$3:$L$95</definedName>
    <definedName name="_xlnm.Print_Area" localSheetId="43">'4002'!$B$3:$L$95</definedName>
    <definedName name="_xlnm.Print_Area" localSheetId="42">'4010'!$B$3:$L$95</definedName>
    <definedName name="_xlnm.Print_Area" localSheetId="44">'4012'!$B$3:$L$95</definedName>
    <definedName name="_xlnm.Print_Area" localSheetId="45">'4013'!$B$3:$L$95</definedName>
    <definedName name="_xlnm.Print_Area" localSheetId="46">'4020'!$B$3:$L$95</definedName>
    <definedName name="_xlnm.Print_Area" localSheetId="47">'4037'!$B$3:$L$95</definedName>
    <definedName name="_xlnm.Print_Area" localSheetId="48">'4040'!$A$3:$D$21</definedName>
    <definedName name="_xlnm.Print_Area" localSheetId="49">'4041'!$B$3:$L$95</definedName>
    <definedName name="_xlnm.Print_Area" localSheetId="0">'Net Payment'!$B$4:$D$75</definedName>
    <definedName name="_xlnm.Print_Titles" localSheetId="0">'Net Payment'!$3:$3</definedName>
    <definedName name="Program" localSheetId="2">'0054'!$B$8</definedName>
    <definedName name="Program" localSheetId="3">'0642'!$B$8</definedName>
    <definedName name="Program" localSheetId="4">'0664'!$B$8</definedName>
    <definedName name="Program" localSheetId="5">'1461'!$B$8</definedName>
    <definedName name="Program" localSheetId="6">'1571'!$B$8</definedName>
    <definedName name="Program" localSheetId="7">'2521'!$B$8</definedName>
    <definedName name="Program" localSheetId="8">'2531'!$B$8</definedName>
    <definedName name="Program" localSheetId="9">'2641'!$B$8</definedName>
    <definedName name="Program" localSheetId="10">'2661'!$B$8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'3344'!$B$8</definedName>
    <definedName name="Program" localSheetId="17">'3345'!$B$8</definedName>
    <definedName name="Program" localSheetId="18">'3347'!$B$8</definedName>
    <definedName name="Program" localSheetId="19">'3381'!$B$8</definedName>
    <definedName name="Program" localSheetId="20">'3382'!$B$8</definedName>
    <definedName name="Program" localSheetId="21">'3384'!$B$8</definedName>
    <definedName name="Program" localSheetId="22">'3385'!$B$8</definedName>
    <definedName name="Program" localSheetId="23">'3386'!$B$8</definedName>
    <definedName name="Program" localSheetId="24">'3391'!$B$8</definedName>
    <definedName name="Program" localSheetId="25">'3392'!$B$8</definedName>
    <definedName name="Program" localSheetId="26">'3394'!$B$8</definedName>
    <definedName name="Program" localSheetId="27">'3395'!$B$8</definedName>
    <definedName name="Program" localSheetId="28">'3396'!$B$8</definedName>
    <definedName name="Program" localSheetId="29">'3398'!$B$8</definedName>
    <definedName name="Program" localSheetId="30">'3400'!$B$8</definedName>
    <definedName name="Program" localSheetId="31">'3401'!$B$8</definedName>
    <definedName name="Program" localSheetId="32">'3411'!$B$8</definedName>
    <definedName name="Program" localSheetId="33">'3413'!$B$8</definedName>
    <definedName name="Program" localSheetId="34">'3421'!$B$8</definedName>
    <definedName name="Program" localSheetId="35">'3431'!$B$8</definedName>
    <definedName name="Program" localSheetId="36">'3441'!$B$8</definedName>
    <definedName name="Program" localSheetId="37">'3443'!$B$8</definedName>
    <definedName name="Program" localSheetId="38">'3941'!$B$8</definedName>
    <definedName name="Program" localSheetId="39">'3961'!$B$8</definedName>
    <definedName name="Program" localSheetId="40">'3971'!$B$8</definedName>
    <definedName name="Program" localSheetId="41">'4000'!$B$8</definedName>
    <definedName name="Program" localSheetId="43">'4002'!$B$8</definedName>
    <definedName name="Program" localSheetId="42">'4010'!$B$8</definedName>
    <definedName name="Program" localSheetId="44">'4012'!$B$8</definedName>
    <definedName name="Program" localSheetId="45">'4013'!$B$8</definedName>
    <definedName name="Program" localSheetId="46">'4020'!$B$8</definedName>
    <definedName name="Program" localSheetId="47">'4037'!$B$8</definedName>
    <definedName name="Program" localSheetId="48">#REF!</definedName>
    <definedName name="Program" localSheetId="49">'4041'!$B$8</definedName>
    <definedName name="Program">#REF!</definedName>
    <definedName name="Program______________________________Cost_Factor" localSheetId="2">'0054'!$I$8</definedName>
    <definedName name="Program______________________________Cost_Factor" localSheetId="3">'0642'!$I$8</definedName>
    <definedName name="Program______________________________Cost_Factor" localSheetId="4">'0664'!$I$8</definedName>
    <definedName name="Program______________________________Cost_Factor" localSheetId="5">'1461'!$I$8</definedName>
    <definedName name="Program______________________________Cost_Factor" localSheetId="6">'1571'!$I$8</definedName>
    <definedName name="Program______________________________Cost_Factor" localSheetId="7">'2521'!$I$8</definedName>
    <definedName name="Program______________________________Cost_Factor" localSheetId="8">'2531'!$I$8</definedName>
    <definedName name="Program______________________________Cost_Factor" localSheetId="9">'2641'!$I$8</definedName>
    <definedName name="Program______________________________Cost_Factor" localSheetId="10">'2661'!$I$8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'3344'!$I$8</definedName>
    <definedName name="Program______________________________Cost_Factor" localSheetId="17">'3345'!$I$8</definedName>
    <definedName name="Program______________________________Cost_Factor" localSheetId="18">'3347'!$I$8</definedName>
    <definedName name="Program______________________________Cost_Factor" localSheetId="19">'3381'!$I$8</definedName>
    <definedName name="Program______________________________Cost_Factor" localSheetId="20">'3382'!$I$8</definedName>
    <definedName name="Program______________________________Cost_Factor" localSheetId="21">'3384'!$I$8</definedName>
    <definedName name="Program______________________________Cost_Factor" localSheetId="22">'3385'!$I$8</definedName>
    <definedName name="Program______________________________Cost_Factor" localSheetId="23">'3386'!$I$8</definedName>
    <definedName name="Program______________________________Cost_Factor" localSheetId="24">'3391'!$I$8</definedName>
    <definedName name="Program______________________________Cost_Factor" localSheetId="25">'3392'!$I$8</definedName>
    <definedName name="Program______________________________Cost_Factor" localSheetId="26">'3394'!$I$8</definedName>
    <definedName name="Program______________________________Cost_Factor" localSheetId="27">'3395'!$I$8</definedName>
    <definedName name="Program______________________________Cost_Factor" localSheetId="28">'3396'!$I$8</definedName>
    <definedName name="Program______________________________Cost_Factor" localSheetId="29">'3398'!$I$8</definedName>
    <definedName name="Program______________________________Cost_Factor" localSheetId="30">'3400'!$I$8</definedName>
    <definedName name="Program______________________________Cost_Factor" localSheetId="31">'3401'!$I$8</definedName>
    <definedName name="Program______________________________Cost_Factor" localSheetId="32">'3411'!$I$8</definedName>
    <definedName name="Program______________________________Cost_Factor" localSheetId="33">'3413'!$I$8</definedName>
    <definedName name="Program______________________________Cost_Factor" localSheetId="34">'3421'!$I$8</definedName>
    <definedName name="Program______________________________Cost_Factor" localSheetId="35">'3431'!$I$8</definedName>
    <definedName name="Program______________________________Cost_Factor" localSheetId="36">'3441'!$I$8</definedName>
    <definedName name="Program______________________________Cost_Factor" localSheetId="37">'3443'!$I$8</definedName>
    <definedName name="Program______________________________Cost_Factor" localSheetId="38">'3941'!$I$8</definedName>
    <definedName name="Program______________________________Cost_Factor" localSheetId="39">'3961'!$I$8</definedName>
    <definedName name="Program______________________________Cost_Factor" localSheetId="40">'3971'!$I$8</definedName>
    <definedName name="Program______________________________Cost_Factor" localSheetId="41">'4000'!$I$8</definedName>
    <definedName name="Program______________________________Cost_Factor" localSheetId="43">'4002'!$I$8</definedName>
    <definedName name="Program______________________________Cost_Factor" localSheetId="42">'4010'!$I$8</definedName>
    <definedName name="Program______________________________Cost_Factor" localSheetId="44">'4012'!$I$8</definedName>
    <definedName name="Program______________________________Cost_Factor" localSheetId="45">'4013'!$I$8</definedName>
    <definedName name="Program______________________________Cost_Factor" localSheetId="46">'4020'!$I$8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#REF!</definedName>
    <definedName name="Revenue_Estimate_Worksheet_for___________Charter_School" localSheetId="2">'0054'!$B$3</definedName>
    <definedName name="Revenue_Estimate_Worksheet_for___________Charter_School" localSheetId="3">'0642'!$B$3</definedName>
    <definedName name="Revenue_Estimate_Worksheet_for___________Charter_School" localSheetId="4">'0664'!$B$3</definedName>
    <definedName name="Revenue_Estimate_Worksheet_for___________Charter_School" localSheetId="5">'1461'!$B$3</definedName>
    <definedName name="Revenue_Estimate_Worksheet_for___________Charter_School" localSheetId="6">'1571'!$B$3</definedName>
    <definedName name="Revenue_Estimate_Worksheet_for___________Charter_School" localSheetId="7">'2521'!$B$3</definedName>
    <definedName name="Revenue_Estimate_Worksheet_for___________Charter_School" localSheetId="8">'2531'!$B$3</definedName>
    <definedName name="Revenue_Estimate_Worksheet_for___________Charter_School" localSheetId="9">'2641'!$B$3</definedName>
    <definedName name="Revenue_Estimate_Worksheet_for___________Charter_School" localSheetId="10">'2661'!$B$3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'3344'!$B$3</definedName>
    <definedName name="Revenue_Estimate_Worksheet_for___________Charter_School" localSheetId="17">'3345'!$B$3</definedName>
    <definedName name="Revenue_Estimate_Worksheet_for___________Charter_School" localSheetId="18">'3347'!$B$3</definedName>
    <definedName name="Revenue_Estimate_Worksheet_for___________Charter_School" localSheetId="19">'3381'!$B$3</definedName>
    <definedName name="Revenue_Estimate_Worksheet_for___________Charter_School" localSheetId="20">'3382'!$B$3</definedName>
    <definedName name="Revenue_Estimate_Worksheet_for___________Charter_School" localSheetId="21">'3384'!$B$3</definedName>
    <definedName name="Revenue_Estimate_Worksheet_for___________Charter_School" localSheetId="22">'3385'!$B$3</definedName>
    <definedName name="Revenue_Estimate_Worksheet_for___________Charter_School" localSheetId="23">'3386'!$B$3</definedName>
    <definedName name="Revenue_Estimate_Worksheet_for___________Charter_School" localSheetId="24">'3391'!$B$3</definedName>
    <definedName name="Revenue_Estimate_Worksheet_for___________Charter_School" localSheetId="25">'3392'!$B$3</definedName>
    <definedName name="Revenue_Estimate_Worksheet_for___________Charter_School" localSheetId="26">'3394'!$B$3</definedName>
    <definedName name="Revenue_Estimate_Worksheet_for___________Charter_School" localSheetId="27">'3395'!$B$3</definedName>
    <definedName name="Revenue_Estimate_Worksheet_for___________Charter_School" localSheetId="28">'3396'!$B$3</definedName>
    <definedName name="Revenue_Estimate_Worksheet_for___________Charter_School" localSheetId="29">'3398'!$B$3</definedName>
    <definedName name="Revenue_Estimate_Worksheet_for___________Charter_School" localSheetId="30">'3400'!$B$3</definedName>
    <definedName name="Revenue_Estimate_Worksheet_for___________Charter_School" localSheetId="31">'3401'!$B$3</definedName>
    <definedName name="Revenue_Estimate_Worksheet_for___________Charter_School" localSheetId="32">'3411'!$B$3</definedName>
    <definedName name="Revenue_Estimate_Worksheet_for___________Charter_School" localSheetId="33">'3413'!$B$3</definedName>
    <definedName name="Revenue_Estimate_Worksheet_for___________Charter_School" localSheetId="34">'3421'!$B$3</definedName>
    <definedName name="Revenue_Estimate_Worksheet_for___________Charter_School" localSheetId="35">'3431'!$B$3</definedName>
    <definedName name="Revenue_Estimate_Worksheet_for___________Charter_School" localSheetId="36">'3441'!$B$3</definedName>
    <definedName name="Revenue_Estimate_Worksheet_for___________Charter_School" localSheetId="37">'3443'!$B$3</definedName>
    <definedName name="Revenue_Estimate_Worksheet_for___________Charter_School" localSheetId="38">'3941'!$B$3</definedName>
    <definedName name="Revenue_Estimate_Worksheet_for___________Charter_School" localSheetId="39">'3961'!$B$3</definedName>
    <definedName name="Revenue_Estimate_Worksheet_for___________Charter_School" localSheetId="40">'3971'!$B$3</definedName>
    <definedName name="Revenue_Estimate_Worksheet_for___________Charter_School" localSheetId="41">'4000'!$B$3</definedName>
    <definedName name="Revenue_Estimate_Worksheet_for___________Charter_School" localSheetId="43">'4002'!$B$3</definedName>
    <definedName name="Revenue_Estimate_Worksheet_for___________Charter_School" localSheetId="42">'4010'!$B$3</definedName>
    <definedName name="Revenue_Estimate_Worksheet_for___________Charter_School" localSheetId="44">'4012'!$B$3</definedName>
    <definedName name="Revenue_Estimate_Worksheet_for___________Charter_School" localSheetId="45">'4013'!$B$3</definedName>
    <definedName name="Revenue_Estimate_Worksheet_for___________Charter_School" localSheetId="46">'4020'!$B$3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#REF!</definedName>
    <definedName name="RID" localSheetId="36">#REF!</definedName>
    <definedName name="RID" localSheetId="48">#REF!</definedName>
    <definedName name="RID" localSheetId="49">#REF!</definedName>
    <definedName name="RID">#REF!</definedName>
    <definedName name="School_District" localSheetId="2">'0054'!$B$5</definedName>
    <definedName name="School_District" localSheetId="3">'0642'!$B$5</definedName>
    <definedName name="School_District" localSheetId="4">'0664'!$B$5</definedName>
    <definedName name="School_District" localSheetId="5">'1461'!$B$5</definedName>
    <definedName name="School_District" localSheetId="6">'1571'!$B$5</definedName>
    <definedName name="School_District" localSheetId="7">'2521'!$B$5</definedName>
    <definedName name="School_District" localSheetId="8">'2531'!$B$5</definedName>
    <definedName name="School_District" localSheetId="9">'2641'!$B$5</definedName>
    <definedName name="School_District" localSheetId="10">'2661'!$B$5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'3344'!$B$5</definedName>
    <definedName name="School_District" localSheetId="17">'3345'!$B$5</definedName>
    <definedName name="School_District" localSheetId="18">'3347'!$B$5</definedName>
    <definedName name="School_District" localSheetId="19">'3381'!$B$5</definedName>
    <definedName name="School_District" localSheetId="20">'3382'!$B$5</definedName>
    <definedName name="School_District" localSheetId="21">'3384'!$B$5</definedName>
    <definedName name="School_District" localSheetId="22">'3385'!$B$5</definedName>
    <definedName name="School_District" localSheetId="23">'3386'!$B$5</definedName>
    <definedName name="School_District" localSheetId="24">'3391'!$B$5</definedName>
    <definedName name="School_District" localSheetId="25">'3392'!$B$5</definedName>
    <definedName name="School_District" localSheetId="26">'3394'!$B$5</definedName>
    <definedName name="School_District" localSheetId="27">'3395'!$B$5</definedName>
    <definedName name="School_District" localSheetId="28">'3396'!$B$5</definedName>
    <definedName name="School_District" localSheetId="29">'3398'!$B$5</definedName>
    <definedName name="School_District" localSheetId="30">'3400'!$B$5</definedName>
    <definedName name="School_District" localSheetId="31">'3401'!$B$5</definedName>
    <definedName name="School_District" localSheetId="32">'3411'!$B$5</definedName>
    <definedName name="School_District" localSheetId="33">'3413'!$B$5</definedName>
    <definedName name="School_District" localSheetId="34">'3421'!$B$5</definedName>
    <definedName name="School_District" localSheetId="35">'3431'!$B$5</definedName>
    <definedName name="School_District" localSheetId="36">'3441'!$B$5</definedName>
    <definedName name="School_District" localSheetId="37">'3443'!$B$5</definedName>
    <definedName name="School_District" localSheetId="38">'3941'!$B$5</definedName>
    <definedName name="School_District" localSheetId="39">'3961'!$B$5</definedName>
    <definedName name="School_District" localSheetId="40">'3971'!$B$5</definedName>
    <definedName name="School_District" localSheetId="41">'4000'!$B$5</definedName>
    <definedName name="School_District" localSheetId="43">'4002'!$B$5</definedName>
    <definedName name="School_District" localSheetId="42">'4010'!$B$5</definedName>
    <definedName name="School_District" localSheetId="44">'4012'!$B$5</definedName>
    <definedName name="School_District" localSheetId="45">'4013'!$B$5</definedName>
    <definedName name="School_District" localSheetId="46">'4020'!$B$5</definedName>
    <definedName name="School_District" localSheetId="47">'4037'!$B$5</definedName>
    <definedName name="School_District" localSheetId="48">#REF!</definedName>
    <definedName name="School_District" localSheetId="49">'4041'!$B$5</definedName>
    <definedName name="School_District">#REF!</definedName>
    <definedName name="SFV_QFUND_CODE" localSheetId="36">#REF!</definedName>
    <definedName name="SFV_QFUND_CODE" localSheetId="48">#REF!</definedName>
    <definedName name="SFV_QFUND_CODE" localSheetId="49">#REF!</definedName>
    <definedName name="SFV_QFUND_CODE">#REF!</definedName>
    <definedName name="Total" localSheetId="2">'0054'!$B$50</definedName>
    <definedName name="Total" localSheetId="3">'0642'!$B$50</definedName>
    <definedName name="Total" localSheetId="4">'0664'!$B$50</definedName>
    <definedName name="Total" localSheetId="5">'1461'!$B$50</definedName>
    <definedName name="Total" localSheetId="6">'1571'!$B$50</definedName>
    <definedName name="Total" localSheetId="7">'2521'!$B$50</definedName>
    <definedName name="Total" localSheetId="8">'2531'!$B$50</definedName>
    <definedName name="Total" localSheetId="9">'2641'!$B$50</definedName>
    <definedName name="Total" localSheetId="10">'2661'!$B$50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'3344'!$B$50</definedName>
    <definedName name="Total" localSheetId="17">'3345'!$B$50</definedName>
    <definedName name="Total" localSheetId="18">'3347'!$B$50</definedName>
    <definedName name="Total" localSheetId="19">'3381'!$B$50</definedName>
    <definedName name="Total" localSheetId="20">'3382'!$B$50</definedName>
    <definedName name="Total" localSheetId="21">'3384'!$B$50</definedName>
    <definedName name="Total" localSheetId="22">'3385'!$B$50</definedName>
    <definedName name="Total" localSheetId="23">'3386'!$B$50</definedName>
    <definedName name="Total" localSheetId="24">'3391'!$B$50</definedName>
    <definedName name="Total" localSheetId="25">'3392'!$B$50</definedName>
    <definedName name="Total" localSheetId="26">'3394'!$B$50</definedName>
    <definedName name="Total" localSheetId="27">'3395'!$B$50</definedName>
    <definedName name="Total" localSheetId="28">'3396'!$B$50</definedName>
    <definedName name="Total" localSheetId="29">'3398'!$B$50</definedName>
    <definedName name="Total" localSheetId="30">'3400'!$B$50</definedName>
    <definedName name="Total" localSheetId="31">'3401'!$B$50</definedName>
    <definedName name="Total" localSheetId="32">'3411'!$B$50</definedName>
    <definedName name="Total" localSheetId="33">'3413'!$B$50</definedName>
    <definedName name="Total" localSheetId="34">'3421'!$B$50</definedName>
    <definedName name="Total" localSheetId="35">'3431'!$B$50</definedName>
    <definedName name="Total" localSheetId="36">'3441'!$B$50</definedName>
    <definedName name="Total" localSheetId="37">'3443'!$B$50</definedName>
    <definedName name="Total" localSheetId="38">'3941'!$B$50</definedName>
    <definedName name="Total" localSheetId="39">'3961'!$B$50</definedName>
    <definedName name="Total" localSheetId="40">'3971'!$B$50</definedName>
    <definedName name="Total" localSheetId="41">'4000'!$B$50</definedName>
    <definedName name="Total" localSheetId="43">'4002'!$B$50</definedName>
    <definedName name="Total" localSheetId="42">'4010'!$B$50</definedName>
    <definedName name="Total" localSheetId="44">'4012'!$B$50</definedName>
    <definedName name="Total" localSheetId="45">'4013'!$B$50</definedName>
    <definedName name="Total" localSheetId="46">'4020'!$B$50</definedName>
    <definedName name="Total" localSheetId="47">'4037'!$B$50</definedName>
    <definedName name="Total" localSheetId="48">#REF!</definedName>
    <definedName name="Total" localSheetId="49">'4041'!$B$50</definedName>
    <definedName name="Total">#REF!</definedName>
    <definedName name="Total_Class_Size_Reduction_Funds" localSheetId="2">'0054'!$G$50</definedName>
    <definedName name="Total_Class_Size_Reduction_Funds" localSheetId="3">'0642'!$G$50</definedName>
    <definedName name="Total_Class_Size_Reduction_Funds" localSheetId="4">'0664'!$G$50</definedName>
    <definedName name="Total_Class_Size_Reduction_Funds" localSheetId="5">'1461'!$G$50</definedName>
    <definedName name="Total_Class_Size_Reduction_Funds" localSheetId="6">'1571'!$G$50</definedName>
    <definedName name="Total_Class_Size_Reduction_Funds" localSheetId="7">'2521'!$G$50</definedName>
    <definedName name="Total_Class_Size_Reduction_Funds" localSheetId="8">'2531'!$G$50</definedName>
    <definedName name="Total_Class_Size_Reduction_Funds" localSheetId="9">'2641'!$G$50</definedName>
    <definedName name="Total_Class_Size_Reduction_Funds" localSheetId="10">'2661'!$G$50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'3344'!$G$50</definedName>
    <definedName name="Total_Class_Size_Reduction_Funds" localSheetId="17">'3345'!$G$50</definedName>
    <definedName name="Total_Class_Size_Reduction_Funds" localSheetId="18">'3347'!$G$50</definedName>
    <definedName name="Total_Class_Size_Reduction_Funds" localSheetId="19">'3381'!$G$50</definedName>
    <definedName name="Total_Class_Size_Reduction_Funds" localSheetId="20">'3382'!$G$50</definedName>
    <definedName name="Total_Class_Size_Reduction_Funds" localSheetId="21">'3384'!$G$50</definedName>
    <definedName name="Total_Class_Size_Reduction_Funds" localSheetId="22">'3385'!$G$50</definedName>
    <definedName name="Total_Class_Size_Reduction_Funds" localSheetId="23">'3386'!$G$50</definedName>
    <definedName name="Total_Class_Size_Reduction_Funds" localSheetId="24">'3391'!$G$50</definedName>
    <definedName name="Total_Class_Size_Reduction_Funds" localSheetId="25">'3392'!$G$50</definedName>
    <definedName name="Total_Class_Size_Reduction_Funds" localSheetId="26">'3394'!$G$50</definedName>
    <definedName name="Total_Class_Size_Reduction_Funds" localSheetId="27">'3395'!$G$50</definedName>
    <definedName name="Total_Class_Size_Reduction_Funds" localSheetId="28">'3396'!$G$50</definedName>
    <definedName name="Total_Class_Size_Reduction_Funds" localSheetId="29">'3398'!$G$50</definedName>
    <definedName name="Total_Class_Size_Reduction_Funds" localSheetId="30">'3400'!$G$50</definedName>
    <definedName name="Total_Class_Size_Reduction_Funds" localSheetId="31">'3401'!$G$50</definedName>
    <definedName name="Total_Class_Size_Reduction_Funds" localSheetId="32">'3411'!$G$50</definedName>
    <definedName name="Total_Class_Size_Reduction_Funds" localSheetId="33">'3413'!$G$50</definedName>
    <definedName name="Total_Class_Size_Reduction_Funds" localSheetId="34">'3421'!$G$50</definedName>
    <definedName name="Total_Class_Size_Reduction_Funds" localSheetId="35">'3431'!$G$50</definedName>
    <definedName name="Total_Class_Size_Reduction_Funds" localSheetId="36">'3441'!$G$50</definedName>
    <definedName name="Total_Class_Size_Reduction_Funds" localSheetId="37">'3443'!$G$50</definedName>
    <definedName name="Total_Class_Size_Reduction_Funds" localSheetId="38">'3941'!$G$50</definedName>
    <definedName name="Total_Class_Size_Reduction_Funds" localSheetId="39">'3961'!$G$50</definedName>
    <definedName name="Total_Class_Size_Reduction_Funds" localSheetId="40">'3971'!$G$50</definedName>
    <definedName name="Total_Class_Size_Reduction_Funds" localSheetId="41">'4000'!$G$50</definedName>
    <definedName name="Total_Class_Size_Reduction_Funds" localSheetId="43">'4002'!$G$50</definedName>
    <definedName name="Total_Class_Size_Reduction_Funds" localSheetId="42">'4010'!$G$50</definedName>
    <definedName name="Total_Class_Size_Reduction_Funds" localSheetId="44">'4012'!$G$50</definedName>
    <definedName name="Total_Class_Size_Reduction_Funds" localSheetId="45">'4013'!$G$50</definedName>
    <definedName name="Total_Class_Size_Reduction_Funds" localSheetId="46">'4020'!$G$50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#REF!</definedName>
    <definedName name="Total_from_ESE_Guarantee" localSheetId="2">'0054'!$I$37</definedName>
    <definedName name="Total_from_ESE_Guarantee" localSheetId="3">'0642'!$I$37</definedName>
    <definedName name="Total_from_ESE_Guarantee" localSheetId="4">'0664'!$I$37</definedName>
    <definedName name="Total_from_ESE_Guarantee" localSheetId="5">'1461'!$I$37</definedName>
    <definedName name="Total_from_ESE_Guarantee" localSheetId="6">'1571'!$I$37</definedName>
    <definedName name="Total_from_ESE_Guarantee" localSheetId="7">'2521'!$I$37</definedName>
    <definedName name="Total_from_ESE_Guarantee" localSheetId="8">'2531'!$I$37</definedName>
    <definedName name="Total_from_ESE_Guarantee" localSheetId="9">'2641'!$I$37</definedName>
    <definedName name="Total_from_ESE_Guarantee" localSheetId="10">'2661'!$I$37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'3344'!$I$37</definedName>
    <definedName name="Total_from_ESE_Guarantee" localSheetId="17">'3345'!$I$37</definedName>
    <definedName name="Total_from_ESE_Guarantee" localSheetId="18">'3347'!$I$37</definedName>
    <definedName name="Total_from_ESE_Guarantee" localSheetId="19">'3381'!$I$37</definedName>
    <definedName name="Total_from_ESE_Guarantee" localSheetId="20">'3382'!$I$37</definedName>
    <definedName name="Total_from_ESE_Guarantee" localSheetId="21">'3384'!$I$37</definedName>
    <definedName name="Total_from_ESE_Guarantee" localSheetId="22">'3385'!$I$37</definedName>
    <definedName name="Total_from_ESE_Guarantee" localSheetId="23">'3386'!$I$37</definedName>
    <definedName name="Total_from_ESE_Guarantee" localSheetId="24">'3391'!$I$37</definedName>
    <definedName name="Total_from_ESE_Guarantee" localSheetId="25">'3392'!$I$37</definedName>
    <definedName name="Total_from_ESE_Guarantee" localSheetId="26">'3394'!$I$37</definedName>
    <definedName name="Total_from_ESE_Guarantee" localSheetId="27">'3395'!$I$37</definedName>
    <definedName name="Total_from_ESE_Guarantee" localSheetId="28">'3396'!$I$37</definedName>
    <definedName name="Total_from_ESE_Guarantee" localSheetId="29">'3398'!$I$37</definedName>
    <definedName name="Total_from_ESE_Guarantee" localSheetId="30">'3400'!$I$37</definedName>
    <definedName name="Total_from_ESE_Guarantee" localSheetId="31">'3401'!$I$37</definedName>
    <definedName name="Total_from_ESE_Guarantee" localSheetId="32">'3411'!$I$37</definedName>
    <definedName name="Total_from_ESE_Guarantee" localSheetId="33">'3413'!$I$37</definedName>
    <definedName name="Total_from_ESE_Guarantee" localSheetId="34">'3421'!$I$37</definedName>
    <definedName name="Total_from_ESE_Guarantee" localSheetId="35">'3431'!$I$37</definedName>
    <definedName name="Total_from_ESE_Guarantee" localSheetId="36">'3441'!$I$37</definedName>
    <definedName name="Total_from_ESE_Guarantee" localSheetId="37">'3443'!$I$37</definedName>
    <definedName name="Total_from_ESE_Guarantee" localSheetId="38">'3941'!$I$37</definedName>
    <definedName name="Total_from_ESE_Guarantee" localSheetId="39">'3961'!$I$37</definedName>
    <definedName name="Total_from_ESE_Guarantee" localSheetId="40">'3971'!$I$37</definedName>
    <definedName name="Total_from_ESE_Guarantee" localSheetId="41">'4000'!$I$37</definedName>
    <definedName name="Total_from_ESE_Guarantee" localSheetId="43">'4002'!$I$37</definedName>
    <definedName name="Total_from_ESE_Guarantee" localSheetId="42">'4010'!$I$37</definedName>
    <definedName name="Total_from_ESE_Guarantee" localSheetId="44">'4012'!$I$37</definedName>
    <definedName name="Total_from_ESE_Guarantee" localSheetId="45">'4013'!$I$37</definedName>
    <definedName name="Total_from_ESE_Guarantee" localSheetId="46">'4020'!$I$37</definedName>
    <definedName name="Total_from_ESE_Guarantee" localSheetId="47">'4037'!$I$37</definedName>
    <definedName name="Total_from_ESE_Guarantee" localSheetId="48">#REF!</definedName>
    <definedName name="Total_from_ESE_Guarantee" localSheetId="49">'4041'!$I$37</definedName>
    <definedName name="Total_from_ESE_Guarantee">#REF!</definedName>
    <definedName name="Total_FTE_with_ESE_Services" localSheetId="2">'0054'!$B$37</definedName>
    <definedName name="Total_FTE_with_ESE_Services" localSheetId="3">'0642'!$B$37</definedName>
    <definedName name="Total_FTE_with_ESE_Services" localSheetId="4">'0664'!$B$37</definedName>
    <definedName name="Total_FTE_with_ESE_Services" localSheetId="5">'1461'!$B$37</definedName>
    <definedName name="Total_FTE_with_ESE_Services" localSheetId="6">'1571'!$B$37</definedName>
    <definedName name="Total_FTE_with_ESE_Services" localSheetId="7">'2521'!$B$37</definedName>
    <definedName name="Total_FTE_with_ESE_Services" localSheetId="8">'2531'!$B$37</definedName>
    <definedName name="Total_FTE_with_ESE_Services" localSheetId="9">'2641'!$B$37</definedName>
    <definedName name="Total_FTE_with_ESE_Services" localSheetId="10">'2661'!$B$37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'3344'!$B$37</definedName>
    <definedName name="Total_FTE_with_ESE_Services" localSheetId="17">'3345'!$B$37</definedName>
    <definedName name="Total_FTE_with_ESE_Services" localSheetId="18">'3347'!$B$37</definedName>
    <definedName name="Total_FTE_with_ESE_Services" localSheetId="19">'3381'!$B$37</definedName>
    <definedName name="Total_FTE_with_ESE_Services" localSheetId="20">'3382'!$B$37</definedName>
    <definedName name="Total_FTE_with_ESE_Services" localSheetId="21">'3384'!$B$37</definedName>
    <definedName name="Total_FTE_with_ESE_Services" localSheetId="22">'3385'!$B$37</definedName>
    <definedName name="Total_FTE_with_ESE_Services" localSheetId="23">'3386'!$B$37</definedName>
    <definedName name="Total_FTE_with_ESE_Services" localSheetId="24">'3391'!$B$37</definedName>
    <definedName name="Total_FTE_with_ESE_Services" localSheetId="25">'3392'!$B$37</definedName>
    <definedName name="Total_FTE_with_ESE_Services" localSheetId="26">'3394'!$B$37</definedName>
    <definedName name="Total_FTE_with_ESE_Services" localSheetId="27">'3395'!$B$37</definedName>
    <definedName name="Total_FTE_with_ESE_Services" localSheetId="28">'3396'!$B$37</definedName>
    <definedName name="Total_FTE_with_ESE_Services" localSheetId="29">'3398'!$B$37</definedName>
    <definedName name="Total_FTE_with_ESE_Services" localSheetId="30">'3400'!$B$37</definedName>
    <definedName name="Total_FTE_with_ESE_Services" localSheetId="31">'3401'!$B$37</definedName>
    <definedName name="Total_FTE_with_ESE_Services" localSheetId="32">'3411'!$B$37</definedName>
    <definedName name="Total_FTE_with_ESE_Services" localSheetId="33">'3413'!$B$37</definedName>
    <definedName name="Total_FTE_with_ESE_Services" localSheetId="34">'3421'!$B$37</definedName>
    <definedName name="Total_FTE_with_ESE_Services" localSheetId="35">'3431'!$B$37</definedName>
    <definedName name="Total_FTE_with_ESE_Services" localSheetId="36">'3441'!$B$37</definedName>
    <definedName name="Total_FTE_with_ESE_Services" localSheetId="37">'3443'!$B$37</definedName>
    <definedName name="Total_FTE_with_ESE_Services" localSheetId="38">'3941'!$B$37</definedName>
    <definedName name="Total_FTE_with_ESE_Services" localSheetId="39">'3961'!$B$37</definedName>
    <definedName name="Total_FTE_with_ESE_Services" localSheetId="40">'3971'!$B$37</definedName>
    <definedName name="Total_FTE_with_ESE_Services" localSheetId="41">'4000'!$B$37</definedName>
    <definedName name="Total_FTE_with_ESE_Services" localSheetId="43">'4002'!$B$37</definedName>
    <definedName name="Total_FTE_with_ESE_Services" localSheetId="42">'4010'!$B$37</definedName>
    <definedName name="Total_FTE_with_ESE_Services" localSheetId="44">'4012'!$B$37</definedName>
    <definedName name="Total_FTE_with_ESE_Services" localSheetId="45">'4013'!$B$37</definedName>
    <definedName name="Total_FTE_with_ESE_Services" localSheetId="46">'4020'!$B$37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#REF!</definedName>
    <definedName name="Totals" localSheetId="2">'0054'!$B$26</definedName>
    <definedName name="Totals" localSheetId="3">'0642'!$B$26</definedName>
    <definedName name="Totals" localSheetId="4">'0664'!$B$26</definedName>
    <definedName name="Totals" localSheetId="5">'1461'!$B$26</definedName>
    <definedName name="Totals" localSheetId="6">'1571'!$B$26</definedName>
    <definedName name="Totals" localSheetId="7">'2521'!$B$26</definedName>
    <definedName name="Totals" localSheetId="8">'2531'!$B$26</definedName>
    <definedName name="Totals" localSheetId="9">'2641'!$B$26</definedName>
    <definedName name="Totals" localSheetId="10">'2661'!$B$26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'3344'!$B$26</definedName>
    <definedName name="Totals" localSheetId="17">'3345'!$B$26</definedName>
    <definedName name="Totals" localSheetId="18">'3347'!$B$26</definedName>
    <definedName name="Totals" localSheetId="19">'3381'!$B$26</definedName>
    <definedName name="Totals" localSheetId="20">'3382'!$B$26</definedName>
    <definedName name="Totals" localSheetId="21">'3384'!$B$26</definedName>
    <definedName name="Totals" localSheetId="22">'3385'!$B$26</definedName>
    <definedName name="Totals" localSheetId="23">'3386'!$B$26</definedName>
    <definedName name="Totals" localSheetId="24">'3391'!$B$26</definedName>
    <definedName name="Totals" localSheetId="25">'3392'!$B$26</definedName>
    <definedName name="Totals" localSheetId="26">'3394'!$B$26</definedName>
    <definedName name="Totals" localSheetId="27">'3395'!$B$26</definedName>
    <definedName name="Totals" localSheetId="28">'3396'!$B$26</definedName>
    <definedName name="Totals" localSheetId="29">'3398'!$B$26</definedName>
    <definedName name="Totals" localSheetId="30">'3400'!$B$26</definedName>
    <definedName name="Totals" localSheetId="31">'3401'!$B$26</definedName>
    <definedName name="Totals" localSheetId="32">'3411'!$B$26</definedName>
    <definedName name="Totals" localSheetId="33">'3413'!$B$26</definedName>
    <definedName name="Totals" localSheetId="34">'3421'!$B$26</definedName>
    <definedName name="Totals" localSheetId="35">'3431'!$B$26</definedName>
    <definedName name="Totals" localSheetId="36">'3441'!$B$26</definedName>
    <definedName name="Totals" localSheetId="37">'3443'!$B$26</definedName>
    <definedName name="Totals" localSheetId="38">'3941'!$B$26</definedName>
    <definedName name="Totals" localSheetId="39">'3961'!$B$26</definedName>
    <definedName name="Totals" localSheetId="40">'3971'!$B$26</definedName>
    <definedName name="Totals" localSheetId="41">'4000'!$B$26</definedName>
    <definedName name="Totals" localSheetId="43">'4002'!$B$26</definedName>
    <definedName name="Totals" localSheetId="42">'4010'!$B$26</definedName>
    <definedName name="Totals" localSheetId="44">'4012'!$B$26</definedName>
    <definedName name="Totals" localSheetId="45">'4013'!$B$26</definedName>
    <definedName name="Totals" localSheetId="46">'4020'!$B$26</definedName>
    <definedName name="Totals" localSheetId="47">'4037'!$B$26</definedName>
    <definedName name="Totals" localSheetId="48">#REF!</definedName>
    <definedName name="Totals" localSheetId="49">'4041'!$B$26</definedName>
    <definedName name="Totals">#REF!</definedName>
    <definedName name="Weighted_FTE____________b__x__c" localSheetId="2">'0054'!$K$8</definedName>
    <definedName name="Weighted_FTE____________b__x__c" localSheetId="3">'0642'!$K$8</definedName>
    <definedName name="Weighted_FTE____________b__x__c" localSheetId="4">'0664'!$K$8</definedName>
    <definedName name="Weighted_FTE____________b__x__c" localSheetId="5">'1461'!$K$8</definedName>
    <definedName name="Weighted_FTE____________b__x__c" localSheetId="6">'1571'!$K$8</definedName>
    <definedName name="Weighted_FTE____________b__x__c" localSheetId="7">'2521'!$K$8</definedName>
    <definedName name="Weighted_FTE____________b__x__c" localSheetId="8">'2531'!$K$8</definedName>
    <definedName name="Weighted_FTE____________b__x__c" localSheetId="9">'2641'!$K$8</definedName>
    <definedName name="Weighted_FTE____________b__x__c" localSheetId="10">'2661'!$K$8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'3344'!$K$8</definedName>
    <definedName name="Weighted_FTE____________b__x__c" localSheetId="17">'3345'!$K$8</definedName>
    <definedName name="Weighted_FTE____________b__x__c" localSheetId="18">'3347'!$K$8</definedName>
    <definedName name="Weighted_FTE____________b__x__c" localSheetId="19">'3381'!$K$8</definedName>
    <definedName name="Weighted_FTE____________b__x__c" localSheetId="20">'3382'!$K$8</definedName>
    <definedName name="Weighted_FTE____________b__x__c" localSheetId="21">'3384'!$K$8</definedName>
    <definedName name="Weighted_FTE____________b__x__c" localSheetId="22">'3385'!$K$8</definedName>
    <definedName name="Weighted_FTE____________b__x__c" localSheetId="23">'3386'!$K$8</definedName>
    <definedName name="Weighted_FTE____________b__x__c" localSheetId="24">'3391'!$K$8</definedName>
    <definedName name="Weighted_FTE____________b__x__c" localSheetId="25">'3392'!$K$8</definedName>
    <definedName name="Weighted_FTE____________b__x__c" localSheetId="26">'3394'!$K$8</definedName>
    <definedName name="Weighted_FTE____________b__x__c" localSheetId="27">'3395'!$K$8</definedName>
    <definedName name="Weighted_FTE____________b__x__c" localSheetId="28">'3396'!$K$8</definedName>
    <definedName name="Weighted_FTE____________b__x__c" localSheetId="29">'3398'!$K$8</definedName>
    <definedName name="Weighted_FTE____________b__x__c" localSheetId="30">'3400'!$K$8</definedName>
    <definedName name="Weighted_FTE____________b__x__c" localSheetId="31">'3401'!$K$8</definedName>
    <definedName name="Weighted_FTE____________b__x__c" localSheetId="32">'3411'!$K$8</definedName>
    <definedName name="Weighted_FTE____________b__x__c" localSheetId="33">'3413'!$K$8</definedName>
    <definedName name="Weighted_FTE____________b__x__c" localSheetId="34">'3421'!$K$8</definedName>
    <definedName name="Weighted_FTE____________b__x__c" localSheetId="35">'3431'!$K$8</definedName>
    <definedName name="Weighted_FTE____________b__x__c" localSheetId="36">'3441'!$K$8</definedName>
    <definedName name="Weighted_FTE____________b__x__c" localSheetId="37">'3443'!$K$8</definedName>
    <definedName name="Weighted_FTE____________b__x__c" localSheetId="38">'3941'!$K$8</definedName>
    <definedName name="Weighted_FTE____________b__x__c" localSheetId="39">'3961'!$K$8</definedName>
    <definedName name="Weighted_FTE____________b__x__c" localSheetId="40">'3971'!$K$8</definedName>
    <definedName name="Weighted_FTE____________b__x__c" localSheetId="41">'4000'!$K$8</definedName>
    <definedName name="Weighted_FTE____________b__x__c" localSheetId="43">'4002'!$K$8</definedName>
    <definedName name="Weighted_FTE____________b__x__c" localSheetId="42">'4010'!$K$8</definedName>
    <definedName name="Weighted_FTE____________b__x__c" localSheetId="44">'4012'!$K$8</definedName>
    <definedName name="Weighted_FTE____________b__x__c" localSheetId="45">'4013'!$K$8</definedName>
    <definedName name="Weighted_FTE____________b__x__c" localSheetId="46">'4020'!$K$8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#REF!</definedName>
    <definedName name="Weighted_FTE__From_Section_1" localSheetId="2">'0054'!$C$46</definedName>
    <definedName name="Weighted_FTE__From_Section_1" localSheetId="3">'0642'!$C$46</definedName>
    <definedName name="Weighted_FTE__From_Section_1" localSheetId="4">'0664'!$C$46</definedName>
    <definedName name="Weighted_FTE__From_Section_1" localSheetId="5">'1461'!$C$46</definedName>
    <definedName name="Weighted_FTE__From_Section_1" localSheetId="6">'1571'!$C$46</definedName>
    <definedName name="Weighted_FTE__From_Section_1" localSheetId="7">'2521'!$C$46</definedName>
    <definedName name="Weighted_FTE__From_Section_1" localSheetId="8">'2531'!$C$46</definedName>
    <definedName name="Weighted_FTE__From_Section_1" localSheetId="9">'2641'!$C$46</definedName>
    <definedName name="Weighted_FTE__From_Section_1" localSheetId="10">'2661'!$C$46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'3344'!$C$46</definedName>
    <definedName name="Weighted_FTE__From_Section_1" localSheetId="17">'3345'!$C$46</definedName>
    <definedName name="Weighted_FTE__From_Section_1" localSheetId="18">'3347'!$C$46</definedName>
    <definedName name="Weighted_FTE__From_Section_1" localSheetId="19">'3381'!$C$46</definedName>
    <definedName name="Weighted_FTE__From_Section_1" localSheetId="20">'3382'!$C$46</definedName>
    <definedName name="Weighted_FTE__From_Section_1" localSheetId="21">'3384'!$C$46</definedName>
    <definedName name="Weighted_FTE__From_Section_1" localSheetId="22">'3385'!$C$46</definedName>
    <definedName name="Weighted_FTE__From_Section_1" localSheetId="23">'3386'!$C$46</definedName>
    <definedName name="Weighted_FTE__From_Section_1" localSheetId="24">'3391'!$C$46</definedName>
    <definedName name="Weighted_FTE__From_Section_1" localSheetId="25">'3392'!$C$46</definedName>
    <definedName name="Weighted_FTE__From_Section_1" localSheetId="26">'3394'!$C$46</definedName>
    <definedName name="Weighted_FTE__From_Section_1" localSheetId="27">'3395'!$C$46</definedName>
    <definedName name="Weighted_FTE__From_Section_1" localSheetId="28">'3396'!$C$46</definedName>
    <definedName name="Weighted_FTE__From_Section_1" localSheetId="29">'3398'!$C$46</definedName>
    <definedName name="Weighted_FTE__From_Section_1" localSheetId="30">'3400'!$C$46</definedName>
    <definedName name="Weighted_FTE__From_Section_1" localSheetId="31">'3401'!$C$46</definedName>
    <definedName name="Weighted_FTE__From_Section_1" localSheetId="32">'3411'!$C$46</definedName>
    <definedName name="Weighted_FTE__From_Section_1" localSheetId="33">'3413'!$C$46</definedName>
    <definedName name="Weighted_FTE__From_Section_1" localSheetId="34">'3421'!$C$46</definedName>
    <definedName name="Weighted_FTE__From_Section_1" localSheetId="35">'3431'!$C$46</definedName>
    <definedName name="Weighted_FTE__From_Section_1" localSheetId="36">'3441'!$C$46</definedName>
    <definedName name="Weighted_FTE__From_Section_1" localSheetId="37">'3443'!$C$46</definedName>
    <definedName name="Weighted_FTE__From_Section_1" localSheetId="38">'3941'!$C$46</definedName>
    <definedName name="Weighted_FTE__From_Section_1" localSheetId="39">'3961'!$C$46</definedName>
    <definedName name="Weighted_FTE__From_Section_1" localSheetId="40">'3971'!$C$46</definedName>
    <definedName name="Weighted_FTE__From_Section_1" localSheetId="41">'4000'!$C$46</definedName>
    <definedName name="Weighted_FTE__From_Section_1" localSheetId="43">'4002'!$C$46</definedName>
    <definedName name="Weighted_FTE__From_Section_1" localSheetId="42">'4010'!$C$46</definedName>
    <definedName name="Weighted_FTE__From_Section_1" localSheetId="44">'4012'!$C$46</definedName>
    <definedName name="Weighted_FTE__From_Section_1" localSheetId="45">'4013'!$C$46</definedName>
    <definedName name="Weighted_FTE__From_Section_1" localSheetId="46">'4020'!$C$46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#REF!</definedName>
    <definedName name="wrn.Base._.Data._.Comparison." localSheetId="2"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M86" i="62" l="1"/>
  <c r="L89" i="66" l="1"/>
  <c r="B136" i="91" l="1"/>
  <c r="B135" i="91"/>
  <c r="M86" i="91"/>
  <c r="V79" i="91"/>
  <c r="V78" i="91"/>
  <c r="Y77" i="91"/>
  <c r="V77" i="91"/>
  <c r="Y76" i="91"/>
  <c r="G76" i="91"/>
  <c r="I76" i="91" s="1"/>
  <c r="AB75" i="91"/>
  <c r="G75" i="91"/>
  <c r="I75" i="91" s="1"/>
  <c r="AB74" i="91"/>
  <c r="Y71" i="91"/>
  <c r="Y70" i="91"/>
  <c r="Y69" i="91"/>
  <c r="Y68" i="91"/>
  <c r="Y66" i="91"/>
  <c r="X65" i="91"/>
  <c r="X64" i="91"/>
  <c r="X61" i="91"/>
  <c r="X60" i="91"/>
  <c r="I59" i="91"/>
  <c r="Y58" i="91"/>
  <c r="AA56" i="91"/>
  <c r="AA53" i="91"/>
  <c r="Z49" i="91"/>
  <c r="G49" i="91"/>
  <c r="Z48" i="91"/>
  <c r="G48" i="91"/>
  <c r="Z47" i="91"/>
  <c r="G47" i="91"/>
  <c r="X40" i="91"/>
  <c r="K40" i="91"/>
  <c r="X39" i="91"/>
  <c r="AB40" i="91" s="1"/>
  <c r="X37" i="91"/>
  <c r="E37" i="91"/>
  <c r="D37" i="91"/>
  <c r="AC36" i="91"/>
  <c r="AB36" i="91"/>
  <c r="L36" i="91"/>
  <c r="G36" i="91"/>
  <c r="AC35" i="91"/>
  <c r="AB35" i="91"/>
  <c r="L35" i="91"/>
  <c r="G35" i="91"/>
  <c r="AC34" i="91"/>
  <c r="AB34" i="91"/>
  <c r="L34" i="91"/>
  <c r="G34" i="91"/>
  <c r="AC33" i="91"/>
  <c r="AB33" i="91"/>
  <c r="L33" i="91"/>
  <c r="G33" i="91"/>
  <c r="AC32" i="91"/>
  <c r="AB32" i="91"/>
  <c r="G32" i="91"/>
  <c r="L32" i="91" s="1"/>
  <c r="AC31" i="91"/>
  <c r="AB31" i="91"/>
  <c r="G31" i="91"/>
  <c r="L31" i="91" s="1"/>
  <c r="AC30" i="91"/>
  <c r="AB30" i="91"/>
  <c r="G30" i="91"/>
  <c r="L30" i="91" s="1"/>
  <c r="AC29" i="91"/>
  <c r="AB29" i="91"/>
  <c r="G29" i="91"/>
  <c r="L29" i="91" s="1"/>
  <c r="AC28" i="91"/>
  <c r="AC37" i="91" s="1"/>
  <c r="AB28" i="91"/>
  <c r="G28" i="91"/>
  <c r="E26" i="91"/>
  <c r="D26" i="91"/>
  <c r="K25" i="91"/>
  <c r="L25" i="91" s="1"/>
  <c r="G25" i="91"/>
  <c r="G24" i="91"/>
  <c r="I23" i="91"/>
  <c r="I24" i="91" s="1"/>
  <c r="G23" i="91"/>
  <c r="K23" i="91" s="1"/>
  <c r="L23" i="91" s="1"/>
  <c r="K22" i="91"/>
  <c r="L22" i="91" s="1"/>
  <c r="G22" i="91"/>
  <c r="G21" i="91"/>
  <c r="K21" i="91" s="1"/>
  <c r="L21" i="91" s="1"/>
  <c r="I20" i="91"/>
  <c r="I21" i="91" s="1"/>
  <c r="G20" i="91"/>
  <c r="K20" i="91" s="1"/>
  <c r="L20" i="91" s="1"/>
  <c r="G19" i="91"/>
  <c r="K19" i="91" s="1"/>
  <c r="L19" i="91" s="1"/>
  <c r="G18" i="91"/>
  <c r="K18" i="91" s="1"/>
  <c r="L18" i="91" s="1"/>
  <c r="I17" i="91"/>
  <c r="I18" i="91" s="1"/>
  <c r="G17" i="91"/>
  <c r="K17" i="91" s="1"/>
  <c r="L17" i="91" s="1"/>
  <c r="K16" i="91"/>
  <c r="L16" i="91" s="1"/>
  <c r="G16" i="91"/>
  <c r="I15" i="91"/>
  <c r="G15" i="91"/>
  <c r="M15" i="91" s="1"/>
  <c r="K14" i="91"/>
  <c r="G14" i="91"/>
  <c r="I13" i="91"/>
  <c r="G13" i="91"/>
  <c r="M13" i="91" s="1"/>
  <c r="G12" i="91"/>
  <c r="K12" i="91" s="1"/>
  <c r="L12" i="91" s="1"/>
  <c r="I11" i="91"/>
  <c r="G11" i="91"/>
  <c r="M11" i="91" s="1"/>
  <c r="K10" i="91"/>
  <c r="L10" i="91" s="1"/>
  <c r="G10" i="91"/>
  <c r="G26" i="91" s="1"/>
  <c r="AB7" i="91"/>
  <c r="X7" i="91"/>
  <c r="V4" i="91"/>
  <c r="V2" i="91"/>
  <c r="B136" i="90"/>
  <c r="B135" i="90"/>
  <c r="M86" i="90"/>
  <c r="V79" i="90"/>
  <c r="V78" i="90"/>
  <c r="Y77" i="90"/>
  <c r="V77" i="90"/>
  <c r="Y76" i="90"/>
  <c r="G76" i="90"/>
  <c r="I76" i="90" s="1"/>
  <c r="AB75" i="90"/>
  <c r="G75" i="90"/>
  <c r="I75" i="90" s="1"/>
  <c r="AB74" i="90"/>
  <c r="Y71" i="90"/>
  <c r="Y70" i="90"/>
  <c r="Y69" i="90"/>
  <c r="Y68" i="90"/>
  <c r="Y66" i="90"/>
  <c r="X65" i="90"/>
  <c r="X64" i="90"/>
  <c r="X61" i="90"/>
  <c r="X60" i="90"/>
  <c r="I59" i="90"/>
  <c r="Y58" i="90"/>
  <c r="AA56" i="90"/>
  <c r="AA53" i="90"/>
  <c r="Z49" i="90"/>
  <c r="G49" i="90"/>
  <c r="Z48" i="90"/>
  <c r="G48" i="90"/>
  <c r="Z47" i="90"/>
  <c r="G47" i="90"/>
  <c r="X40" i="90"/>
  <c r="K40" i="90"/>
  <c r="X39" i="90"/>
  <c r="AB40" i="90" s="1"/>
  <c r="X37" i="90"/>
  <c r="E37" i="90"/>
  <c r="D37" i="90"/>
  <c r="AC36" i="90"/>
  <c r="AB36" i="90"/>
  <c r="L36" i="90"/>
  <c r="G36" i="90"/>
  <c r="AC35" i="90"/>
  <c r="AB35" i="90"/>
  <c r="L35" i="90"/>
  <c r="G35" i="90"/>
  <c r="AC34" i="90"/>
  <c r="AB34" i="90"/>
  <c r="L34" i="90"/>
  <c r="G34" i="90"/>
  <c r="AC33" i="90"/>
  <c r="AB33" i="90"/>
  <c r="L33" i="90"/>
  <c r="G33" i="90"/>
  <c r="AC32" i="90"/>
  <c r="AB32" i="90"/>
  <c r="G32" i="90"/>
  <c r="L32" i="90" s="1"/>
  <c r="AC31" i="90"/>
  <c r="AB31" i="90"/>
  <c r="G31" i="90"/>
  <c r="L31" i="90" s="1"/>
  <c r="AC30" i="90"/>
  <c r="AB30" i="90"/>
  <c r="L30" i="90"/>
  <c r="G30" i="90"/>
  <c r="AC29" i="90"/>
  <c r="AB29" i="90"/>
  <c r="G29" i="90"/>
  <c r="L29" i="90" s="1"/>
  <c r="AC28" i="90"/>
  <c r="AC37" i="90" s="1"/>
  <c r="AB28" i="90"/>
  <c r="G28" i="90"/>
  <c r="E26" i="90"/>
  <c r="D26" i="90"/>
  <c r="K25" i="90"/>
  <c r="L25" i="90" s="1"/>
  <c r="G25" i="90"/>
  <c r="G24" i="90"/>
  <c r="I23" i="90"/>
  <c r="I24" i="90" s="1"/>
  <c r="G23" i="90"/>
  <c r="K22" i="90"/>
  <c r="L22" i="90" s="1"/>
  <c r="G22" i="90"/>
  <c r="G21" i="90"/>
  <c r="I20" i="90"/>
  <c r="I21" i="90" s="1"/>
  <c r="K21" i="90" s="1"/>
  <c r="L21" i="90" s="1"/>
  <c r="G20" i="90"/>
  <c r="K19" i="90"/>
  <c r="L19" i="90" s="1"/>
  <c r="G19" i="90"/>
  <c r="G18" i="90"/>
  <c r="I17" i="90"/>
  <c r="I18" i="90" s="1"/>
  <c r="K18" i="90" s="1"/>
  <c r="L18" i="90" s="1"/>
  <c r="G17" i="90"/>
  <c r="K16" i="90"/>
  <c r="L16" i="90" s="1"/>
  <c r="G16" i="90"/>
  <c r="I15" i="90"/>
  <c r="G15" i="90"/>
  <c r="M15" i="90" s="1"/>
  <c r="K14" i="90"/>
  <c r="G14" i="90"/>
  <c r="I13" i="90"/>
  <c r="G13" i="90"/>
  <c r="M13" i="90" s="1"/>
  <c r="G12" i="90"/>
  <c r="K12" i="90" s="1"/>
  <c r="I11" i="90"/>
  <c r="G11" i="90"/>
  <c r="M11" i="90" s="1"/>
  <c r="G10" i="90"/>
  <c r="AB7" i="90"/>
  <c r="X7" i="90"/>
  <c r="V4" i="90"/>
  <c r="V2" i="90"/>
  <c r="G37" i="91" l="1"/>
  <c r="L28" i="91"/>
  <c r="L37" i="91" s="1"/>
  <c r="K84" i="91"/>
  <c r="G56" i="91"/>
  <c r="K57" i="91" s="1"/>
  <c r="K11" i="91"/>
  <c r="L11" i="91" s="1"/>
  <c r="L26" i="91" s="1"/>
  <c r="K24" i="91"/>
  <c r="L24" i="91" s="1"/>
  <c r="X48" i="91"/>
  <c r="X49" i="91"/>
  <c r="X47" i="91"/>
  <c r="C48" i="91"/>
  <c r="K48" i="91" s="1"/>
  <c r="L14" i="91"/>
  <c r="L40" i="91"/>
  <c r="L75" i="91"/>
  <c r="Z74" i="91"/>
  <c r="AC74" i="91" s="1"/>
  <c r="L76" i="91"/>
  <c r="Z75" i="91"/>
  <c r="AC75" i="91" s="1"/>
  <c r="K13" i="91"/>
  <c r="L13" i="91" s="1"/>
  <c r="K15" i="91"/>
  <c r="L15" i="91" s="1"/>
  <c r="G37" i="90"/>
  <c r="L28" i="90"/>
  <c r="L37" i="90" s="1"/>
  <c r="G26" i="90"/>
  <c r="G56" i="90" s="1"/>
  <c r="K57" i="90" s="1"/>
  <c r="L12" i="90"/>
  <c r="K84" i="90"/>
  <c r="K11" i="90"/>
  <c r="L11" i="90" s="1"/>
  <c r="K24" i="90"/>
  <c r="L24" i="90" s="1"/>
  <c r="X48" i="90"/>
  <c r="X49" i="90"/>
  <c r="X47" i="90"/>
  <c r="K10" i="90"/>
  <c r="L14" i="90"/>
  <c r="K17" i="90"/>
  <c r="L17" i="90" s="1"/>
  <c r="K20" i="90"/>
  <c r="L20" i="90" s="1"/>
  <c r="K23" i="90"/>
  <c r="L23" i="90" s="1"/>
  <c r="L75" i="90"/>
  <c r="Z74" i="90"/>
  <c r="AC74" i="90" s="1"/>
  <c r="L76" i="90"/>
  <c r="Z75" i="90"/>
  <c r="AC75" i="90" s="1"/>
  <c r="K13" i="90"/>
  <c r="L13" i="90" s="1"/>
  <c r="K15" i="90"/>
  <c r="L15" i="90" s="1"/>
  <c r="L44" i="91" l="1"/>
  <c r="K26" i="91"/>
  <c r="G53" i="91" s="1"/>
  <c r="K54" i="91" s="1"/>
  <c r="C49" i="91"/>
  <c r="K49" i="91" s="1"/>
  <c r="C47" i="91"/>
  <c r="K69" i="91"/>
  <c r="L69" i="91" s="1"/>
  <c r="K72" i="91"/>
  <c r="L72" i="91" s="1"/>
  <c r="X25" i="91"/>
  <c r="AB25" i="91" s="1"/>
  <c r="AC25" i="91" s="1"/>
  <c r="X24" i="91"/>
  <c r="AB24" i="91" s="1"/>
  <c r="AC24" i="91" s="1"/>
  <c r="X22" i="91"/>
  <c r="AB22" i="91" s="1"/>
  <c r="AC22" i="91" s="1"/>
  <c r="X21" i="91"/>
  <c r="AB21" i="91" s="1"/>
  <c r="AC21" i="91" s="1"/>
  <c r="X19" i="91"/>
  <c r="AB19" i="91" s="1"/>
  <c r="AC19" i="91" s="1"/>
  <c r="X23" i="91"/>
  <c r="AB23" i="91" s="1"/>
  <c r="AC23" i="91" s="1"/>
  <c r="X20" i="91"/>
  <c r="AB20" i="91" s="1"/>
  <c r="AC20" i="91" s="1"/>
  <c r="X17" i="91"/>
  <c r="AB17" i="91" s="1"/>
  <c r="AC17" i="91" s="1"/>
  <c r="X18" i="91"/>
  <c r="AB18" i="91" s="1"/>
  <c r="AC18" i="91" s="1"/>
  <c r="X16" i="91"/>
  <c r="AB16" i="91" s="1"/>
  <c r="AC16" i="91" s="1"/>
  <c r="X15" i="91"/>
  <c r="AB15" i="91" s="1"/>
  <c r="AC15" i="91" s="1"/>
  <c r="X12" i="91"/>
  <c r="AB12" i="91" s="1"/>
  <c r="X11" i="91"/>
  <c r="AB11" i="91" s="1"/>
  <c r="AC11" i="91" s="1"/>
  <c r="X10" i="91"/>
  <c r="X14" i="91"/>
  <c r="AB14" i="91" s="1"/>
  <c r="X13" i="91"/>
  <c r="AB13" i="91" s="1"/>
  <c r="AC13" i="91" s="1"/>
  <c r="L40" i="90"/>
  <c r="K26" i="90"/>
  <c r="G53" i="90" s="1"/>
  <c r="K54" i="90" s="1"/>
  <c r="C47" i="90"/>
  <c r="L10" i="90"/>
  <c r="L26" i="90" s="1"/>
  <c r="L44" i="90" s="1"/>
  <c r="C49" i="90"/>
  <c r="K49" i="90" s="1"/>
  <c r="K69" i="90"/>
  <c r="L69" i="90" s="1"/>
  <c r="K72" i="90"/>
  <c r="L72" i="90" s="1"/>
  <c r="X25" i="90"/>
  <c r="AB25" i="90" s="1"/>
  <c r="AC25" i="90" s="1"/>
  <c r="X24" i="90"/>
  <c r="AB24" i="90" s="1"/>
  <c r="AC24" i="90" s="1"/>
  <c r="X23" i="90"/>
  <c r="AB23" i="90" s="1"/>
  <c r="AC23" i="90" s="1"/>
  <c r="X20" i="90"/>
  <c r="AB20" i="90" s="1"/>
  <c r="AC20" i="90" s="1"/>
  <c r="X17" i="90"/>
  <c r="AB17" i="90" s="1"/>
  <c r="AC17" i="90" s="1"/>
  <c r="X22" i="90"/>
  <c r="AB22" i="90" s="1"/>
  <c r="AC22" i="90" s="1"/>
  <c r="X21" i="90"/>
  <c r="AB21" i="90" s="1"/>
  <c r="AC21" i="90" s="1"/>
  <c r="X19" i="90"/>
  <c r="AB19" i="90" s="1"/>
  <c r="AC19" i="90" s="1"/>
  <c r="X18" i="90"/>
  <c r="AB18" i="90" s="1"/>
  <c r="AC18" i="90" s="1"/>
  <c r="X16" i="90"/>
  <c r="AB16" i="90" s="1"/>
  <c r="AC16" i="90" s="1"/>
  <c r="X15" i="90"/>
  <c r="AB15" i="90" s="1"/>
  <c r="AC15" i="90" s="1"/>
  <c r="X12" i="90"/>
  <c r="AB12" i="90" s="1"/>
  <c r="X11" i="90"/>
  <c r="AB11" i="90" s="1"/>
  <c r="AC11" i="90" s="1"/>
  <c r="X10" i="90"/>
  <c r="X14" i="90"/>
  <c r="AB14" i="90" s="1"/>
  <c r="X13" i="90"/>
  <c r="AB13" i="90" s="1"/>
  <c r="AC13" i="90" s="1"/>
  <c r="C48" i="90"/>
  <c r="K48" i="90" s="1"/>
  <c r="W49" i="91" l="1"/>
  <c r="AB49" i="91" s="1"/>
  <c r="AC14" i="91"/>
  <c r="C50" i="91"/>
  <c r="K47" i="91"/>
  <c r="K78" i="91"/>
  <c r="L78" i="91" s="1"/>
  <c r="K77" i="91"/>
  <c r="L77" i="91" s="1"/>
  <c r="K71" i="91"/>
  <c r="L71" i="91" s="1"/>
  <c r="K59" i="91"/>
  <c r="L59" i="91" s="1"/>
  <c r="K70" i="91"/>
  <c r="L70" i="91" s="1"/>
  <c r="K67" i="91"/>
  <c r="L67" i="91" s="1"/>
  <c r="X26" i="91"/>
  <c r="AB10" i="91"/>
  <c r="W48" i="91"/>
  <c r="AB48" i="91" s="1"/>
  <c r="AC12" i="91"/>
  <c r="L50" i="91"/>
  <c r="L82" i="91" s="1"/>
  <c r="W49" i="90"/>
  <c r="AB49" i="90" s="1"/>
  <c r="AC14" i="90"/>
  <c r="C50" i="90"/>
  <c r="K47" i="90"/>
  <c r="L50" i="90" s="1"/>
  <c r="X26" i="90"/>
  <c r="AB10" i="90"/>
  <c r="W48" i="90"/>
  <c r="AB48" i="90" s="1"/>
  <c r="AC12" i="90"/>
  <c r="K78" i="90"/>
  <c r="L78" i="90" s="1"/>
  <c r="K77" i="90"/>
  <c r="L77" i="90" s="1"/>
  <c r="K71" i="90"/>
  <c r="L71" i="90" s="1"/>
  <c r="K59" i="90"/>
  <c r="L59" i="90" s="1"/>
  <c r="K70" i="90"/>
  <c r="L70" i="90" s="1"/>
  <c r="K67" i="90"/>
  <c r="L67" i="90" s="1"/>
  <c r="W47" i="91" l="1"/>
  <c r="AB26" i="91"/>
  <c r="X53" i="91" s="1"/>
  <c r="AB54" i="91" s="1"/>
  <c r="AC10" i="91"/>
  <c r="AC26" i="91" s="1"/>
  <c r="X56" i="91"/>
  <c r="AB57" i="91" s="1"/>
  <c r="AC40" i="91"/>
  <c r="L82" i="90"/>
  <c r="K86" i="90" s="1"/>
  <c r="X56" i="90"/>
  <c r="AB57" i="90" s="1"/>
  <c r="AC40" i="90"/>
  <c r="W47" i="90"/>
  <c r="AB26" i="90"/>
  <c r="X53" i="90" s="1"/>
  <c r="AB54" i="90" s="1"/>
  <c r="AC10" i="90"/>
  <c r="AC26" i="90" s="1"/>
  <c r="AC44" i="91" l="1"/>
  <c r="AB68" i="91"/>
  <c r="AC68" i="91" s="1"/>
  <c r="AB71" i="91"/>
  <c r="AC71" i="91" s="1"/>
  <c r="AB77" i="91"/>
  <c r="AC77" i="91" s="1"/>
  <c r="AB76" i="91"/>
  <c r="AC76" i="91" s="1"/>
  <c r="AB70" i="91"/>
  <c r="AC70" i="91" s="1"/>
  <c r="AB69" i="91"/>
  <c r="AC69" i="91" s="1"/>
  <c r="AB66" i="91"/>
  <c r="AC66" i="91" s="1"/>
  <c r="AB58" i="91"/>
  <c r="AC58" i="91" s="1"/>
  <c r="W50" i="91"/>
  <c r="AB47" i="91"/>
  <c r="AC50" i="91" s="1"/>
  <c r="AC81" i="91" s="1"/>
  <c r="L84" i="91" s="1"/>
  <c r="K86" i="91" s="1"/>
  <c r="AC44" i="90"/>
  <c r="AB77" i="90"/>
  <c r="AC77" i="90" s="1"/>
  <c r="AB76" i="90"/>
  <c r="AC76" i="90" s="1"/>
  <c r="AB70" i="90"/>
  <c r="AC70" i="90" s="1"/>
  <c r="AB69" i="90"/>
  <c r="AC69" i="90" s="1"/>
  <c r="AB66" i="90"/>
  <c r="AC66" i="90" s="1"/>
  <c r="AB58" i="90"/>
  <c r="AC58" i="90" s="1"/>
  <c r="L86" i="90"/>
  <c r="L87" i="90" s="1"/>
  <c r="L90" i="90" s="1"/>
  <c r="L92" i="90" s="1"/>
  <c r="W50" i="90"/>
  <c r="AB47" i="90"/>
  <c r="AC50" i="90" s="1"/>
  <c r="AB68" i="90"/>
  <c r="AC68" i="90" s="1"/>
  <c r="AB71" i="90"/>
  <c r="AC71" i="90" s="1"/>
  <c r="L86" i="91" l="1"/>
  <c r="L87" i="91" s="1"/>
  <c r="L90" i="91" s="1"/>
  <c r="L92" i="91" s="1"/>
  <c r="AC81" i="90"/>
  <c r="L84" i="90" s="1"/>
  <c r="L94" i="90"/>
  <c r="L94" i="91" l="1"/>
  <c r="M86" i="46" l="1"/>
  <c r="L92" i="66" l="1"/>
  <c r="D37" i="40" l="1"/>
  <c r="C5" i="86"/>
  <c r="C7" i="86" s="1"/>
  <c r="C12" i="86" s="1"/>
  <c r="C16" i="86" s="1"/>
  <c r="C17" i="86" s="1"/>
  <c r="C19" i="86" s="1"/>
  <c r="C17" i="83"/>
  <c r="C19" i="83" s="1"/>
  <c r="C6" i="86" l="1"/>
  <c r="C34" i="86"/>
  <c r="C35" i="86" s="1"/>
  <c r="C37" i="86" s="1"/>
  <c r="C39" i="86" s="1"/>
  <c r="C40" i="86" s="1"/>
  <c r="C45" i="86" s="1"/>
  <c r="C20" i="86"/>
  <c r="C24" i="86" s="1"/>
  <c r="C26" i="86" s="1"/>
  <c r="C27" i="86" s="1"/>
  <c r="C28" i="86" s="1"/>
  <c r="C30" i="86" s="1"/>
  <c r="C31" i="86" s="1"/>
  <c r="C32" i="86" s="1"/>
  <c r="C33" i="86" s="1"/>
  <c r="C20" i="83"/>
  <c r="C21" i="83" s="1"/>
  <c r="C50" i="86" l="1"/>
  <c r="C51" i="86" s="1"/>
  <c r="C52" i="86" s="1"/>
  <c r="C54" i="86" s="1"/>
  <c r="C46" i="86"/>
  <c r="C48" i="86" s="1"/>
  <c r="C23" i="83"/>
  <c r="C25" i="83"/>
  <c r="C27" i="83" s="1"/>
  <c r="C28" i="83" s="1"/>
  <c r="C55" i="86" l="1"/>
  <c r="C62" i="86"/>
  <c r="C63" i="86" s="1"/>
  <c r="C64" i="86" s="1"/>
  <c r="C65" i="86" s="1"/>
  <c r="C67" i="86" s="1"/>
  <c r="C68" i="86" s="1"/>
  <c r="C69" i="86" s="1"/>
  <c r="C70" i="86" s="1"/>
  <c r="C71" i="86" s="1"/>
  <c r="C72" i="86" s="1"/>
  <c r="C73" i="86" s="1"/>
  <c r="C74" i="86" s="1"/>
  <c r="C75" i="86" s="1"/>
  <c r="C29" i="83"/>
  <c r="C32" i="83" s="1"/>
  <c r="C34" i="83" s="1"/>
  <c r="C58" i="86" l="1"/>
  <c r="C56" i="86"/>
  <c r="C59" i="86" l="1"/>
  <c r="C60" i="86" s="1"/>
  <c r="C61" i="86"/>
  <c r="B136" i="81"/>
  <c r="B135" i="81"/>
  <c r="M86" i="81"/>
  <c r="V79" i="81"/>
  <c r="V78" i="81"/>
  <c r="Y77" i="81"/>
  <c r="V77" i="81"/>
  <c r="Y76" i="81"/>
  <c r="G76" i="81"/>
  <c r="I76" i="81" s="1"/>
  <c r="AB75" i="81"/>
  <c r="G75" i="81"/>
  <c r="I75" i="81" s="1"/>
  <c r="L75" i="81" s="1"/>
  <c r="AB74" i="81"/>
  <c r="Y71" i="81"/>
  <c r="Y70" i="81"/>
  <c r="Y69" i="81"/>
  <c r="Y68" i="81"/>
  <c r="Y66" i="81"/>
  <c r="X65" i="81"/>
  <c r="X64" i="81"/>
  <c r="X61" i="81"/>
  <c r="Y58" i="81" s="1"/>
  <c r="X60" i="81"/>
  <c r="I59" i="81"/>
  <c r="AA56" i="81"/>
  <c r="AA53" i="81"/>
  <c r="Z49" i="81"/>
  <c r="G49" i="81"/>
  <c r="Z48" i="81"/>
  <c r="G48" i="81"/>
  <c r="Z47" i="81"/>
  <c r="G47" i="81"/>
  <c r="X40" i="81"/>
  <c r="K40" i="81"/>
  <c r="X39" i="81"/>
  <c r="AB40" i="81" s="1"/>
  <c r="X37" i="81"/>
  <c r="E37" i="81"/>
  <c r="D37" i="81"/>
  <c r="AB36" i="81"/>
  <c r="AC36" i="81" s="1"/>
  <c r="G36" i="81"/>
  <c r="L36" i="81" s="1"/>
  <c r="AC35" i="81"/>
  <c r="AB35" i="81"/>
  <c r="G35" i="81"/>
  <c r="L35" i="81" s="1"/>
  <c r="AB34" i="81"/>
  <c r="AC34" i="81" s="1"/>
  <c r="G34" i="81"/>
  <c r="L34" i="81" s="1"/>
  <c r="AC33" i="81"/>
  <c r="AB33" i="81"/>
  <c r="G33" i="81"/>
  <c r="L33" i="81" s="1"/>
  <c r="AB32" i="81"/>
  <c r="AC32" i="81" s="1"/>
  <c r="G32" i="81"/>
  <c r="L32" i="81" s="1"/>
  <c r="AC31" i="81"/>
  <c r="AB31" i="81"/>
  <c r="G31" i="81"/>
  <c r="L31" i="81" s="1"/>
  <c r="AB30" i="81"/>
  <c r="AC30" i="81" s="1"/>
  <c r="G30" i="81"/>
  <c r="L30" i="81" s="1"/>
  <c r="AB29" i="81"/>
  <c r="AC29" i="81" s="1"/>
  <c r="G29" i="81"/>
  <c r="L29" i="81" s="1"/>
  <c r="AB28" i="81"/>
  <c r="AC28" i="81" s="1"/>
  <c r="AC37" i="81" s="1"/>
  <c r="G28" i="81"/>
  <c r="E26" i="81"/>
  <c r="D26" i="81"/>
  <c r="G25" i="81"/>
  <c r="K25" i="81" s="1"/>
  <c r="L25" i="81" s="1"/>
  <c r="G24" i="81"/>
  <c r="I23" i="81"/>
  <c r="I24" i="81" s="1"/>
  <c r="K24" i="81" s="1"/>
  <c r="L24" i="81" s="1"/>
  <c r="G23" i="81"/>
  <c r="K23" i="81" s="1"/>
  <c r="L23" i="81" s="1"/>
  <c r="G22" i="81"/>
  <c r="K22" i="81" s="1"/>
  <c r="L22" i="81" s="1"/>
  <c r="G21" i="81"/>
  <c r="I20" i="81"/>
  <c r="I21" i="81" s="1"/>
  <c r="K21" i="81" s="1"/>
  <c r="L21" i="81" s="1"/>
  <c r="G20" i="81"/>
  <c r="G19" i="81"/>
  <c r="K19" i="81" s="1"/>
  <c r="L19" i="81" s="1"/>
  <c r="G18" i="81"/>
  <c r="I17" i="81"/>
  <c r="I18" i="81" s="1"/>
  <c r="K18" i="81" s="1"/>
  <c r="L18" i="81" s="1"/>
  <c r="G17" i="81"/>
  <c r="K17" i="81" s="1"/>
  <c r="L17" i="81" s="1"/>
  <c r="K16" i="81"/>
  <c r="L16" i="81" s="1"/>
  <c r="G16" i="81"/>
  <c r="I15" i="81"/>
  <c r="G15" i="81"/>
  <c r="M15" i="81" s="1"/>
  <c r="G14" i="81"/>
  <c r="K14" i="81" s="1"/>
  <c r="L14" i="81" s="1"/>
  <c r="I13" i="81"/>
  <c r="G13" i="81"/>
  <c r="G12" i="81"/>
  <c r="K12" i="81" s="1"/>
  <c r="L12" i="81" s="1"/>
  <c r="I11" i="81"/>
  <c r="G11" i="81"/>
  <c r="M11" i="81" s="1"/>
  <c r="G10" i="81"/>
  <c r="AB7" i="81"/>
  <c r="X47" i="81" s="1"/>
  <c r="X7" i="81"/>
  <c r="V4" i="81"/>
  <c r="B3" i="81"/>
  <c r="V2" i="81"/>
  <c r="K11" i="81" l="1"/>
  <c r="L11" i="81" s="1"/>
  <c r="K13" i="81"/>
  <c r="K20" i="81"/>
  <c r="L20" i="81" s="1"/>
  <c r="K15" i="81"/>
  <c r="L15" i="81" s="1"/>
  <c r="X49" i="81"/>
  <c r="C49" i="81"/>
  <c r="K49" i="81" s="1"/>
  <c r="M13" i="81"/>
  <c r="G37" i="81"/>
  <c r="L28" i="81"/>
  <c r="L37" i="81" s="1"/>
  <c r="L76" i="81"/>
  <c r="Z75" i="81"/>
  <c r="AC75" i="81" s="1"/>
  <c r="K10" i="81"/>
  <c r="G26" i="81"/>
  <c r="L13" i="81"/>
  <c r="Z74" i="81"/>
  <c r="AC74" i="81" s="1"/>
  <c r="X48" i="81"/>
  <c r="C48" i="81" l="1"/>
  <c r="K48" i="81" s="1"/>
  <c r="K84" i="81"/>
  <c r="G56" i="81"/>
  <c r="K57" i="81" s="1"/>
  <c r="L40" i="81"/>
  <c r="K26" i="81"/>
  <c r="G53" i="81" s="1"/>
  <c r="K54" i="81" s="1"/>
  <c r="C47" i="81"/>
  <c r="L10" i="81"/>
  <c r="L26" i="81" s="1"/>
  <c r="L44" i="81" l="1"/>
  <c r="K69" i="81"/>
  <c r="L69" i="81" s="1"/>
  <c r="K72" i="81"/>
  <c r="L72" i="81" s="1"/>
  <c r="C50" i="81"/>
  <c r="K47" i="81"/>
  <c r="L50" i="81" s="1"/>
  <c r="K77" i="81"/>
  <c r="L77" i="81" s="1"/>
  <c r="K67" i="81"/>
  <c r="L67" i="81" s="1"/>
  <c r="K78" i="81"/>
  <c r="L78" i="81" s="1"/>
  <c r="K71" i="81"/>
  <c r="L71" i="81" s="1"/>
  <c r="K59" i="81"/>
  <c r="L59" i="81" s="1"/>
  <c r="K70" i="81"/>
  <c r="L70" i="81" s="1"/>
  <c r="X24" i="81"/>
  <c r="AB24" i="81" s="1"/>
  <c r="AC24" i="81" s="1"/>
  <c r="X21" i="81"/>
  <c r="AB21" i="81" s="1"/>
  <c r="AC21" i="81" s="1"/>
  <c r="X18" i="81"/>
  <c r="AB18" i="81" s="1"/>
  <c r="AC18" i="81" s="1"/>
  <c r="X15" i="81"/>
  <c r="AB15" i="81" s="1"/>
  <c r="AC15" i="81" s="1"/>
  <c r="X14" i="81"/>
  <c r="AB14" i="81" s="1"/>
  <c r="X11" i="81"/>
  <c r="AB11" i="81" s="1"/>
  <c r="AC11" i="81" s="1"/>
  <c r="X10" i="81"/>
  <c r="X25" i="81"/>
  <c r="AB25" i="81" s="1"/>
  <c r="AC25" i="81" s="1"/>
  <c r="X22" i="81"/>
  <c r="AB22" i="81" s="1"/>
  <c r="AC22" i="81" s="1"/>
  <c r="X13" i="81"/>
  <c r="AB13" i="81" s="1"/>
  <c r="AC13" i="81" s="1"/>
  <c r="X12" i="81"/>
  <c r="AB12" i="81" s="1"/>
  <c r="X19" i="81"/>
  <c r="AB19" i="81" s="1"/>
  <c r="AC19" i="81" s="1"/>
  <c r="X16" i="81"/>
  <c r="AB16" i="81" s="1"/>
  <c r="AC16" i="81" s="1"/>
  <c r="X23" i="81"/>
  <c r="AB23" i="81" s="1"/>
  <c r="AC23" i="81" s="1"/>
  <c r="X20" i="81"/>
  <c r="AB20" i="81" s="1"/>
  <c r="AC20" i="81" s="1"/>
  <c r="X17" i="81"/>
  <c r="AB17" i="81" s="1"/>
  <c r="AC17" i="81" s="1"/>
  <c r="W49" i="81" l="1"/>
  <c r="AB49" i="81" s="1"/>
  <c r="AC14" i="81"/>
  <c r="AC12" i="81"/>
  <c r="W48" i="81"/>
  <c r="AB48" i="81" s="1"/>
  <c r="X26" i="81"/>
  <c r="AB10" i="81"/>
  <c r="L82" i="81"/>
  <c r="AB26" i="81" l="1"/>
  <c r="X53" i="81" s="1"/>
  <c r="AB54" i="81" s="1"/>
  <c r="W47" i="81"/>
  <c r="AC10" i="81"/>
  <c r="AC26" i="81" s="1"/>
  <c r="X56" i="81"/>
  <c r="AB57" i="81" s="1"/>
  <c r="AC40" i="81"/>
  <c r="AC44" i="81" l="1"/>
  <c r="W50" i="81"/>
  <c r="AB47" i="81"/>
  <c r="AC50" i="81" s="1"/>
  <c r="AB77" i="81"/>
  <c r="AC77" i="81" s="1"/>
  <c r="AB70" i="81"/>
  <c r="AC70" i="81" s="1"/>
  <c r="AB69" i="81"/>
  <c r="AC69" i="81" s="1"/>
  <c r="AB58" i="81"/>
  <c r="AC58" i="81" s="1"/>
  <c r="AB76" i="81"/>
  <c r="AC76" i="81" s="1"/>
  <c r="AB66" i="81"/>
  <c r="AC66" i="81" s="1"/>
  <c r="AB68" i="81"/>
  <c r="AC68" i="81" s="1"/>
  <c r="AB71" i="81"/>
  <c r="AC71" i="81" s="1"/>
  <c r="AC81" i="81" l="1"/>
  <c r="L84" i="81" s="1"/>
  <c r="K86" i="81" s="1"/>
  <c r="L86" i="81" l="1"/>
  <c r="L87" i="81" s="1"/>
  <c r="L90" i="81" s="1"/>
  <c r="L92" i="81" s="1"/>
  <c r="L94" i="81" l="1"/>
  <c r="B136" i="80" l="1"/>
  <c r="B135" i="80"/>
  <c r="M86" i="80"/>
  <c r="V79" i="80"/>
  <c r="V78" i="80"/>
  <c r="Y77" i="80"/>
  <c r="V77" i="80"/>
  <c r="Y76" i="80"/>
  <c r="G76" i="80"/>
  <c r="I76" i="80" s="1"/>
  <c r="AB75" i="80"/>
  <c r="G75" i="80"/>
  <c r="I75" i="80" s="1"/>
  <c r="AB74" i="80"/>
  <c r="Y71" i="80"/>
  <c r="Y70" i="80"/>
  <c r="Y69" i="80"/>
  <c r="Y68" i="80"/>
  <c r="Y66" i="80"/>
  <c r="X65" i="80"/>
  <c r="X64" i="80"/>
  <c r="X61" i="80"/>
  <c r="X60" i="80"/>
  <c r="I59" i="80"/>
  <c r="Y58" i="80"/>
  <c r="AA56" i="80"/>
  <c r="AA53" i="80"/>
  <c r="Z49" i="80"/>
  <c r="G49" i="80"/>
  <c r="Z48" i="80"/>
  <c r="G48" i="80"/>
  <c r="Z47" i="80"/>
  <c r="G47" i="80"/>
  <c r="X40" i="80"/>
  <c r="K40" i="80"/>
  <c r="X39" i="80"/>
  <c r="AB40" i="80" s="1"/>
  <c r="X37" i="80"/>
  <c r="E37" i="80"/>
  <c r="D37" i="80"/>
  <c r="AB36" i="80"/>
  <c r="AC36" i="80" s="1"/>
  <c r="G36" i="80"/>
  <c r="L36" i="80" s="1"/>
  <c r="AB35" i="80"/>
  <c r="AC35" i="80" s="1"/>
  <c r="G35" i="80"/>
  <c r="L35" i="80" s="1"/>
  <c r="AB34" i="80"/>
  <c r="AC34" i="80" s="1"/>
  <c r="G34" i="80"/>
  <c r="L34" i="80" s="1"/>
  <c r="AB33" i="80"/>
  <c r="AC33" i="80" s="1"/>
  <c r="G33" i="80"/>
  <c r="L33" i="80" s="1"/>
  <c r="AB32" i="80"/>
  <c r="AC32" i="80" s="1"/>
  <c r="G32" i="80"/>
  <c r="L32" i="80" s="1"/>
  <c r="AB31" i="80"/>
  <c r="AC31" i="80" s="1"/>
  <c r="G31" i="80"/>
  <c r="L31" i="80" s="1"/>
  <c r="AB30" i="80"/>
  <c r="AC30" i="80" s="1"/>
  <c r="G30" i="80"/>
  <c r="L30" i="80" s="1"/>
  <c r="AB29" i="80"/>
  <c r="AC29" i="80" s="1"/>
  <c r="G29" i="80"/>
  <c r="L29" i="80" s="1"/>
  <c r="AB28" i="80"/>
  <c r="AC28" i="80" s="1"/>
  <c r="AC37" i="80" s="1"/>
  <c r="G28" i="80"/>
  <c r="E26" i="80"/>
  <c r="D26" i="80"/>
  <c r="G25" i="80"/>
  <c r="K25" i="80" s="1"/>
  <c r="L25" i="80" s="1"/>
  <c r="G24" i="80"/>
  <c r="I23" i="80"/>
  <c r="I24" i="80" s="1"/>
  <c r="K24" i="80" s="1"/>
  <c r="L24" i="80" s="1"/>
  <c r="G23" i="80"/>
  <c r="G22" i="80"/>
  <c r="K22" i="80" s="1"/>
  <c r="L22" i="80" s="1"/>
  <c r="G21" i="80"/>
  <c r="I20" i="80"/>
  <c r="I21" i="80" s="1"/>
  <c r="G20" i="80"/>
  <c r="K20" i="80" s="1"/>
  <c r="L20" i="80" s="1"/>
  <c r="G19" i="80"/>
  <c r="K19" i="80" s="1"/>
  <c r="L19" i="80" s="1"/>
  <c r="G18" i="80"/>
  <c r="I17" i="80"/>
  <c r="I18" i="80" s="1"/>
  <c r="K18" i="80" s="1"/>
  <c r="L18" i="80" s="1"/>
  <c r="G17" i="80"/>
  <c r="K16" i="80"/>
  <c r="L16" i="80" s="1"/>
  <c r="G16" i="80"/>
  <c r="I15" i="80"/>
  <c r="K15" i="80" s="1"/>
  <c r="L15" i="80" s="1"/>
  <c r="G15" i="80"/>
  <c r="M15" i="80" s="1"/>
  <c r="K14" i="80"/>
  <c r="L14" i="80" s="1"/>
  <c r="G14" i="80"/>
  <c r="I13" i="80"/>
  <c r="G13" i="80"/>
  <c r="G12" i="80"/>
  <c r="K12" i="80" s="1"/>
  <c r="L12" i="80" s="1"/>
  <c r="I11" i="80"/>
  <c r="K11" i="80" s="1"/>
  <c r="L11" i="80" s="1"/>
  <c r="G11" i="80"/>
  <c r="G10" i="80"/>
  <c r="K10" i="80" s="1"/>
  <c r="AB7" i="80"/>
  <c r="X47" i="80" s="1"/>
  <c r="X7" i="80"/>
  <c r="V4" i="80"/>
  <c r="B3" i="80"/>
  <c r="V2" i="80"/>
  <c r="M11" i="80" l="1"/>
  <c r="G37" i="80"/>
  <c r="G26" i="80"/>
  <c r="K84" i="80" s="1"/>
  <c r="K13" i="80"/>
  <c r="K17" i="80"/>
  <c r="L17" i="80" s="1"/>
  <c r="K21" i="80"/>
  <c r="L21" i="80" s="1"/>
  <c r="K23" i="80"/>
  <c r="L23" i="80" s="1"/>
  <c r="L28" i="80"/>
  <c r="L37" i="80" s="1"/>
  <c r="X48" i="80"/>
  <c r="G56" i="80"/>
  <c r="K57" i="80" s="1"/>
  <c r="L40" i="80"/>
  <c r="L13" i="80"/>
  <c r="C48" i="80"/>
  <c r="K48" i="80" s="1"/>
  <c r="L76" i="80"/>
  <c r="Z75" i="80"/>
  <c r="AC75" i="80" s="1"/>
  <c r="L75" i="80"/>
  <c r="Z74" i="80"/>
  <c r="AC74" i="80" s="1"/>
  <c r="M13" i="80"/>
  <c r="C49" i="80"/>
  <c r="K49" i="80" s="1"/>
  <c r="X49" i="80"/>
  <c r="L10" i="80"/>
  <c r="L26" i="80" s="1"/>
  <c r="C47" i="80"/>
  <c r="K26" i="80" l="1"/>
  <c r="G53" i="80" s="1"/>
  <c r="K54" i="80" s="1"/>
  <c r="K71" i="80" s="1"/>
  <c r="L71" i="80" s="1"/>
  <c r="L44" i="80"/>
  <c r="K78" i="80"/>
  <c r="L78" i="80" s="1"/>
  <c r="X24" i="80"/>
  <c r="AB24" i="80" s="1"/>
  <c r="AC24" i="80" s="1"/>
  <c r="X21" i="80"/>
  <c r="AB21" i="80" s="1"/>
  <c r="AC21" i="80" s="1"/>
  <c r="X18" i="80"/>
  <c r="AB18" i="80" s="1"/>
  <c r="AC18" i="80" s="1"/>
  <c r="X15" i="80"/>
  <c r="AB15" i="80" s="1"/>
  <c r="AC15" i="80" s="1"/>
  <c r="X14" i="80"/>
  <c r="AB14" i="80" s="1"/>
  <c r="X11" i="80"/>
  <c r="AB11" i="80" s="1"/>
  <c r="AC11" i="80" s="1"/>
  <c r="X19" i="80"/>
  <c r="AB19" i="80" s="1"/>
  <c r="AC19" i="80" s="1"/>
  <c r="X16" i="80"/>
  <c r="AB16" i="80" s="1"/>
  <c r="AC16" i="80" s="1"/>
  <c r="X13" i="80"/>
  <c r="AB13" i="80" s="1"/>
  <c r="AC13" i="80" s="1"/>
  <c r="X12" i="80"/>
  <c r="AB12" i="80" s="1"/>
  <c r="X25" i="80"/>
  <c r="AB25" i="80" s="1"/>
  <c r="AC25" i="80" s="1"/>
  <c r="X23" i="80"/>
  <c r="AB23" i="80" s="1"/>
  <c r="AC23" i="80" s="1"/>
  <c r="X20" i="80"/>
  <c r="AB20" i="80" s="1"/>
  <c r="AC20" i="80" s="1"/>
  <c r="X17" i="80"/>
  <c r="AB17" i="80" s="1"/>
  <c r="AC17" i="80" s="1"/>
  <c r="X10" i="80"/>
  <c r="X22" i="80"/>
  <c r="AB22" i="80" s="1"/>
  <c r="AC22" i="80" s="1"/>
  <c r="C50" i="80"/>
  <c r="K47" i="80"/>
  <c r="L50" i="80" s="1"/>
  <c r="K69" i="80"/>
  <c r="L69" i="80" s="1"/>
  <c r="K72" i="80"/>
  <c r="L72" i="80" s="1"/>
  <c r="K59" i="80" l="1"/>
  <c r="L59" i="80" s="1"/>
  <c r="K70" i="80"/>
  <c r="L70" i="80" s="1"/>
  <c r="K67" i="80"/>
  <c r="L67" i="80" s="1"/>
  <c r="K77" i="80"/>
  <c r="L77" i="80" s="1"/>
  <c r="L82" i="80" s="1"/>
  <c r="K86" i="80" s="1"/>
  <c r="X26" i="80"/>
  <c r="AB10" i="80"/>
  <c r="AC12" i="80"/>
  <c r="W48" i="80"/>
  <c r="AB48" i="80" s="1"/>
  <c r="W49" i="80"/>
  <c r="AB49" i="80" s="1"/>
  <c r="AC14" i="80"/>
  <c r="L86" i="80" l="1"/>
  <c r="L87" i="80" s="1"/>
  <c r="L90" i="80" s="1"/>
  <c r="L92" i="80" s="1"/>
  <c r="AB26" i="80"/>
  <c r="X53" i="80" s="1"/>
  <c r="AB54" i="80" s="1"/>
  <c r="W47" i="80"/>
  <c r="AC10" i="80"/>
  <c r="AC26" i="80" s="1"/>
  <c r="X56" i="80"/>
  <c r="AB57" i="80" s="1"/>
  <c r="AC40" i="80"/>
  <c r="AB68" i="80" l="1"/>
  <c r="AC68" i="80" s="1"/>
  <c r="AB71" i="80"/>
  <c r="AC71" i="80" s="1"/>
  <c r="AC44" i="80"/>
  <c r="L94" i="80"/>
  <c r="AB77" i="80"/>
  <c r="AC77" i="80" s="1"/>
  <c r="AB70" i="80"/>
  <c r="AC70" i="80" s="1"/>
  <c r="AB76" i="80"/>
  <c r="AC76" i="80" s="1"/>
  <c r="AB69" i="80"/>
  <c r="AC69" i="80" s="1"/>
  <c r="AB58" i="80"/>
  <c r="AC58" i="80" s="1"/>
  <c r="AB66" i="80"/>
  <c r="AC66" i="80" s="1"/>
  <c r="AB47" i="80"/>
  <c r="AC50" i="80" s="1"/>
  <c r="W50" i="80"/>
  <c r="AC81" i="80" l="1"/>
  <c r="L84" i="80" s="1"/>
  <c r="B136" i="79" l="1"/>
  <c r="B135" i="79"/>
  <c r="M86" i="79"/>
  <c r="V79" i="79"/>
  <c r="V78" i="79"/>
  <c r="Y77" i="79"/>
  <c r="V77" i="79"/>
  <c r="Y76" i="79"/>
  <c r="G76" i="79"/>
  <c r="I76" i="79" s="1"/>
  <c r="AB75" i="79"/>
  <c r="G75" i="79"/>
  <c r="I75" i="79" s="1"/>
  <c r="AB74" i="79"/>
  <c r="Y71" i="79"/>
  <c r="Y70" i="79"/>
  <c r="Y69" i="79"/>
  <c r="Y68" i="79"/>
  <c r="Y66" i="79"/>
  <c r="X65" i="79"/>
  <c r="X64" i="79"/>
  <c r="X61" i="79"/>
  <c r="X60" i="79"/>
  <c r="I59" i="79"/>
  <c r="Y58" i="79"/>
  <c r="AA56" i="79"/>
  <c r="AA53" i="79"/>
  <c r="Z49" i="79"/>
  <c r="G49" i="79"/>
  <c r="Z48" i="79"/>
  <c r="G48" i="79"/>
  <c r="Z47" i="79"/>
  <c r="G47" i="79"/>
  <c r="X40" i="79"/>
  <c r="K40" i="79"/>
  <c r="X39" i="79"/>
  <c r="AB40" i="79" s="1"/>
  <c r="X37" i="79"/>
  <c r="E37" i="79"/>
  <c r="D37" i="79"/>
  <c r="AB36" i="79"/>
  <c r="AC36" i="79" s="1"/>
  <c r="G36" i="79"/>
  <c r="L36" i="79" s="1"/>
  <c r="AB35" i="79"/>
  <c r="AC35" i="79" s="1"/>
  <c r="G35" i="79"/>
  <c r="L35" i="79" s="1"/>
  <c r="AB34" i="79"/>
  <c r="AC34" i="79" s="1"/>
  <c r="G34" i="79"/>
  <c r="L34" i="79" s="1"/>
  <c r="AB33" i="79"/>
  <c r="AC33" i="79" s="1"/>
  <c r="G33" i="79"/>
  <c r="L33" i="79" s="1"/>
  <c r="AB32" i="79"/>
  <c r="AC32" i="79" s="1"/>
  <c r="G32" i="79"/>
  <c r="L32" i="79" s="1"/>
  <c r="AB31" i="79"/>
  <c r="AC31" i="79" s="1"/>
  <c r="G31" i="79"/>
  <c r="L31" i="79" s="1"/>
  <c r="AB30" i="79"/>
  <c r="AC30" i="79" s="1"/>
  <c r="G30" i="79"/>
  <c r="L30" i="79" s="1"/>
  <c r="AB29" i="79"/>
  <c r="AC29" i="79" s="1"/>
  <c r="G29" i="79"/>
  <c r="L29" i="79" s="1"/>
  <c r="AB28" i="79"/>
  <c r="AC28" i="79" s="1"/>
  <c r="AC37" i="79" s="1"/>
  <c r="G28" i="79"/>
  <c r="E26" i="79"/>
  <c r="D26" i="79"/>
  <c r="G25" i="79"/>
  <c r="K25" i="79" s="1"/>
  <c r="L25" i="79" s="1"/>
  <c r="G24" i="79"/>
  <c r="I23" i="79"/>
  <c r="I24" i="79" s="1"/>
  <c r="G23" i="79"/>
  <c r="G22" i="79"/>
  <c r="K22" i="79" s="1"/>
  <c r="L22" i="79" s="1"/>
  <c r="G21" i="79"/>
  <c r="I20" i="79"/>
  <c r="I21" i="79" s="1"/>
  <c r="G20" i="79"/>
  <c r="K20" i="79" s="1"/>
  <c r="L20" i="79" s="1"/>
  <c r="G19" i="79"/>
  <c r="K19" i="79" s="1"/>
  <c r="L19" i="79" s="1"/>
  <c r="G18" i="79"/>
  <c r="I17" i="79"/>
  <c r="I18" i="79" s="1"/>
  <c r="K18" i="79" s="1"/>
  <c r="L18" i="79" s="1"/>
  <c r="G17" i="79"/>
  <c r="K16" i="79"/>
  <c r="L16" i="79" s="1"/>
  <c r="G16" i="79"/>
  <c r="I15" i="79"/>
  <c r="K15" i="79" s="1"/>
  <c r="L15" i="79" s="1"/>
  <c r="G15" i="79"/>
  <c r="M15" i="79" s="1"/>
  <c r="G14" i="79"/>
  <c r="K14" i="79" s="1"/>
  <c r="L14" i="79" s="1"/>
  <c r="I13" i="79"/>
  <c r="G13" i="79"/>
  <c r="K12" i="79"/>
  <c r="L12" i="79" s="1"/>
  <c r="G12" i="79"/>
  <c r="I11" i="79"/>
  <c r="K11" i="79" s="1"/>
  <c r="L11" i="79" s="1"/>
  <c r="G11" i="79"/>
  <c r="M11" i="79" s="1"/>
  <c r="K10" i="79"/>
  <c r="G10" i="79"/>
  <c r="AB7" i="79"/>
  <c r="X47" i="79" s="1"/>
  <c r="X7" i="79"/>
  <c r="V4" i="79"/>
  <c r="B3" i="79"/>
  <c r="V2" i="79"/>
  <c r="G37" i="79" l="1"/>
  <c r="K24" i="79"/>
  <c r="L24" i="79" s="1"/>
  <c r="G26" i="79"/>
  <c r="L40" i="79" s="1"/>
  <c r="K13" i="79"/>
  <c r="K17" i="79"/>
  <c r="L17" i="79" s="1"/>
  <c r="K21" i="79"/>
  <c r="L21" i="79" s="1"/>
  <c r="K23" i="79"/>
  <c r="L23" i="79" s="1"/>
  <c r="L28" i="79"/>
  <c r="L37" i="79" s="1"/>
  <c r="X48" i="79"/>
  <c r="L76" i="79"/>
  <c r="Z75" i="79"/>
  <c r="AC75" i="79" s="1"/>
  <c r="L13" i="79"/>
  <c r="C48" i="79"/>
  <c r="K48" i="79" s="1"/>
  <c r="G56" i="79"/>
  <c r="K57" i="79" s="1"/>
  <c r="K26" i="79"/>
  <c r="G53" i="79" s="1"/>
  <c r="K54" i="79" s="1"/>
  <c r="Z74" i="79"/>
  <c r="AC74" i="79" s="1"/>
  <c r="L75" i="79"/>
  <c r="M13" i="79"/>
  <c r="C49" i="79"/>
  <c r="K49" i="79" s="1"/>
  <c r="X49" i="79"/>
  <c r="L10" i="79"/>
  <c r="L26" i="79" s="1"/>
  <c r="C47" i="79"/>
  <c r="K84" i="79" l="1"/>
  <c r="L44" i="79"/>
  <c r="K77" i="79"/>
  <c r="L77" i="79" s="1"/>
  <c r="K71" i="79"/>
  <c r="L71" i="79" s="1"/>
  <c r="K59" i="79"/>
  <c r="L59" i="79" s="1"/>
  <c r="K67" i="79"/>
  <c r="L67" i="79" s="1"/>
  <c r="K78" i="79"/>
  <c r="L78" i="79" s="1"/>
  <c r="K70" i="79"/>
  <c r="L70"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3" i="79"/>
  <c r="AB13" i="79" s="1"/>
  <c r="AC13" i="79" s="1"/>
  <c r="X12" i="79"/>
  <c r="AB12" i="79" s="1"/>
  <c r="X23" i="79"/>
  <c r="AB23" i="79" s="1"/>
  <c r="AC23" i="79" s="1"/>
  <c r="X20" i="79"/>
  <c r="AB20" i="79" s="1"/>
  <c r="AC20" i="79" s="1"/>
  <c r="X17" i="79"/>
  <c r="AB17" i="79" s="1"/>
  <c r="AC17" i="79" s="1"/>
  <c r="X16" i="79"/>
  <c r="AB16" i="79" s="1"/>
  <c r="AC16" i="79" s="1"/>
  <c r="C50" i="79"/>
  <c r="K47" i="79"/>
  <c r="L50" i="79" s="1"/>
  <c r="K69" i="79"/>
  <c r="L69" i="79" s="1"/>
  <c r="K72" i="79"/>
  <c r="L72" i="79" s="1"/>
  <c r="L82" i="79" l="1"/>
  <c r="K86" i="79" s="1"/>
  <c r="AC12" i="79"/>
  <c r="W48" i="79"/>
  <c r="AB48" i="79" s="1"/>
  <c r="W49" i="79"/>
  <c r="AB49" i="79" s="1"/>
  <c r="AC14" i="79"/>
  <c r="AB10" i="79"/>
  <c r="X26" i="79"/>
  <c r="X56" i="79" l="1"/>
  <c r="AB57" i="79" s="1"/>
  <c r="AC40" i="79"/>
  <c r="L86" i="79"/>
  <c r="L87" i="79" s="1"/>
  <c r="L90" i="79" s="1"/>
  <c r="L92" i="79" s="1"/>
  <c r="W47" i="79"/>
  <c r="AC10" i="79"/>
  <c r="AC26" i="79" s="1"/>
  <c r="AC44" i="79" s="1"/>
  <c r="AB26" i="79"/>
  <c r="X53" i="79" s="1"/>
  <c r="AB54" i="79" s="1"/>
  <c r="L94" i="79" l="1"/>
  <c r="AB77" i="79"/>
  <c r="AC77" i="79" s="1"/>
  <c r="AB70" i="79"/>
  <c r="AC70" i="79" s="1"/>
  <c r="AB69" i="79"/>
  <c r="AC69" i="79" s="1"/>
  <c r="AB58" i="79"/>
  <c r="AC58" i="79" s="1"/>
  <c r="AB66" i="79"/>
  <c r="AC66" i="79" s="1"/>
  <c r="AB76" i="79"/>
  <c r="AC76" i="79" s="1"/>
  <c r="W50" i="79"/>
  <c r="AB47" i="79"/>
  <c r="AC50" i="79" s="1"/>
  <c r="AC81" i="79" s="1"/>
  <c r="L84" i="79" s="1"/>
  <c r="AB68" i="79"/>
  <c r="AC68" i="79" s="1"/>
  <c r="AB71" i="79"/>
  <c r="AC71" i="79" s="1"/>
  <c r="B136" i="78" l="1"/>
  <c r="B135" i="78"/>
  <c r="M86" i="78"/>
  <c r="V79" i="78"/>
  <c r="V78" i="78"/>
  <c r="Y77" i="78"/>
  <c r="V77" i="78"/>
  <c r="Y76" i="78"/>
  <c r="G76" i="78"/>
  <c r="I76" i="78" s="1"/>
  <c r="AB75" i="78"/>
  <c r="G75" i="78"/>
  <c r="I75" i="78" s="1"/>
  <c r="AB74" i="78"/>
  <c r="Y71" i="78"/>
  <c r="Y70" i="78"/>
  <c r="Y69" i="78"/>
  <c r="Y68" i="78"/>
  <c r="Y66" i="78"/>
  <c r="X65" i="78"/>
  <c r="X64" i="78"/>
  <c r="X61" i="78"/>
  <c r="X60" i="78"/>
  <c r="I59" i="78"/>
  <c r="Y58" i="78"/>
  <c r="AA56" i="78"/>
  <c r="AA53" i="78"/>
  <c r="Z49" i="78"/>
  <c r="G49" i="78"/>
  <c r="Z48" i="78"/>
  <c r="G48" i="78"/>
  <c r="Z47" i="78"/>
  <c r="G47" i="78"/>
  <c r="X40" i="78"/>
  <c r="K40" i="78"/>
  <c r="X39" i="78"/>
  <c r="AB40" i="78" s="1"/>
  <c r="X37" i="78"/>
  <c r="E37" i="78"/>
  <c r="D37" i="78"/>
  <c r="AB36" i="78"/>
  <c r="AC36" i="78" s="1"/>
  <c r="G36" i="78"/>
  <c r="L36" i="78" s="1"/>
  <c r="AB35" i="78"/>
  <c r="AC35" i="78" s="1"/>
  <c r="G35" i="78"/>
  <c r="L35" i="78" s="1"/>
  <c r="AB34" i="78"/>
  <c r="AC34" i="78" s="1"/>
  <c r="G34" i="78"/>
  <c r="L34" i="78" s="1"/>
  <c r="AB33" i="78"/>
  <c r="AC33" i="78" s="1"/>
  <c r="G33" i="78"/>
  <c r="L33" i="78" s="1"/>
  <c r="AB32" i="78"/>
  <c r="AC32" i="78" s="1"/>
  <c r="G32" i="78"/>
  <c r="L32" i="78" s="1"/>
  <c r="AB31" i="78"/>
  <c r="AC31" i="78" s="1"/>
  <c r="G31" i="78"/>
  <c r="L31" i="78" s="1"/>
  <c r="AB30" i="78"/>
  <c r="AC30" i="78" s="1"/>
  <c r="G30" i="78"/>
  <c r="L30" i="78" s="1"/>
  <c r="AB29" i="78"/>
  <c r="AC29" i="78" s="1"/>
  <c r="G29" i="78"/>
  <c r="L29" i="78" s="1"/>
  <c r="AB28" i="78"/>
  <c r="AC28" i="78" s="1"/>
  <c r="AC37" i="78" s="1"/>
  <c r="G28" i="78"/>
  <c r="E26" i="78"/>
  <c r="D26" i="78"/>
  <c r="G25" i="78"/>
  <c r="K25" i="78" s="1"/>
  <c r="L25" i="78" s="1"/>
  <c r="G24" i="78"/>
  <c r="I23" i="78"/>
  <c r="I24" i="78" s="1"/>
  <c r="K24" i="78" s="1"/>
  <c r="L24" i="78" s="1"/>
  <c r="G23" i="78"/>
  <c r="G22" i="78"/>
  <c r="K22" i="78" s="1"/>
  <c r="L22" i="78" s="1"/>
  <c r="G21" i="78"/>
  <c r="I20" i="78"/>
  <c r="I21" i="78" s="1"/>
  <c r="G20" i="78"/>
  <c r="K20" i="78" s="1"/>
  <c r="L20" i="78" s="1"/>
  <c r="G19" i="78"/>
  <c r="K19" i="78" s="1"/>
  <c r="L19" i="78" s="1"/>
  <c r="G18" i="78"/>
  <c r="I17" i="78"/>
  <c r="I18" i="78" s="1"/>
  <c r="K18" i="78" s="1"/>
  <c r="L18" i="78" s="1"/>
  <c r="G17" i="78"/>
  <c r="K16" i="78"/>
  <c r="L16" i="78" s="1"/>
  <c r="G16" i="78"/>
  <c r="I15" i="78"/>
  <c r="K15" i="78" s="1"/>
  <c r="L15" i="78" s="1"/>
  <c r="G15" i="78"/>
  <c r="M15" i="78" s="1"/>
  <c r="K14" i="78"/>
  <c r="L14" i="78" s="1"/>
  <c r="G14" i="78"/>
  <c r="I13" i="78"/>
  <c r="G13" i="78"/>
  <c r="G12" i="78"/>
  <c r="K12" i="78" s="1"/>
  <c r="L12" i="78" s="1"/>
  <c r="I11" i="78"/>
  <c r="K11" i="78" s="1"/>
  <c r="L11" i="78" s="1"/>
  <c r="G11" i="78"/>
  <c r="M11" i="78" s="1"/>
  <c r="K10" i="78"/>
  <c r="G10" i="78"/>
  <c r="AB7" i="78"/>
  <c r="X47" i="78" s="1"/>
  <c r="X7" i="78"/>
  <c r="V4" i="78"/>
  <c r="B3" i="78"/>
  <c r="V2" i="78"/>
  <c r="G37" i="78" l="1"/>
  <c r="G26" i="78"/>
  <c r="K84" i="78" s="1"/>
  <c r="K13" i="78"/>
  <c r="K17" i="78"/>
  <c r="L17" i="78" s="1"/>
  <c r="K21" i="78"/>
  <c r="L21" i="78" s="1"/>
  <c r="K23" i="78"/>
  <c r="L23" i="78" s="1"/>
  <c r="L28" i="78"/>
  <c r="L37" i="78" s="1"/>
  <c r="X48" i="78"/>
  <c r="K26" i="78"/>
  <c r="G53" i="78" s="1"/>
  <c r="K54" i="78" s="1"/>
  <c r="L76" i="78"/>
  <c r="Z75" i="78"/>
  <c r="L13" i="78"/>
  <c r="C48" i="78"/>
  <c r="K48" i="78" s="1"/>
  <c r="AC75" i="78"/>
  <c r="L75" i="78"/>
  <c r="Z74" i="78"/>
  <c r="AC74" i="78" s="1"/>
  <c r="M13" i="78"/>
  <c r="C49" i="78"/>
  <c r="K49" i="78" s="1"/>
  <c r="X49" i="78"/>
  <c r="L10" i="78"/>
  <c r="C47" i="78"/>
  <c r="L26" i="78" l="1"/>
  <c r="L40" i="78"/>
  <c r="G56" i="78"/>
  <c r="K57" i="78" s="1"/>
  <c r="K69" i="78" s="1"/>
  <c r="L69" i="78" s="1"/>
  <c r="K72" i="78"/>
  <c r="L72" i="78" s="1"/>
  <c r="C50" i="78"/>
  <c r="K47" i="78"/>
  <c r="L50" i="78" s="1"/>
  <c r="L44" i="78"/>
  <c r="K77" i="78"/>
  <c r="L77" i="78" s="1"/>
  <c r="K78" i="78"/>
  <c r="L78" i="78" s="1"/>
  <c r="K71" i="78"/>
  <c r="L71" i="78" s="1"/>
  <c r="K59" i="78"/>
  <c r="L59" i="78" s="1"/>
  <c r="K67" i="78"/>
  <c r="L67" i="78" s="1"/>
  <c r="K70" i="78"/>
  <c r="L70" i="78" s="1"/>
  <c r="X24" i="78"/>
  <c r="AB24" i="78" s="1"/>
  <c r="AC24" i="78" s="1"/>
  <c r="X21" i="78"/>
  <c r="AB21" i="78" s="1"/>
  <c r="AC21" i="78" s="1"/>
  <c r="X18" i="78"/>
  <c r="AB18" i="78" s="1"/>
  <c r="AC18" i="78" s="1"/>
  <c r="X15" i="78"/>
  <c r="AB15" i="78" s="1"/>
  <c r="AC15" i="78" s="1"/>
  <c r="X14" i="78"/>
  <c r="AB14" i="78" s="1"/>
  <c r="X25" i="78"/>
  <c r="AB25" i="78" s="1"/>
  <c r="AC25" i="78" s="1"/>
  <c r="X19" i="78"/>
  <c r="AB19" i="78" s="1"/>
  <c r="AC19" i="78" s="1"/>
  <c r="X13" i="78"/>
  <c r="AB13" i="78" s="1"/>
  <c r="AC13" i="78" s="1"/>
  <c r="X12" i="78"/>
  <c r="AB12" i="78" s="1"/>
  <c r="X22" i="78"/>
  <c r="AB22" i="78" s="1"/>
  <c r="AC22" i="78" s="1"/>
  <c r="X16" i="78"/>
  <c r="AB16" i="78" s="1"/>
  <c r="AC16" i="78" s="1"/>
  <c r="X23" i="78"/>
  <c r="AB23" i="78" s="1"/>
  <c r="AC23" i="78" s="1"/>
  <c r="X20" i="78"/>
  <c r="AB20" i="78" s="1"/>
  <c r="AC20" i="78" s="1"/>
  <c r="X17" i="78"/>
  <c r="AB17" i="78" s="1"/>
  <c r="AC17" i="78" s="1"/>
  <c r="X11" i="78"/>
  <c r="AB11" i="78" s="1"/>
  <c r="AC11" i="78" s="1"/>
  <c r="X10" i="78"/>
  <c r="L82" i="78" l="1"/>
  <c r="AB10" i="78"/>
  <c r="X26" i="78"/>
  <c r="AC12" i="78"/>
  <c r="W48" i="78"/>
  <c r="AB48" i="78" s="1"/>
  <c r="W49" i="78"/>
  <c r="AB49" i="78" s="1"/>
  <c r="AC14" i="78"/>
  <c r="X56" i="78" l="1"/>
  <c r="AB57" i="78" s="1"/>
  <c r="AC40" i="78"/>
  <c r="W47" i="78"/>
  <c r="AC10" i="78"/>
  <c r="AC26" i="78" s="1"/>
  <c r="AC44" i="78" s="1"/>
  <c r="AB26" i="78"/>
  <c r="X53" i="78" s="1"/>
  <c r="AB54" i="78" s="1"/>
  <c r="K86" i="78"/>
  <c r="W50" i="78" l="1"/>
  <c r="AB47" i="78"/>
  <c r="AC50" i="78" s="1"/>
  <c r="L86" i="78"/>
  <c r="L87" i="78" s="1"/>
  <c r="L90" i="78" s="1"/>
  <c r="L92" i="78" s="1"/>
  <c r="AB77" i="78"/>
  <c r="AC77" i="78" s="1"/>
  <c r="AB70" i="78"/>
  <c r="AC70" i="78" s="1"/>
  <c r="AB69" i="78"/>
  <c r="AC69" i="78" s="1"/>
  <c r="AB58" i="78"/>
  <c r="AC58" i="78" s="1"/>
  <c r="AB76" i="78"/>
  <c r="AC76" i="78" s="1"/>
  <c r="AB66" i="78"/>
  <c r="AC66" i="78" s="1"/>
  <c r="AB68" i="78"/>
  <c r="AC68" i="78" s="1"/>
  <c r="AB71" i="78"/>
  <c r="AC71" i="78" s="1"/>
  <c r="AC81" i="78" l="1"/>
  <c r="L84" i="78" s="1"/>
  <c r="L94" i="78"/>
  <c r="B136" i="77" l="1"/>
  <c r="B135" i="77"/>
  <c r="M86" i="77"/>
  <c r="V79" i="77"/>
  <c r="V78" i="77"/>
  <c r="Y77" i="77"/>
  <c r="V77" i="77"/>
  <c r="Y76" i="77"/>
  <c r="G76" i="77"/>
  <c r="I76" i="77" s="1"/>
  <c r="AB75" i="77"/>
  <c r="G75" i="77"/>
  <c r="I75" i="77" s="1"/>
  <c r="AB74" i="77"/>
  <c r="Y71" i="77"/>
  <c r="Y70" i="77"/>
  <c r="Y69" i="77"/>
  <c r="Y68" i="77"/>
  <c r="Y66" i="77"/>
  <c r="X65" i="77"/>
  <c r="X64" i="77"/>
  <c r="X61" i="77"/>
  <c r="X60" i="77"/>
  <c r="I59" i="77"/>
  <c r="Y58" i="77"/>
  <c r="AA56" i="77"/>
  <c r="AA53" i="77"/>
  <c r="Z49" i="77"/>
  <c r="G49" i="77"/>
  <c r="Z48" i="77"/>
  <c r="G48" i="77"/>
  <c r="Z47" i="77"/>
  <c r="G47" i="77"/>
  <c r="X40" i="77"/>
  <c r="K40" i="77"/>
  <c r="X39" i="77"/>
  <c r="AB40" i="77" s="1"/>
  <c r="X37" i="77"/>
  <c r="E37" i="77"/>
  <c r="D37" i="77"/>
  <c r="AB36" i="77"/>
  <c r="AC36" i="77" s="1"/>
  <c r="G36" i="77"/>
  <c r="L36" i="77" s="1"/>
  <c r="AB35" i="77"/>
  <c r="AC35" i="77" s="1"/>
  <c r="G35" i="77"/>
  <c r="L35" i="77" s="1"/>
  <c r="AB34" i="77"/>
  <c r="AC34" i="77" s="1"/>
  <c r="G34" i="77"/>
  <c r="L34" i="77" s="1"/>
  <c r="AB33" i="77"/>
  <c r="AC33" i="77" s="1"/>
  <c r="G33" i="77"/>
  <c r="L33" i="77" s="1"/>
  <c r="AB32" i="77"/>
  <c r="AC32" i="77" s="1"/>
  <c r="G32" i="77"/>
  <c r="L32" i="77" s="1"/>
  <c r="AB31" i="77"/>
  <c r="AC31" i="77" s="1"/>
  <c r="G31" i="77"/>
  <c r="L31" i="77" s="1"/>
  <c r="AB30" i="77"/>
  <c r="AC30" i="77" s="1"/>
  <c r="G30" i="77"/>
  <c r="L30" i="77" s="1"/>
  <c r="AB29" i="77"/>
  <c r="AC29" i="77" s="1"/>
  <c r="G29" i="77"/>
  <c r="L29" i="77" s="1"/>
  <c r="AB28" i="77"/>
  <c r="AC28" i="77" s="1"/>
  <c r="AC37" i="77" s="1"/>
  <c r="G28" i="77"/>
  <c r="E26" i="77"/>
  <c r="D26" i="77"/>
  <c r="G25" i="77"/>
  <c r="K25" i="77" s="1"/>
  <c r="L25" i="77" s="1"/>
  <c r="G24" i="77"/>
  <c r="I23" i="77"/>
  <c r="I24" i="77" s="1"/>
  <c r="K24" i="77" s="1"/>
  <c r="L24" i="77" s="1"/>
  <c r="G23" i="77"/>
  <c r="G22" i="77"/>
  <c r="K22" i="77" s="1"/>
  <c r="L22" i="77" s="1"/>
  <c r="G21" i="77"/>
  <c r="I20" i="77"/>
  <c r="I21" i="77" s="1"/>
  <c r="G20" i="77"/>
  <c r="K20" i="77" s="1"/>
  <c r="L20" i="77" s="1"/>
  <c r="G19" i="77"/>
  <c r="K19" i="77" s="1"/>
  <c r="L19" i="77" s="1"/>
  <c r="G18" i="77"/>
  <c r="I17" i="77"/>
  <c r="I18" i="77" s="1"/>
  <c r="K18" i="77" s="1"/>
  <c r="L18" i="77" s="1"/>
  <c r="G17" i="77"/>
  <c r="K16" i="77"/>
  <c r="L16" i="77" s="1"/>
  <c r="G16" i="77"/>
  <c r="I15" i="77"/>
  <c r="K15" i="77" s="1"/>
  <c r="L15" i="77" s="1"/>
  <c r="G15" i="77"/>
  <c r="M15" i="77" s="1"/>
  <c r="K14" i="77"/>
  <c r="L14" i="77" s="1"/>
  <c r="G14" i="77"/>
  <c r="I13" i="77"/>
  <c r="G13" i="77"/>
  <c r="K12" i="77"/>
  <c r="L12" i="77" s="1"/>
  <c r="G12" i="77"/>
  <c r="I11" i="77"/>
  <c r="G11" i="77"/>
  <c r="M11" i="77" s="1"/>
  <c r="G10" i="77"/>
  <c r="K10" i="77" s="1"/>
  <c r="AB7" i="77"/>
  <c r="X47" i="77" s="1"/>
  <c r="X7" i="77"/>
  <c r="V4" i="77"/>
  <c r="B3" i="77"/>
  <c r="V2" i="77"/>
  <c r="G37" i="77" l="1"/>
  <c r="G26" i="77"/>
  <c r="K11" i="77"/>
  <c r="L11" i="77" s="1"/>
  <c r="K13" i="77"/>
  <c r="K17" i="77"/>
  <c r="L17" i="77" s="1"/>
  <c r="K21" i="77"/>
  <c r="L21" i="77" s="1"/>
  <c r="K23" i="77"/>
  <c r="L23" i="77" s="1"/>
  <c r="L28" i="77"/>
  <c r="L37" i="77" s="1"/>
  <c r="X48" i="77"/>
  <c r="L40" i="77"/>
  <c r="K26" i="77"/>
  <c r="G53" i="77" s="1"/>
  <c r="K54" i="77" s="1"/>
  <c r="L76" i="77"/>
  <c r="Z75" i="77"/>
  <c r="AC75" i="77" s="1"/>
  <c r="L13" i="77"/>
  <c r="C48" i="77"/>
  <c r="K48" i="77" s="1"/>
  <c r="K84" i="77"/>
  <c r="G56" i="77"/>
  <c r="K57" i="77" s="1"/>
  <c r="Z74" i="77"/>
  <c r="AC74" i="77" s="1"/>
  <c r="L75" i="77"/>
  <c r="M13" i="77"/>
  <c r="C49" i="77"/>
  <c r="K49" i="77" s="1"/>
  <c r="X49" i="77"/>
  <c r="L10" i="77"/>
  <c r="L26" i="77" s="1"/>
  <c r="L44" i="77" s="1"/>
  <c r="C47" i="77"/>
  <c r="K69" i="77" l="1"/>
  <c r="L69" i="77" s="1"/>
  <c r="K72" i="77"/>
  <c r="L72" i="77" s="1"/>
  <c r="C50" i="77"/>
  <c r="K47" i="77"/>
  <c r="L50" i="77" s="1"/>
  <c r="X24" i="77"/>
  <c r="AB24" i="77" s="1"/>
  <c r="AC24" i="77" s="1"/>
  <c r="X21" i="77"/>
  <c r="AB21" i="77" s="1"/>
  <c r="AC21" i="77" s="1"/>
  <c r="X18" i="77"/>
  <c r="AB18" i="77" s="1"/>
  <c r="AC18" i="77" s="1"/>
  <c r="X15" i="77"/>
  <c r="AB15" i="77" s="1"/>
  <c r="AC15" i="77" s="1"/>
  <c r="X14" i="77"/>
  <c r="AB14" i="77" s="1"/>
  <c r="X11" i="77"/>
  <c r="AB11" i="77" s="1"/>
  <c r="AC11" i="77" s="1"/>
  <c r="X10" i="77"/>
  <c r="X25" i="77"/>
  <c r="AB25" i="77" s="1"/>
  <c r="AC25" i="77" s="1"/>
  <c r="X22" i="77"/>
  <c r="AB22" i="77" s="1"/>
  <c r="AC22" i="77" s="1"/>
  <c r="X19" i="77"/>
  <c r="AB19" i="77" s="1"/>
  <c r="AC19" i="77" s="1"/>
  <c r="X23" i="77"/>
  <c r="AB23" i="77" s="1"/>
  <c r="AC23" i="77" s="1"/>
  <c r="X20" i="77"/>
  <c r="AB20" i="77" s="1"/>
  <c r="AC20" i="77" s="1"/>
  <c r="X17" i="77"/>
  <c r="AB17" i="77" s="1"/>
  <c r="AC17" i="77" s="1"/>
  <c r="X16" i="77"/>
  <c r="AB16" i="77" s="1"/>
  <c r="AC16" i="77" s="1"/>
  <c r="X13" i="77"/>
  <c r="AB13" i="77" s="1"/>
  <c r="AC13" i="77" s="1"/>
  <c r="X12" i="77"/>
  <c r="AB12" i="77" s="1"/>
  <c r="K77" i="77"/>
  <c r="L77" i="77" s="1"/>
  <c r="K67" i="77"/>
  <c r="L67" i="77" s="1"/>
  <c r="K78" i="77"/>
  <c r="L78" i="77" s="1"/>
  <c r="K71" i="77"/>
  <c r="L71" i="77" s="1"/>
  <c r="K59" i="77"/>
  <c r="L59" i="77" s="1"/>
  <c r="K70" i="77"/>
  <c r="L70" i="77" s="1"/>
  <c r="L82" i="77" l="1"/>
  <c r="K86" i="77" s="1"/>
  <c r="AC12" i="77"/>
  <c r="W48" i="77"/>
  <c r="AB48" i="77" s="1"/>
  <c r="W49" i="77"/>
  <c r="AB49" i="77" s="1"/>
  <c r="AC14" i="77"/>
  <c r="X26" i="77"/>
  <c r="AB10" i="77"/>
  <c r="L86" i="77" l="1"/>
  <c r="L94" i="77" s="1"/>
  <c r="X56" i="77"/>
  <c r="AB57" i="77" s="1"/>
  <c r="AC40" i="77"/>
  <c r="AB26" i="77"/>
  <c r="X53" i="77" s="1"/>
  <c r="AB54" i="77" s="1"/>
  <c r="AC10" i="77"/>
  <c r="AC26" i="77" s="1"/>
  <c r="AC44" i="77" s="1"/>
  <c r="W47" i="77"/>
  <c r="L87" i="77" l="1"/>
  <c r="L90" i="77" s="1"/>
  <c r="L92" i="77" s="1"/>
  <c r="AB77" i="77"/>
  <c r="AC77" i="77" s="1"/>
  <c r="AB70" i="77"/>
  <c r="AC70" i="77" s="1"/>
  <c r="AB69" i="77"/>
  <c r="AC69" i="77" s="1"/>
  <c r="AB58" i="77"/>
  <c r="AC58" i="77" s="1"/>
  <c r="AB76" i="77"/>
  <c r="AC76" i="77" s="1"/>
  <c r="AB66" i="77"/>
  <c r="AC66" i="77" s="1"/>
  <c r="AB47" i="77"/>
  <c r="AC50" i="77" s="1"/>
  <c r="W50" i="77"/>
  <c r="AB68" i="77"/>
  <c r="AC68" i="77" s="1"/>
  <c r="AB71" i="77"/>
  <c r="AC71" i="77" s="1"/>
  <c r="AC81" i="77" l="1"/>
  <c r="L84" i="77" s="1"/>
  <c r="B136" i="76"/>
  <c r="B135" i="76"/>
  <c r="M86" i="76"/>
  <c r="V79" i="76"/>
  <c r="V78" i="76"/>
  <c r="Y77" i="76"/>
  <c r="V77" i="76"/>
  <c r="Y76" i="76"/>
  <c r="I76" i="76"/>
  <c r="L76" i="76" s="1"/>
  <c r="G76" i="76"/>
  <c r="AB75" i="76"/>
  <c r="G75" i="76"/>
  <c r="I75" i="76" s="1"/>
  <c r="AB74" i="76"/>
  <c r="Y71" i="76"/>
  <c r="Y70" i="76"/>
  <c r="Y69" i="76"/>
  <c r="Y68" i="76"/>
  <c r="Y66" i="76"/>
  <c r="X65" i="76"/>
  <c r="X64" i="76"/>
  <c r="X61" i="76"/>
  <c r="X60" i="76"/>
  <c r="I59" i="76"/>
  <c r="AA56" i="76"/>
  <c r="AA53" i="76"/>
  <c r="Z49" i="76"/>
  <c r="G49" i="76"/>
  <c r="Z48" i="76"/>
  <c r="G48" i="76"/>
  <c r="Z47" i="76"/>
  <c r="G47" i="76"/>
  <c r="X40" i="76"/>
  <c r="K40" i="76"/>
  <c r="X39" i="76"/>
  <c r="AB40" i="76" s="1"/>
  <c r="X37" i="76"/>
  <c r="E37" i="76"/>
  <c r="D37" i="76"/>
  <c r="AB36" i="76"/>
  <c r="AC36" i="76" s="1"/>
  <c r="G36" i="76"/>
  <c r="L36" i="76" s="1"/>
  <c r="AB35" i="76"/>
  <c r="AC35" i="76" s="1"/>
  <c r="G35" i="76"/>
  <c r="L35" i="76" s="1"/>
  <c r="AB34" i="76"/>
  <c r="AC34" i="76" s="1"/>
  <c r="G34" i="76"/>
  <c r="L34" i="76" s="1"/>
  <c r="AB33" i="76"/>
  <c r="AC33" i="76" s="1"/>
  <c r="G33" i="76"/>
  <c r="L33" i="76" s="1"/>
  <c r="AB32" i="76"/>
  <c r="AC32" i="76" s="1"/>
  <c r="G32" i="76"/>
  <c r="L32" i="76" s="1"/>
  <c r="AB31" i="76"/>
  <c r="AC31" i="76" s="1"/>
  <c r="G31" i="76"/>
  <c r="L31" i="76" s="1"/>
  <c r="AB30" i="76"/>
  <c r="AC30" i="76" s="1"/>
  <c r="G30" i="76"/>
  <c r="L30" i="76" s="1"/>
  <c r="AB29" i="76"/>
  <c r="AC29" i="76" s="1"/>
  <c r="G29" i="76"/>
  <c r="L29" i="76" s="1"/>
  <c r="AB28" i="76"/>
  <c r="AC28" i="76" s="1"/>
  <c r="G28" i="76"/>
  <c r="E26" i="76"/>
  <c r="D26" i="76"/>
  <c r="G25" i="76"/>
  <c r="K25" i="76" s="1"/>
  <c r="L25" i="76" s="1"/>
  <c r="G24" i="76"/>
  <c r="I23" i="76"/>
  <c r="I24" i="76" s="1"/>
  <c r="G23" i="76"/>
  <c r="K23" i="76" s="1"/>
  <c r="L23" i="76" s="1"/>
  <c r="G22" i="76"/>
  <c r="K22" i="76" s="1"/>
  <c r="L22" i="76" s="1"/>
  <c r="G21" i="76"/>
  <c r="I20" i="76"/>
  <c r="I21" i="76" s="1"/>
  <c r="G20" i="76"/>
  <c r="K20" i="76" s="1"/>
  <c r="L20" i="76" s="1"/>
  <c r="G19" i="76"/>
  <c r="K19" i="76" s="1"/>
  <c r="L19" i="76" s="1"/>
  <c r="G18" i="76"/>
  <c r="I17" i="76"/>
  <c r="I18" i="76" s="1"/>
  <c r="G17" i="76"/>
  <c r="G16" i="76"/>
  <c r="K16" i="76" s="1"/>
  <c r="L16" i="76" s="1"/>
  <c r="I15" i="76"/>
  <c r="G15" i="76"/>
  <c r="M15" i="76" s="1"/>
  <c r="G14" i="76"/>
  <c r="K14" i="76" s="1"/>
  <c r="I13" i="76"/>
  <c r="G13" i="76"/>
  <c r="G12" i="76"/>
  <c r="K12" i="76" s="1"/>
  <c r="I11" i="76"/>
  <c r="G11" i="76"/>
  <c r="G10" i="76"/>
  <c r="AB7" i="76"/>
  <c r="X48" i="76" s="1"/>
  <c r="X7" i="76"/>
  <c r="V4" i="76"/>
  <c r="B3" i="76"/>
  <c r="V2" i="76"/>
  <c r="M13" i="76" l="1"/>
  <c r="M11" i="76"/>
  <c r="L75" i="76"/>
  <c r="Z74" i="76"/>
  <c r="AC74" i="76" s="1"/>
  <c r="G37" i="76"/>
  <c r="K11" i="76"/>
  <c r="L11" i="76" s="1"/>
  <c r="K13" i="76"/>
  <c r="L13" i="76" s="1"/>
  <c r="K15" i="76"/>
  <c r="L15" i="76" s="1"/>
  <c r="K17" i="76"/>
  <c r="L17" i="76" s="1"/>
  <c r="K24" i="76"/>
  <c r="L24" i="76" s="1"/>
  <c r="X47" i="76"/>
  <c r="Z75" i="76"/>
  <c r="AC75" i="76" s="1"/>
  <c r="C48" i="76"/>
  <c r="K48" i="76" s="1"/>
  <c r="K21" i="76"/>
  <c r="L21" i="76" s="1"/>
  <c r="X49" i="76"/>
  <c r="Y58" i="76"/>
  <c r="L12" i="76"/>
  <c r="K18" i="76"/>
  <c r="L18" i="76" s="1"/>
  <c r="AC37" i="76"/>
  <c r="G26" i="76"/>
  <c r="K10" i="76"/>
  <c r="L14" i="76"/>
  <c r="L28" i="76"/>
  <c r="L37" i="76" s="1"/>
  <c r="K26" i="76" l="1"/>
  <c r="G53" i="76" s="1"/>
  <c r="K54" i="76" s="1"/>
  <c r="C47" i="76"/>
  <c r="L10" i="76"/>
  <c r="L26" i="76" s="1"/>
  <c r="K84" i="76"/>
  <c r="G56" i="76"/>
  <c r="K57" i="76" s="1"/>
  <c r="L40" i="76"/>
  <c r="C49" i="76"/>
  <c r="K49" i="76" s="1"/>
  <c r="X24" i="76" l="1"/>
  <c r="AB24" i="76" s="1"/>
  <c r="AC24" i="76" s="1"/>
  <c r="X21" i="76"/>
  <c r="AB21" i="76" s="1"/>
  <c r="AC21" i="76" s="1"/>
  <c r="X18" i="76"/>
  <c r="AB18" i="76" s="1"/>
  <c r="AC18" i="76" s="1"/>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23" i="76"/>
  <c r="AB23" i="76" s="1"/>
  <c r="AC23" i="76" s="1"/>
  <c r="X20" i="76"/>
  <c r="AB20" i="76" s="1"/>
  <c r="AC20" i="76" s="1"/>
  <c r="X17" i="76"/>
  <c r="AB17" i="76" s="1"/>
  <c r="AC17" i="76" s="1"/>
  <c r="L44" i="76"/>
  <c r="K69" i="76"/>
  <c r="L69" i="76" s="1"/>
  <c r="K72" i="76"/>
  <c r="L72" i="76" s="1"/>
  <c r="C50" i="76"/>
  <c r="K47" i="76"/>
  <c r="L50" i="76" s="1"/>
  <c r="K77" i="76"/>
  <c r="L77" i="76" s="1"/>
  <c r="K67" i="76"/>
  <c r="L67" i="76" s="1"/>
  <c r="K78" i="76"/>
  <c r="L78" i="76" s="1"/>
  <c r="K71" i="76"/>
  <c r="L71" i="76" s="1"/>
  <c r="K59" i="76"/>
  <c r="L59" i="76" s="1"/>
  <c r="K70" i="76"/>
  <c r="L70" i="76" s="1"/>
  <c r="X26" i="76" l="1"/>
  <c r="AB10" i="76"/>
  <c r="L82" i="76"/>
  <c r="AC12" i="76"/>
  <c r="W48" i="76"/>
  <c r="AB48" i="76" s="1"/>
  <c r="W49" i="76"/>
  <c r="AB49" i="76" s="1"/>
  <c r="AC14" i="76"/>
  <c r="K86" i="76" l="1"/>
  <c r="AB26" i="76"/>
  <c r="X53" i="76" s="1"/>
  <c r="AB54" i="76" s="1"/>
  <c r="W47" i="76"/>
  <c r="AC10" i="76"/>
  <c r="AC26" i="76" s="1"/>
  <c r="X56" i="76"/>
  <c r="AB57" i="76" s="1"/>
  <c r="AC40" i="76"/>
  <c r="AB68" i="76" l="1"/>
  <c r="AC68" i="76" s="1"/>
  <c r="AB71" i="76"/>
  <c r="AC71" i="76" s="1"/>
  <c r="AC44" i="76"/>
  <c r="L86" i="76"/>
  <c r="L87" i="76" s="1"/>
  <c r="L90" i="76" s="1"/>
  <c r="L92" i="76" s="1"/>
  <c r="AB77" i="76"/>
  <c r="AC77" i="76" s="1"/>
  <c r="AB70" i="76"/>
  <c r="AC70" i="76" s="1"/>
  <c r="AB69" i="76"/>
  <c r="AC69" i="76" s="1"/>
  <c r="AB58" i="76"/>
  <c r="AC58" i="76" s="1"/>
  <c r="AB76" i="76"/>
  <c r="AC76" i="76" s="1"/>
  <c r="AB66" i="76"/>
  <c r="AC66" i="76" s="1"/>
  <c r="W50" i="76"/>
  <c r="AB47" i="76"/>
  <c r="AC50" i="76" s="1"/>
  <c r="L94" i="76" l="1"/>
  <c r="AC81" i="76"/>
  <c r="L84" i="76" s="1"/>
  <c r="B136" i="75" l="1"/>
  <c r="B135" i="75"/>
  <c r="M86" i="75"/>
  <c r="V79" i="75"/>
  <c r="V78" i="75"/>
  <c r="Y77" i="75"/>
  <c r="V77" i="75"/>
  <c r="Y76" i="75"/>
  <c r="G76" i="75"/>
  <c r="I76" i="75" s="1"/>
  <c r="AB75" i="75"/>
  <c r="G75" i="75"/>
  <c r="I75" i="75" s="1"/>
  <c r="L75" i="75" s="1"/>
  <c r="AB74" i="75"/>
  <c r="Y71" i="75"/>
  <c r="Y70" i="75"/>
  <c r="Y69" i="75"/>
  <c r="Y68" i="75"/>
  <c r="Y66" i="75"/>
  <c r="X65" i="75"/>
  <c r="X64" i="75"/>
  <c r="X61" i="75"/>
  <c r="Y58" i="75" s="1"/>
  <c r="X60" i="75"/>
  <c r="I59" i="75"/>
  <c r="AA56" i="75"/>
  <c r="AA53" i="75"/>
  <c r="Z49" i="75"/>
  <c r="G49" i="75"/>
  <c r="Z48" i="75"/>
  <c r="G48" i="75"/>
  <c r="Z47" i="75"/>
  <c r="G47" i="75"/>
  <c r="X40" i="75"/>
  <c r="K40" i="75"/>
  <c r="X39" i="75"/>
  <c r="AB40" i="75" s="1"/>
  <c r="X37" i="75"/>
  <c r="E37" i="75"/>
  <c r="D37" i="75"/>
  <c r="AC36" i="75"/>
  <c r="AB36" i="75"/>
  <c r="G36" i="75"/>
  <c r="L36" i="75" s="1"/>
  <c r="AB35" i="75"/>
  <c r="AC35" i="75" s="1"/>
  <c r="G35" i="75"/>
  <c r="L35" i="75" s="1"/>
  <c r="AC34" i="75"/>
  <c r="AB34" i="75"/>
  <c r="G34" i="75"/>
  <c r="L34" i="75" s="1"/>
  <c r="AB33" i="75"/>
  <c r="AC33" i="75" s="1"/>
  <c r="G33" i="75"/>
  <c r="L33" i="75" s="1"/>
  <c r="AC32" i="75"/>
  <c r="AB32" i="75"/>
  <c r="G32" i="75"/>
  <c r="L32" i="75" s="1"/>
  <c r="AB31" i="75"/>
  <c r="AC31" i="75" s="1"/>
  <c r="G31" i="75"/>
  <c r="L31" i="75" s="1"/>
  <c r="AC30" i="75"/>
  <c r="AB30" i="75"/>
  <c r="G30" i="75"/>
  <c r="L30" i="75" s="1"/>
  <c r="AB29" i="75"/>
  <c r="AC29" i="75" s="1"/>
  <c r="G29" i="75"/>
  <c r="L29" i="75" s="1"/>
  <c r="AC28" i="75"/>
  <c r="AC37" i="75" s="1"/>
  <c r="AB28" i="75"/>
  <c r="G28" i="75"/>
  <c r="E26" i="75"/>
  <c r="D26" i="75"/>
  <c r="K25" i="75"/>
  <c r="L25" i="75" s="1"/>
  <c r="G25" i="75"/>
  <c r="G24" i="75"/>
  <c r="I23" i="75"/>
  <c r="I24" i="75" s="1"/>
  <c r="K24" i="75" s="1"/>
  <c r="L24" i="75" s="1"/>
  <c r="G23" i="75"/>
  <c r="G22" i="75"/>
  <c r="K22" i="75" s="1"/>
  <c r="L22" i="75" s="1"/>
  <c r="G21" i="75"/>
  <c r="I20" i="75"/>
  <c r="I21" i="75" s="1"/>
  <c r="K21" i="75" s="1"/>
  <c r="L21" i="75" s="1"/>
  <c r="G20" i="75"/>
  <c r="K20" i="75" s="1"/>
  <c r="L20" i="75" s="1"/>
  <c r="K19" i="75"/>
  <c r="L19" i="75" s="1"/>
  <c r="G19" i="75"/>
  <c r="G18" i="75"/>
  <c r="I17" i="75"/>
  <c r="I18" i="75" s="1"/>
  <c r="K18" i="75" s="1"/>
  <c r="L18" i="75" s="1"/>
  <c r="G17" i="75"/>
  <c r="G16" i="75"/>
  <c r="K16" i="75" s="1"/>
  <c r="L16" i="75" s="1"/>
  <c r="I15" i="75"/>
  <c r="G15" i="75"/>
  <c r="M15" i="75" s="1"/>
  <c r="G14" i="75"/>
  <c r="K14" i="75" s="1"/>
  <c r="L14" i="75" s="1"/>
  <c r="I13" i="75"/>
  <c r="G13" i="75"/>
  <c r="K13" i="75" s="1"/>
  <c r="G12" i="75"/>
  <c r="K12" i="75" s="1"/>
  <c r="L12" i="75" s="1"/>
  <c r="I11" i="75"/>
  <c r="G11" i="75"/>
  <c r="M11" i="75" s="1"/>
  <c r="G10" i="75"/>
  <c r="AB7" i="75"/>
  <c r="X47" i="75" s="1"/>
  <c r="X7" i="75"/>
  <c r="V4" i="75"/>
  <c r="B3" i="75"/>
  <c r="V2" i="75"/>
  <c r="K15" i="75" l="1"/>
  <c r="L15" i="75" s="1"/>
  <c r="K17" i="75"/>
  <c r="L17" i="75" s="1"/>
  <c r="K23" i="75"/>
  <c r="L23" i="75" s="1"/>
  <c r="X48" i="75"/>
  <c r="K11" i="75"/>
  <c r="L11" i="75" s="1"/>
  <c r="X49" i="75"/>
  <c r="M13" i="75"/>
  <c r="K10" i="75"/>
  <c r="G26" i="75"/>
  <c r="L28" i="75"/>
  <c r="L37" i="75" s="1"/>
  <c r="G37" i="75"/>
  <c r="C49" i="75"/>
  <c r="K49" i="75" s="1"/>
  <c r="L76" i="75"/>
  <c r="Z75" i="75"/>
  <c r="AC75" i="75" s="1"/>
  <c r="L13" i="75"/>
  <c r="C48" i="75"/>
  <c r="K48" i="75" s="1"/>
  <c r="Z74" i="75"/>
  <c r="AC74" i="75" s="1"/>
  <c r="K26" i="75" l="1"/>
  <c r="G53" i="75" s="1"/>
  <c r="K54" i="75" s="1"/>
  <c r="C47" i="75"/>
  <c r="L10" i="75"/>
  <c r="L26" i="75" s="1"/>
  <c r="K84" i="75"/>
  <c r="L40" i="75"/>
  <c r="G56" i="75"/>
  <c r="K57" i="75" s="1"/>
  <c r="L44" i="75" l="1"/>
  <c r="K69" i="75"/>
  <c r="L69" i="75" s="1"/>
  <c r="K72" i="75"/>
  <c r="L72" i="75" s="1"/>
  <c r="C50" i="75"/>
  <c r="K47" i="75"/>
  <c r="L50" i="75" s="1"/>
  <c r="K77" i="75"/>
  <c r="L77" i="75" s="1"/>
  <c r="K67" i="75"/>
  <c r="L67" i="75" s="1"/>
  <c r="K78" i="75"/>
  <c r="L78" i="75" s="1"/>
  <c r="K71" i="75"/>
  <c r="L71" i="75" s="1"/>
  <c r="K59" i="75"/>
  <c r="L59" i="75" s="1"/>
  <c r="K70" i="75"/>
  <c r="L70" i="75" s="1"/>
  <c r="X24" i="75"/>
  <c r="AB24" i="75" s="1"/>
  <c r="AC24" i="75" s="1"/>
  <c r="X21" i="75"/>
  <c r="AB21" i="75" s="1"/>
  <c r="AC21" i="75" s="1"/>
  <c r="X18" i="75"/>
  <c r="AB18" i="75" s="1"/>
  <c r="AC18" i="75" s="1"/>
  <c r="X15" i="75"/>
  <c r="AB15" i="75" s="1"/>
  <c r="AC15" i="75" s="1"/>
  <c r="X14" i="75"/>
  <c r="AB14" i="75" s="1"/>
  <c r="X11" i="75"/>
  <c r="AB11" i="75" s="1"/>
  <c r="AC11" i="75" s="1"/>
  <c r="X10" i="75"/>
  <c r="X13" i="75"/>
  <c r="AB13" i="75" s="1"/>
  <c r="AC13" i="75" s="1"/>
  <c r="X12" i="75"/>
  <c r="AB12" i="75" s="1"/>
  <c r="X25" i="75"/>
  <c r="AB25" i="75" s="1"/>
  <c r="AC25" i="75" s="1"/>
  <c r="X22" i="75"/>
  <c r="AB22" i="75" s="1"/>
  <c r="AC22" i="75" s="1"/>
  <c r="X19" i="75"/>
  <c r="AB19" i="75" s="1"/>
  <c r="AC19" i="75" s="1"/>
  <c r="X16" i="75"/>
  <c r="AB16" i="75" s="1"/>
  <c r="AC16" i="75" s="1"/>
  <c r="X23" i="75"/>
  <c r="AB23" i="75" s="1"/>
  <c r="AC23" i="75" s="1"/>
  <c r="X17" i="75"/>
  <c r="AB17" i="75" s="1"/>
  <c r="AC17" i="75" s="1"/>
  <c r="X20" i="75"/>
  <c r="AB20" i="75" s="1"/>
  <c r="AC20" i="75" s="1"/>
  <c r="L82" i="75" l="1"/>
  <c r="K86" i="75" s="1"/>
  <c r="AC12" i="75"/>
  <c r="W48" i="75"/>
  <c r="AB48" i="75" s="1"/>
  <c r="X26" i="75"/>
  <c r="AB10" i="75"/>
  <c r="W49" i="75"/>
  <c r="AB49" i="75" s="1"/>
  <c r="AC14" i="75"/>
  <c r="AB26" i="75" l="1"/>
  <c r="X53" i="75" s="1"/>
  <c r="AB54" i="75" s="1"/>
  <c r="W47" i="75"/>
  <c r="AC10" i="75"/>
  <c r="AC26" i="75" s="1"/>
  <c r="L86" i="75"/>
  <c r="L87" i="75" s="1"/>
  <c r="L90" i="75" s="1"/>
  <c r="L92" i="75" s="1"/>
  <c r="X56" i="75"/>
  <c r="AB57" i="75" s="1"/>
  <c r="AC40" i="75"/>
  <c r="AC44" i="75" l="1"/>
  <c r="AB68" i="75"/>
  <c r="AC68" i="75" s="1"/>
  <c r="AB71" i="75"/>
  <c r="AC71" i="75" s="1"/>
  <c r="W50" i="75"/>
  <c r="AB47" i="75"/>
  <c r="AC50" i="75" s="1"/>
  <c r="AB77" i="75"/>
  <c r="AC77" i="75" s="1"/>
  <c r="AB70" i="75"/>
  <c r="AC70" i="75" s="1"/>
  <c r="AB69" i="75"/>
  <c r="AC69" i="75" s="1"/>
  <c r="AB58" i="75"/>
  <c r="AC58" i="75" s="1"/>
  <c r="AB76" i="75"/>
  <c r="AC76" i="75" s="1"/>
  <c r="AB66" i="75"/>
  <c r="AC66" i="75" s="1"/>
  <c r="L94" i="75"/>
  <c r="AC81" i="75" l="1"/>
  <c r="L84" i="75" s="1"/>
  <c r="B136" i="74" l="1"/>
  <c r="B135" i="74"/>
  <c r="M86" i="74"/>
  <c r="V79" i="74"/>
  <c r="V78" i="74"/>
  <c r="Y77" i="74"/>
  <c r="V77" i="74"/>
  <c r="Y76" i="74"/>
  <c r="G76" i="74"/>
  <c r="I76" i="74" s="1"/>
  <c r="Z75" i="74" s="1"/>
  <c r="AB75" i="74"/>
  <c r="G75" i="74"/>
  <c r="I75" i="74" s="1"/>
  <c r="AB74" i="74"/>
  <c r="Y71" i="74"/>
  <c r="Y70" i="74"/>
  <c r="Y69" i="74"/>
  <c r="Y68" i="74"/>
  <c r="Y66" i="74"/>
  <c r="X65" i="74"/>
  <c r="X64" i="74"/>
  <c r="X61" i="74"/>
  <c r="X60" i="74"/>
  <c r="I59" i="74"/>
  <c r="AA56" i="74"/>
  <c r="AA53" i="74"/>
  <c r="Z49" i="74"/>
  <c r="G49" i="74"/>
  <c r="Z48" i="74"/>
  <c r="G48" i="74"/>
  <c r="Z47" i="74"/>
  <c r="G47" i="74"/>
  <c r="X40" i="74"/>
  <c r="K40" i="74"/>
  <c r="X39" i="74"/>
  <c r="AB40" i="74" s="1"/>
  <c r="X37" i="74"/>
  <c r="E37" i="74"/>
  <c r="D37" i="74"/>
  <c r="AB36" i="74"/>
  <c r="AC36" i="74" s="1"/>
  <c r="G36" i="74"/>
  <c r="L36" i="74" s="1"/>
  <c r="AB35" i="74"/>
  <c r="AC35" i="74" s="1"/>
  <c r="G35" i="74"/>
  <c r="L35" i="74" s="1"/>
  <c r="AB34" i="74"/>
  <c r="AC34" i="74" s="1"/>
  <c r="G34" i="74"/>
  <c r="L34" i="74" s="1"/>
  <c r="AB33" i="74"/>
  <c r="AC33" i="74" s="1"/>
  <c r="G33" i="74"/>
  <c r="L33" i="74" s="1"/>
  <c r="AB32" i="74"/>
  <c r="AC32" i="74" s="1"/>
  <c r="G32" i="74"/>
  <c r="L32" i="74" s="1"/>
  <c r="AB31" i="74"/>
  <c r="AC31" i="74" s="1"/>
  <c r="G31" i="74"/>
  <c r="L31" i="74" s="1"/>
  <c r="AB30" i="74"/>
  <c r="AC30" i="74" s="1"/>
  <c r="G30" i="74"/>
  <c r="L30" i="74" s="1"/>
  <c r="AB29" i="74"/>
  <c r="AC29" i="74" s="1"/>
  <c r="G29" i="74"/>
  <c r="L29" i="74" s="1"/>
  <c r="AB28" i="74"/>
  <c r="AC28" i="74" s="1"/>
  <c r="G28" i="74"/>
  <c r="E26" i="74"/>
  <c r="D26" i="74"/>
  <c r="G25" i="74"/>
  <c r="K25" i="74" s="1"/>
  <c r="L25" i="74" s="1"/>
  <c r="G24" i="74"/>
  <c r="I23" i="74"/>
  <c r="I24" i="74" s="1"/>
  <c r="G23" i="74"/>
  <c r="K23" i="74" s="1"/>
  <c r="L23" i="74" s="1"/>
  <c r="G22" i="74"/>
  <c r="K22" i="74" s="1"/>
  <c r="L22" i="74" s="1"/>
  <c r="G21" i="74"/>
  <c r="I20" i="74"/>
  <c r="I21" i="74" s="1"/>
  <c r="G20" i="74"/>
  <c r="K20" i="74" s="1"/>
  <c r="L20" i="74" s="1"/>
  <c r="G19" i="74"/>
  <c r="K19" i="74" s="1"/>
  <c r="L19" i="74" s="1"/>
  <c r="G18" i="74"/>
  <c r="I17" i="74"/>
  <c r="I18" i="74" s="1"/>
  <c r="K18" i="74" s="1"/>
  <c r="L18" i="74" s="1"/>
  <c r="G17" i="74"/>
  <c r="K16" i="74"/>
  <c r="L16" i="74" s="1"/>
  <c r="G16" i="74"/>
  <c r="I15" i="74"/>
  <c r="G15" i="74"/>
  <c r="K15" i="74" s="1"/>
  <c r="L15" i="74" s="1"/>
  <c r="G14" i="74"/>
  <c r="K14" i="74" s="1"/>
  <c r="I13" i="74"/>
  <c r="G13" i="74"/>
  <c r="G12" i="74"/>
  <c r="K12" i="74" s="1"/>
  <c r="L12" i="74" s="1"/>
  <c r="I11" i="74"/>
  <c r="G11" i="74"/>
  <c r="G10" i="74"/>
  <c r="AB7" i="74"/>
  <c r="X7" i="74"/>
  <c r="V4" i="74"/>
  <c r="B3" i="74"/>
  <c r="V2" i="74"/>
  <c r="AC75" i="74" l="1"/>
  <c r="K21" i="74"/>
  <c r="L21" i="74" s="1"/>
  <c r="K24" i="74"/>
  <c r="L24" i="74" s="1"/>
  <c r="K11" i="74"/>
  <c r="L11" i="74" s="1"/>
  <c r="K17" i="74"/>
  <c r="L17" i="74" s="1"/>
  <c r="L14" i="74"/>
  <c r="C49" i="74"/>
  <c r="K49" i="74" s="1"/>
  <c r="L75" i="74"/>
  <c r="Z74" i="74"/>
  <c r="AC74" i="74" s="1"/>
  <c r="X47" i="74"/>
  <c r="X48" i="74"/>
  <c r="G37" i="74"/>
  <c r="L28" i="74"/>
  <c r="L37" i="74" s="1"/>
  <c r="Y58" i="74"/>
  <c r="G26" i="74"/>
  <c r="M13" i="74"/>
  <c r="M15" i="74"/>
  <c r="X49" i="74"/>
  <c r="L76" i="74"/>
  <c r="K10" i="74"/>
  <c r="M11" i="74"/>
  <c r="K13" i="74"/>
  <c r="L13" i="74" s="1"/>
  <c r="AC37" i="74"/>
  <c r="C48" i="74" l="1"/>
  <c r="K48" i="74" s="1"/>
  <c r="G56" i="74"/>
  <c r="K57" i="74" s="1"/>
  <c r="K84" i="74"/>
  <c r="L40" i="74"/>
  <c r="C47" i="74"/>
  <c r="L10" i="74"/>
  <c r="L26" i="74" s="1"/>
  <c r="K26" i="74"/>
  <c r="G53" i="74" s="1"/>
  <c r="K54" i="74" s="1"/>
  <c r="K67" i="74" l="1"/>
  <c r="L67" i="74" s="1"/>
  <c r="K78" i="74"/>
  <c r="L78" i="74" s="1"/>
  <c r="K71" i="74"/>
  <c r="L71" i="74" s="1"/>
  <c r="K59" i="74"/>
  <c r="L59" i="74" s="1"/>
  <c r="K77" i="74"/>
  <c r="L77" i="74" s="1"/>
  <c r="K70" i="74"/>
  <c r="L70" i="74" s="1"/>
  <c r="L44" i="74"/>
  <c r="X25" i="74"/>
  <c r="AB25" i="74" s="1"/>
  <c r="AC25" i="74" s="1"/>
  <c r="X22" i="74"/>
  <c r="AB22" i="74" s="1"/>
  <c r="AC22" i="74" s="1"/>
  <c r="X19" i="74"/>
  <c r="AB19" i="74" s="1"/>
  <c r="AC19" i="74" s="1"/>
  <c r="X23" i="74"/>
  <c r="AB23" i="74" s="1"/>
  <c r="AC23" i="74" s="1"/>
  <c r="X20" i="74"/>
  <c r="AB20" i="74" s="1"/>
  <c r="AC20" i="74" s="1"/>
  <c r="X14" i="74"/>
  <c r="AB14" i="74" s="1"/>
  <c r="X13" i="74"/>
  <c r="AB13" i="74" s="1"/>
  <c r="AC13" i="74" s="1"/>
  <c r="X11" i="74"/>
  <c r="AB11" i="74" s="1"/>
  <c r="AC11" i="74" s="1"/>
  <c r="X24" i="74"/>
  <c r="AB24" i="74" s="1"/>
  <c r="AC24" i="74" s="1"/>
  <c r="X21" i="74"/>
  <c r="AB21" i="74" s="1"/>
  <c r="AC21" i="74" s="1"/>
  <c r="X18" i="74"/>
  <c r="AB18" i="74" s="1"/>
  <c r="AC18" i="74" s="1"/>
  <c r="X15" i="74"/>
  <c r="AB15" i="74" s="1"/>
  <c r="AC15" i="74" s="1"/>
  <c r="X17" i="74"/>
  <c r="AB17" i="74" s="1"/>
  <c r="AC17" i="74" s="1"/>
  <c r="X12" i="74"/>
  <c r="AB12" i="74" s="1"/>
  <c r="X16" i="74"/>
  <c r="AB16" i="74" s="1"/>
  <c r="AC16" i="74" s="1"/>
  <c r="X10" i="74"/>
  <c r="K47" i="74"/>
  <c r="L50" i="74" s="1"/>
  <c r="C50" i="74"/>
  <c r="K72" i="74"/>
  <c r="L72" i="74" s="1"/>
  <c r="K69" i="74"/>
  <c r="L69" i="74" s="1"/>
  <c r="L82" i="74" l="1"/>
  <c r="AC12" i="74"/>
  <c r="W48" i="74"/>
  <c r="AB48" i="74" s="1"/>
  <c r="W49" i="74"/>
  <c r="AB49" i="74" s="1"/>
  <c r="AC14" i="74"/>
  <c r="X26" i="74"/>
  <c r="AB10" i="74"/>
  <c r="AB26" i="74" l="1"/>
  <c r="X53" i="74" s="1"/>
  <c r="AB54" i="74" s="1"/>
  <c r="W47" i="74"/>
  <c r="AC10" i="74"/>
  <c r="AC26" i="74" s="1"/>
  <c r="X56" i="74"/>
  <c r="AB57" i="74" s="1"/>
  <c r="AC40" i="74"/>
  <c r="K86" i="74"/>
  <c r="AC44" i="74" l="1"/>
  <c r="W50" i="74"/>
  <c r="AB47" i="74"/>
  <c r="AC50" i="74" s="1"/>
  <c r="AB69" i="74"/>
  <c r="AC69" i="74" s="1"/>
  <c r="AB58" i="74"/>
  <c r="AC58" i="74" s="1"/>
  <c r="AB76" i="74"/>
  <c r="AC76" i="74" s="1"/>
  <c r="AB70" i="74"/>
  <c r="AC70" i="74" s="1"/>
  <c r="AB66" i="74"/>
  <c r="AC66" i="74" s="1"/>
  <c r="AB77" i="74"/>
  <c r="AC77" i="74" s="1"/>
  <c r="L86" i="74"/>
  <c r="L87" i="74" s="1"/>
  <c r="L90" i="74" s="1"/>
  <c r="L92" i="74" s="1"/>
  <c r="AB68" i="74"/>
  <c r="AC68" i="74" s="1"/>
  <c r="AB71" i="74"/>
  <c r="AC71" i="74" s="1"/>
  <c r="AC81" i="74" l="1"/>
  <c r="L84" i="74" s="1"/>
  <c r="L94" i="74"/>
  <c r="B136" i="73" l="1"/>
  <c r="B135" i="73"/>
  <c r="M86" i="73"/>
  <c r="V79" i="73"/>
  <c r="V78" i="73"/>
  <c r="Y77" i="73"/>
  <c r="V77" i="73"/>
  <c r="Y76" i="73"/>
  <c r="G76" i="73"/>
  <c r="I76" i="73" s="1"/>
  <c r="AB75" i="73"/>
  <c r="I75" i="73"/>
  <c r="Z74" i="73" s="1"/>
  <c r="G75" i="73"/>
  <c r="AB74" i="73"/>
  <c r="AC74" i="73" s="1"/>
  <c r="Y71" i="73"/>
  <c r="Y70" i="73"/>
  <c r="Y69" i="73"/>
  <c r="Y68" i="73"/>
  <c r="Y66" i="73"/>
  <c r="X65" i="73"/>
  <c r="X64" i="73"/>
  <c r="X61" i="73"/>
  <c r="Y58" i="73" s="1"/>
  <c r="X60" i="73"/>
  <c r="I59" i="73"/>
  <c r="AA56" i="73"/>
  <c r="AA53" i="73"/>
  <c r="Z49" i="73"/>
  <c r="G49" i="73"/>
  <c r="Z48" i="73"/>
  <c r="G48" i="73"/>
  <c r="Z47" i="73"/>
  <c r="G47" i="73"/>
  <c r="X40" i="73"/>
  <c r="K40" i="73"/>
  <c r="X39" i="73"/>
  <c r="AB40" i="73" s="1"/>
  <c r="X37" i="73"/>
  <c r="E37" i="73"/>
  <c r="D37" i="73"/>
  <c r="AB36" i="73"/>
  <c r="AC36" i="73" s="1"/>
  <c r="G36" i="73"/>
  <c r="L36" i="73" s="1"/>
  <c r="AC35" i="73"/>
  <c r="AB35" i="73"/>
  <c r="G35" i="73"/>
  <c r="L35" i="73" s="1"/>
  <c r="AB34" i="73"/>
  <c r="AC34" i="73" s="1"/>
  <c r="G34" i="73"/>
  <c r="L34" i="73" s="1"/>
  <c r="AC33" i="73"/>
  <c r="AB33" i="73"/>
  <c r="G33" i="73"/>
  <c r="L33" i="73" s="1"/>
  <c r="AB32" i="73"/>
  <c r="AC32" i="73" s="1"/>
  <c r="G32" i="73"/>
  <c r="L32" i="73" s="1"/>
  <c r="AC31" i="73"/>
  <c r="AB31" i="73"/>
  <c r="G31" i="73"/>
  <c r="L31" i="73" s="1"/>
  <c r="AB30" i="73"/>
  <c r="AC30" i="73" s="1"/>
  <c r="G30" i="73"/>
  <c r="L30" i="73" s="1"/>
  <c r="AC29" i="73"/>
  <c r="AB29" i="73"/>
  <c r="G29" i="73"/>
  <c r="L29" i="73" s="1"/>
  <c r="AB28" i="73"/>
  <c r="AC28" i="73" s="1"/>
  <c r="AC37" i="73" s="1"/>
  <c r="G28" i="73"/>
  <c r="E26" i="73"/>
  <c r="D26" i="73"/>
  <c r="G25" i="73"/>
  <c r="K25" i="73" s="1"/>
  <c r="L25" i="73" s="1"/>
  <c r="G24" i="73"/>
  <c r="I23" i="73"/>
  <c r="I24" i="73" s="1"/>
  <c r="K24" i="73" s="1"/>
  <c r="L24" i="73" s="1"/>
  <c r="G23" i="73"/>
  <c r="K23" i="73" s="1"/>
  <c r="L23" i="73" s="1"/>
  <c r="G22" i="73"/>
  <c r="K22" i="73" s="1"/>
  <c r="L22" i="73" s="1"/>
  <c r="G21" i="73"/>
  <c r="I20" i="73"/>
  <c r="I21" i="73" s="1"/>
  <c r="K21" i="73" s="1"/>
  <c r="L21" i="73" s="1"/>
  <c r="G20" i="73"/>
  <c r="G19" i="73"/>
  <c r="K19" i="73" s="1"/>
  <c r="L19" i="73" s="1"/>
  <c r="G18" i="73"/>
  <c r="I17" i="73"/>
  <c r="I18" i="73" s="1"/>
  <c r="K18" i="73" s="1"/>
  <c r="L18" i="73" s="1"/>
  <c r="G17" i="73"/>
  <c r="K17" i="73" s="1"/>
  <c r="L17" i="73" s="1"/>
  <c r="K16" i="73"/>
  <c r="L16" i="73" s="1"/>
  <c r="G16" i="73"/>
  <c r="I15" i="73"/>
  <c r="G15" i="73"/>
  <c r="K15" i="73" s="1"/>
  <c r="L15" i="73" s="1"/>
  <c r="G14" i="73"/>
  <c r="K14" i="73" s="1"/>
  <c r="I13" i="73"/>
  <c r="G13" i="73"/>
  <c r="G12" i="73"/>
  <c r="K12" i="73" s="1"/>
  <c r="L12" i="73" s="1"/>
  <c r="I11" i="73"/>
  <c r="G11" i="73"/>
  <c r="K11" i="73" s="1"/>
  <c r="L11" i="73" s="1"/>
  <c r="G10" i="73"/>
  <c r="AB7" i="73"/>
  <c r="X47" i="73" s="1"/>
  <c r="X7" i="73"/>
  <c r="V4" i="73"/>
  <c r="B3" i="73"/>
  <c r="V2" i="73"/>
  <c r="K13" i="73" l="1"/>
  <c r="C48" i="73" s="1"/>
  <c r="K48" i="73" s="1"/>
  <c r="K20" i="73"/>
  <c r="L20" i="73" s="1"/>
  <c r="X49" i="73"/>
  <c r="C49" i="73"/>
  <c r="K49" i="73" s="1"/>
  <c r="L14" i="73"/>
  <c r="L76" i="73"/>
  <c r="Z75" i="73"/>
  <c r="AC75" i="73" s="1"/>
  <c r="M15" i="73"/>
  <c r="K10" i="73"/>
  <c r="G26" i="73"/>
  <c r="L13" i="73"/>
  <c r="M11" i="73"/>
  <c r="M13" i="73"/>
  <c r="L28" i="73"/>
  <c r="L37" i="73" s="1"/>
  <c r="G37" i="73"/>
  <c r="X48" i="73"/>
  <c r="L75" i="73"/>
  <c r="K84" i="73" l="1"/>
  <c r="G56" i="73"/>
  <c r="K57" i="73" s="1"/>
  <c r="L40" i="73"/>
  <c r="K26" i="73"/>
  <c r="G53" i="73" s="1"/>
  <c r="K54" i="73" s="1"/>
  <c r="C47" i="73"/>
  <c r="L10" i="73"/>
  <c r="L26" i="73" s="1"/>
  <c r="L44" i="73" l="1"/>
  <c r="K69" i="73"/>
  <c r="L69" i="73" s="1"/>
  <c r="K72" i="73"/>
  <c r="L72" i="73" s="1"/>
  <c r="C50" i="73"/>
  <c r="K47" i="73"/>
  <c r="L50" i="73" s="1"/>
  <c r="K77" i="73"/>
  <c r="L77" i="73" s="1"/>
  <c r="K70" i="73"/>
  <c r="L70" i="73" s="1"/>
  <c r="K67" i="73"/>
  <c r="L67" i="73" s="1"/>
  <c r="K78" i="73"/>
  <c r="L78" i="73" s="1"/>
  <c r="K71" i="73"/>
  <c r="L71" i="73" s="1"/>
  <c r="K59" i="73"/>
  <c r="L59" i="73" s="1"/>
  <c r="X24" i="73"/>
  <c r="AB24" i="73" s="1"/>
  <c r="AC24" i="73" s="1"/>
  <c r="X21" i="73"/>
  <c r="AB21" i="73" s="1"/>
  <c r="AC21" i="73" s="1"/>
  <c r="X18" i="73"/>
  <c r="AB18" i="73" s="1"/>
  <c r="AC18" i="73" s="1"/>
  <c r="X15" i="73"/>
  <c r="AB15" i="73" s="1"/>
  <c r="AC15" i="73" s="1"/>
  <c r="X14" i="73"/>
  <c r="AB14" i="73" s="1"/>
  <c r="X11" i="73"/>
  <c r="AB11" i="73" s="1"/>
  <c r="AC11" i="73" s="1"/>
  <c r="X10" i="73"/>
  <c r="X22" i="73"/>
  <c r="AB22" i="73" s="1"/>
  <c r="AC22" i="73" s="1"/>
  <c r="X19" i="73"/>
  <c r="AB19" i="73" s="1"/>
  <c r="AC19" i="73" s="1"/>
  <c r="X16" i="73"/>
  <c r="AB16" i="73" s="1"/>
  <c r="AC16" i="73" s="1"/>
  <c r="X13" i="73"/>
  <c r="AB13" i="73" s="1"/>
  <c r="AC13" i="73" s="1"/>
  <c r="X12" i="73"/>
  <c r="AB12" i="73" s="1"/>
  <c r="X25" i="73"/>
  <c r="AB25" i="73" s="1"/>
  <c r="AC25" i="73" s="1"/>
  <c r="X17" i="73"/>
  <c r="AB17" i="73" s="1"/>
  <c r="AC17" i="73" s="1"/>
  <c r="X20" i="73"/>
  <c r="AB20" i="73" s="1"/>
  <c r="AC20" i="73" s="1"/>
  <c r="X23" i="73"/>
  <c r="AB23" i="73" s="1"/>
  <c r="AC23" i="73" s="1"/>
  <c r="W49" i="73" l="1"/>
  <c r="AB49" i="73" s="1"/>
  <c r="AC14" i="73"/>
  <c r="AC12" i="73"/>
  <c r="W48" i="73"/>
  <c r="AB48" i="73" s="1"/>
  <c r="X26" i="73"/>
  <c r="AB10" i="73"/>
  <c r="L82" i="73"/>
  <c r="K86" i="73" l="1"/>
  <c r="AC10" i="73"/>
  <c r="AC26" i="73" s="1"/>
  <c r="AB26" i="73"/>
  <c r="X53" i="73" s="1"/>
  <c r="AB54" i="73" s="1"/>
  <c r="W47" i="73"/>
  <c r="X56" i="73"/>
  <c r="AB57" i="73" s="1"/>
  <c r="AC40" i="73"/>
  <c r="AB77" i="73" l="1"/>
  <c r="AC77" i="73" s="1"/>
  <c r="AB70" i="73"/>
  <c r="AC70" i="73" s="1"/>
  <c r="AB66" i="73"/>
  <c r="AC66" i="73" s="1"/>
  <c r="AB69" i="73"/>
  <c r="AC69" i="73" s="1"/>
  <c r="AB58" i="73"/>
  <c r="AC58" i="73" s="1"/>
  <c r="AB76" i="73"/>
  <c r="AC76" i="73" s="1"/>
  <c r="AC44" i="73"/>
  <c r="AB71" i="73"/>
  <c r="AC71" i="73" s="1"/>
  <c r="AB68" i="73"/>
  <c r="AC68" i="73" s="1"/>
  <c r="L86" i="73"/>
  <c r="L87" i="73" s="1"/>
  <c r="L90" i="73" s="1"/>
  <c r="L92" i="73" s="1"/>
  <c r="AB47" i="73"/>
  <c r="AC50" i="73" s="1"/>
  <c r="W50" i="73"/>
  <c r="L94" i="73" l="1"/>
  <c r="AC81" i="73"/>
  <c r="L84" i="73" s="1"/>
  <c r="B136" i="71" l="1"/>
  <c r="B135" i="71"/>
  <c r="M86" i="71"/>
  <c r="V79" i="71"/>
  <c r="V78" i="71"/>
  <c r="Y77" i="71"/>
  <c r="V77" i="71"/>
  <c r="Y76" i="71"/>
  <c r="G76" i="71"/>
  <c r="I76" i="71" s="1"/>
  <c r="AB75" i="71"/>
  <c r="G75" i="71"/>
  <c r="I75" i="71" s="1"/>
  <c r="AB74" i="71"/>
  <c r="Y71" i="71"/>
  <c r="Y70" i="71"/>
  <c r="Y69" i="71"/>
  <c r="Y68" i="71"/>
  <c r="Y66" i="71"/>
  <c r="X65" i="71"/>
  <c r="X64" i="71"/>
  <c r="X61" i="71"/>
  <c r="X60" i="71"/>
  <c r="I59" i="71"/>
  <c r="Y58" i="71"/>
  <c r="AA56" i="71"/>
  <c r="AA53" i="71"/>
  <c r="Z49" i="71"/>
  <c r="G49" i="71"/>
  <c r="Z48" i="71"/>
  <c r="G48" i="71"/>
  <c r="Z47" i="71"/>
  <c r="G47" i="71"/>
  <c r="X40" i="71"/>
  <c r="K40" i="71"/>
  <c r="X39" i="71"/>
  <c r="AB40" i="71" s="1"/>
  <c r="X37" i="71"/>
  <c r="E37" i="71"/>
  <c r="D37" i="71"/>
  <c r="AB36" i="71"/>
  <c r="AC36" i="71" s="1"/>
  <c r="G36" i="71"/>
  <c r="L36" i="71" s="1"/>
  <c r="AB35" i="71"/>
  <c r="AC35" i="71" s="1"/>
  <c r="G35" i="71"/>
  <c r="L35" i="71" s="1"/>
  <c r="AB34" i="71"/>
  <c r="AC34" i="71" s="1"/>
  <c r="G34" i="71"/>
  <c r="L34" i="71" s="1"/>
  <c r="AB33" i="71"/>
  <c r="AC33" i="71" s="1"/>
  <c r="G33" i="71"/>
  <c r="L33" i="71" s="1"/>
  <c r="AB32" i="71"/>
  <c r="AC32" i="71" s="1"/>
  <c r="G32" i="71"/>
  <c r="L32" i="71" s="1"/>
  <c r="AB31" i="71"/>
  <c r="AC31" i="71" s="1"/>
  <c r="G31" i="71"/>
  <c r="L31" i="71" s="1"/>
  <c r="AB30" i="71"/>
  <c r="AC30" i="71" s="1"/>
  <c r="G30" i="71"/>
  <c r="L30" i="71" s="1"/>
  <c r="AB29" i="71"/>
  <c r="AC29" i="71" s="1"/>
  <c r="G29" i="71"/>
  <c r="L29" i="71" s="1"/>
  <c r="AB28" i="71"/>
  <c r="AC28" i="71" s="1"/>
  <c r="AC37" i="71" s="1"/>
  <c r="G28" i="71"/>
  <c r="E26" i="71"/>
  <c r="D26" i="71"/>
  <c r="G25" i="71"/>
  <c r="K25" i="71" s="1"/>
  <c r="L25" i="71" s="1"/>
  <c r="G24" i="71"/>
  <c r="I23" i="71"/>
  <c r="I24" i="71" s="1"/>
  <c r="K24" i="71" s="1"/>
  <c r="L24" i="71" s="1"/>
  <c r="G23" i="71"/>
  <c r="G22" i="71"/>
  <c r="K22" i="71" s="1"/>
  <c r="L22" i="71" s="1"/>
  <c r="G21" i="71"/>
  <c r="I20" i="71"/>
  <c r="I21" i="71" s="1"/>
  <c r="G20" i="71"/>
  <c r="K20" i="71" s="1"/>
  <c r="L20" i="71" s="1"/>
  <c r="G19" i="71"/>
  <c r="K19" i="71" s="1"/>
  <c r="L19" i="71" s="1"/>
  <c r="G18" i="71"/>
  <c r="I17" i="71"/>
  <c r="I18" i="71" s="1"/>
  <c r="K18" i="71" s="1"/>
  <c r="L18" i="71" s="1"/>
  <c r="G17" i="71"/>
  <c r="K16" i="71"/>
  <c r="L16" i="71" s="1"/>
  <c r="G16" i="71"/>
  <c r="I15" i="71"/>
  <c r="K15" i="71" s="1"/>
  <c r="L15" i="71" s="1"/>
  <c r="G15" i="71"/>
  <c r="M15" i="71" s="1"/>
  <c r="K14" i="71"/>
  <c r="L14" i="71" s="1"/>
  <c r="G14" i="71"/>
  <c r="I13" i="71"/>
  <c r="G13" i="71"/>
  <c r="K12" i="71"/>
  <c r="L12" i="71" s="1"/>
  <c r="G12" i="71"/>
  <c r="I11" i="71"/>
  <c r="K11" i="71" s="1"/>
  <c r="L11" i="71" s="1"/>
  <c r="G11" i="71"/>
  <c r="G10" i="71"/>
  <c r="K10" i="71" s="1"/>
  <c r="AB7" i="71"/>
  <c r="X47" i="71" s="1"/>
  <c r="X7" i="71"/>
  <c r="V4" i="71"/>
  <c r="B3" i="71"/>
  <c r="V2" i="71"/>
  <c r="M11" i="71" l="1"/>
  <c r="G37" i="71"/>
  <c r="G26" i="71"/>
  <c r="K84" i="71" s="1"/>
  <c r="K13" i="71"/>
  <c r="K17" i="71"/>
  <c r="L17" i="71" s="1"/>
  <c r="K21" i="71"/>
  <c r="L21" i="71" s="1"/>
  <c r="K23" i="71"/>
  <c r="L23" i="71" s="1"/>
  <c r="L28" i="71"/>
  <c r="L37" i="71" s="1"/>
  <c r="X48" i="71"/>
  <c r="K26" i="71"/>
  <c r="G53" i="71" s="1"/>
  <c r="K54" i="71" s="1"/>
  <c r="L76" i="71"/>
  <c r="Z75" i="71"/>
  <c r="AC75" i="71" s="1"/>
  <c r="L13" i="71"/>
  <c r="C48" i="71"/>
  <c r="K48" i="71" s="1"/>
  <c r="L75" i="71"/>
  <c r="Z74" i="71"/>
  <c r="AC74" i="71" s="1"/>
  <c r="M13" i="71"/>
  <c r="C49" i="71"/>
  <c r="K49" i="71" s="1"/>
  <c r="X49" i="71"/>
  <c r="L10" i="71"/>
  <c r="C47" i="71"/>
  <c r="L40" i="71" l="1"/>
  <c r="G56" i="71"/>
  <c r="K57" i="71" s="1"/>
  <c r="L26" i="71"/>
  <c r="L44" i="71" s="1"/>
  <c r="K69" i="71"/>
  <c r="L69" i="71" s="1"/>
  <c r="K72" i="71"/>
  <c r="L72" i="71" s="1"/>
  <c r="C50" i="71"/>
  <c r="K47" i="71"/>
  <c r="L50" i="71" s="1"/>
  <c r="X24" i="71"/>
  <c r="AB24" i="71" s="1"/>
  <c r="AC24" i="71" s="1"/>
  <c r="X21" i="71"/>
  <c r="AB21" i="71" s="1"/>
  <c r="AC21" i="71" s="1"/>
  <c r="X18" i="71"/>
  <c r="AB18" i="71" s="1"/>
  <c r="AC18" i="71" s="1"/>
  <c r="X15" i="71"/>
  <c r="AB15" i="71" s="1"/>
  <c r="AC15" i="71" s="1"/>
  <c r="X14" i="71"/>
  <c r="AB14" i="71" s="1"/>
  <c r="X10" i="71"/>
  <c r="X16" i="71"/>
  <c r="AB16" i="71" s="1"/>
  <c r="AC16" i="71" s="1"/>
  <c r="X13" i="71"/>
  <c r="AB13" i="71" s="1"/>
  <c r="AC13" i="71" s="1"/>
  <c r="X12" i="71"/>
  <c r="AB12" i="71" s="1"/>
  <c r="X22" i="71"/>
  <c r="AB22" i="71" s="1"/>
  <c r="AC22" i="71" s="1"/>
  <c r="X23" i="71"/>
  <c r="AB23" i="71" s="1"/>
  <c r="AC23" i="71" s="1"/>
  <c r="X20" i="71"/>
  <c r="AB20" i="71" s="1"/>
  <c r="AC20" i="71" s="1"/>
  <c r="X17" i="71"/>
  <c r="AB17" i="71" s="1"/>
  <c r="AC17" i="71" s="1"/>
  <c r="X11" i="71"/>
  <c r="AB11" i="71" s="1"/>
  <c r="AC11" i="71" s="1"/>
  <c r="X25" i="71"/>
  <c r="AB25" i="71" s="1"/>
  <c r="AC25" i="71" s="1"/>
  <c r="X19" i="71"/>
  <c r="AB19" i="71" s="1"/>
  <c r="AC19" i="71" s="1"/>
  <c r="K77" i="71"/>
  <c r="L77" i="71" s="1"/>
  <c r="K78" i="71"/>
  <c r="L78" i="71" s="1"/>
  <c r="K67" i="71"/>
  <c r="L67" i="71" s="1"/>
  <c r="K70" i="71"/>
  <c r="L70" i="71" s="1"/>
  <c r="K71" i="71"/>
  <c r="L71" i="71" s="1"/>
  <c r="K59" i="71"/>
  <c r="L59" i="71" s="1"/>
  <c r="L82" i="71" l="1"/>
  <c r="K86" i="71" s="1"/>
  <c r="X26" i="71"/>
  <c r="AB10" i="71"/>
  <c r="AC12" i="71"/>
  <c r="W48" i="71"/>
  <c r="AB48" i="71" s="1"/>
  <c r="W49" i="71"/>
  <c r="AB49" i="71" s="1"/>
  <c r="AC14" i="71"/>
  <c r="W47" i="71" l="1"/>
  <c r="AC10" i="71"/>
  <c r="AC26" i="71" s="1"/>
  <c r="AB26" i="71"/>
  <c r="X53" i="71" s="1"/>
  <c r="AB54" i="71" s="1"/>
  <c r="L86" i="71"/>
  <c r="L87" i="71" s="1"/>
  <c r="L90" i="71" s="1"/>
  <c r="L92" i="71" s="1"/>
  <c r="X56" i="71"/>
  <c r="AB57" i="71" s="1"/>
  <c r="AC40" i="71"/>
  <c r="L94" i="71" l="1"/>
  <c r="AB68" i="71"/>
  <c r="AC68" i="71" s="1"/>
  <c r="AB71" i="71"/>
  <c r="AC71" i="71" s="1"/>
  <c r="AB77" i="71"/>
  <c r="AC77" i="71" s="1"/>
  <c r="AB70" i="71"/>
  <c r="AC70" i="71" s="1"/>
  <c r="AB69" i="71"/>
  <c r="AC69" i="71" s="1"/>
  <c r="AB58" i="71"/>
  <c r="AC58" i="71" s="1"/>
  <c r="AB66" i="71"/>
  <c r="AC66" i="71" s="1"/>
  <c r="AB76" i="71"/>
  <c r="AC76" i="71" s="1"/>
  <c r="AC44" i="71"/>
  <c r="AB47" i="71"/>
  <c r="AC50" i="71" s="1"/>
  <c r="W50" i="71"/>
  <c r="AC81" i="71" l="1"/>
  <c r="L84" i="71" s="1"/>
  <c r="B136" i="70" l="1"/>
  <c r="B135" i="70"/>
  <c r="M86" i="70"/>
  <c r="V79" i="70"/>
  <c r="V78" i="70"/>
  <c r="Y77" i="70"/>
  <c r="V77" i="70"/>
  <c r="Y76" i="70"/>
  <c r="G76" i="70"/>
  <c r="I76" i="70" s="1"/>
  <c r="AB75" i="70"/>
  <c r="G75" i="70"/>
  <c r="I75" i="70" s="1"/>
  <c r="L75" i="70" s="1"/>
  <c r="AB74" i="70"/>
  <c r="Y71" i="70"/>
  <c r="Y70" i="70"/>
  <c r="Y69" i="70"/>
  <c r="Y68" i="70"/>
  <c r="Y66" i="70"/>
  <c r="X65" i="70"/>
  <c r="X64" i="70"/>
  <c r="X61" i="70"/>
  <c r="Y58" i="70" s="1"/>
  <c r="X60" i="70"/>
  <c r="I59" i="70"/>
  <c r="AA56" i="70"/>
  <c r="AA53" i="70"/>
  <c r="Z49" i="70"/>
  <c r="G49" i="70"/>
  <c r="Z48" i="70"/>
  <c r="G48" i="70"/>
  <c r="Z47" i="70"/>
  <c r="G47" i="70"/>
  <c r="X40" i="70"/>
  <c r="K40" i="70"/>
  <c r="X39" i="70"/>
  <c r="AB40" i="70" s="1"/>
  <c r="X37" i="70"/>
  <c r="E37" i="70"/>
  <c r="D37" i="70"/>
  <c r="AB36" i="70"/>
  <c r="AC36" i="70" s="1"/>
  <c r="G36" i="70"/>
  <c r="L36" i="70" s="1"/>
  <c r="AC35" i="70"/>
  <c r="AB35" i="70"/>
  <c r="G35" i="70"/>
  <c r="L35" i="70" s="1"/>
  <c r="AB34" i="70"/>
  <c r="AC34" i="70" s="1"/>
  <c r="G34" i="70"/>
  <c r="L34" i="70" s="1"/>
  <c r="AC33" i="70"/>
  <c r="AB33" i="70"/>
  <c r="G33" i="70"/>
  <c r="L33" i="70" s="1"/>
  <c r="AB32" i="70"/>
  <c r="AC32" i="70" s="1"/>
  <c r="G32" i="70"/>
  <c r="L32" i="70" s="1"/>
  <c r="AC31" i="70"/>
  <c r="AB31" i="70"/>
  <c r="G31" i="70"/>
  <c r="L31" i="70" s="1"/>
  <c r="AB30" i="70"/>
  <c r="AC30" i="70" s="1"/>
  <c r="G30" i="70"/>
  <c r="L30" i="70" s="1"/>
  <c r="AC29" i="70"/>
  <c r="AB29" i="70"/>
  <c r="G29" i="70"/>
  <c r="L29" i="70" s="1"/>
  <c r="AB28" i="70"/>
  <c r="AC28" i="70" s="1"/>
  <c r="AC37" i="70" s="1"/>
  <c r="G28" i="70"/>
  <c r="E26" i="70"/>
  <c r="D26" i="70"/>
  <c r="G25" i="70"/>
  <c r="K25" i="70" s="1"/>
  <c r="L25" i="70" s="1"/>
  <c r="G24" i="70"/>
  <c r="I23" i="70"/>
  <c r="I24" i="70" s="1"/>
  <c r="K24" i="70" s="1"/>
  <c r="L24" i="70" s="1"/>
  <c r="G23" i="70"/>
  <c r="K23" i="70" s="1"/>
  <c r="L23" i="70" s="1"/>
  <c r="K22" i="70"/>
  <c r="L22" i="70" s="1"/>
  <c r="G22" i="70"/>
  <c r="G21" i="70"/>
  <c r="I20" i="70"/>
  <c r="I21" i="70" s="1"/>
  <c r="K21" i="70" s="1"/>
  <c r="L21" i="70" s="1"/>
  <c r="G20" i="70"/>
  <c r="G19" i="70"/>
  <c r="K19" i="70" s="1"/>
  <c r="L19" i="70" s="1"/>
  <c r="G18" i="70"/>
  <c r="I17" i="70"/>
  <c r="I18" i="70" s="1"/>
  <c r="K18" i="70" s="1"/>
  <c r="L18" i="70" s="1"/>
  <c r="G17" i="70"/>
  <c r="K17" i="70" s="1"/>
  <c r="L17" i="70" s="1"/>
  <c r="K16" i="70"/>
  <c r="L16" i="70" s="1"/>
  <c r="G16" i="70"/>
  <c r="I15" i="70"/>
  <c r="G15" i="70"/>
  <c r="K15" i="70" s="1"/>
  <c r="L15" i="70" s="1"/>
  <c r="G14" i="70"/>
  <c r="K14" i="70" s="1"/>
  <c r="L14" i="70" s="1"/>
  <c r="I13" i="70"/>
  <c r="G13" i="70"/>
  <c r="K13" i="70" s="1"/>
  <c r="K12" i="70"/>
  <c r="L12" i="70" s="1"/>
  <c r="G12" i="70"/>
  <c r="I11" i="70"/>
  <c r="G11" i="70"/>
  <c r="K11" i="70" s="1"/>
  <c r="L11" i="70" s="1"/>
  <c r="G10" i="70"/>
  <c r="AB7" i="70"/>
  <c r="X47" i="70" s="1"/>
  <c r="X7" i="70"/>
  <c r="V4" i="70"/>
  <c r="B3" i="70"/>
  <c r="V2" i="70"/>
  <c r="K20" i="70" l="1"/>
  <c r="L20" i="70" s="1"/>
  <c r="X49" i="70"/>
  <c r="L13" i="70"/>
  <c r="L76" i="70"/>
  <c r="Z75" i="70"/>
  <c r="AC75" i="70" s="1"/>
  <c r="M11" i="70"/>
  <c r="C49" i="70"/>
  <c r="K49" i="70" s="1"/>
  <c r="M13" i="70"/>
  <c r="G37" i="70"/>
  <c r="L28" i="70"/>
  <c r="L37" i="70" s="1"/>
  <c r="Z74" i="70"/>
  <c r="AC74" i="70" s="1"/>
  <c r="M15" i="70"/>
  <c r="G26" i="70"/>
  <c r="K10" i="70"/>
  <c r="X48" i="70"/>
  <c r="C48" i="70" l="1"/>
  <c r="K48" i="70" s="1"/>
  <c r="K26" i="70"/>
  <c r="G53" i="70" s="1"/>
  <c r="K54" i="70" s="1"/>
  <c r="C47" i="70"/>
  <c r="L10" i="70"/>
  <c r="L26" i="70" s="1"/>
  <c r="K84" i="70"/>
  <c r="L40" i="70"/>
  <c r="G56" i="70"/>
  <c r="K57" i="70" s="1"/>
  <c r="L44" i="70" l="1"/>
  <c r="K69" i="70"/>
  <c r="L69" i="70" s="1"/>
  <c r="K72" i="70"/>
  <c r="L72" i="70" s="1"/>
  <c r="C50" i="70"/>
  <c r="K47" i="70"/>
  <c r="L50" i="70" s="1"/>
  <c r="K77" i="70"/>
  <c r="L77" i="70" s="1"/>
  <c r="K67" i="70"/>
  <c r="L67" i="70" s="1"/>
  <c r="K78" i="70"/>
  <c r="L78" i="70" s="1"/>
  <c r="K71" i="70"/>
  <c r="L71" i="70" s="1"/>
  <c r="K59" i="70"/>
  <c r="L59" i="70" s="1"/>
  <c r="K70" i="70"/>
  <c r="L70" i="70" s="1"/>
  <c r="X24" i="70"/>
  <c r="AB24" i="70" s="1"/>
  <c r="AC24" i="70" s="1"/>
  <c r="X21" i="70"/>
  <c r="AB21" i="70" s="1"/>
  <c r="AC21" i="70" s="1"/>
  <c r="X18" i="70"/>
  <c r="AB18" i="70" s="1"/>
  <c r="AC18" i="70" s="1"/>
  <c r="X15" i="70"/>
  <c r="AB15" i="70" s="1"/>
  <c r="AC15" i="70" s="1"/>
  <c r="X14" i="70"/>
  <c r="AB14" i="70" s="1"/>
  <c r="X11" i="70"/>
  <c r="AB11" i="70" s="1"/>
  <c r="AC11" i="70" s="1"/>
  <c r="X10" i="70"/>
  <c r="X25" i="70"/>
  <c r="AB25" i="70" s="1"/>
  <c r="AC25" i="70" s="1"/>
  <c r="X16" i="70"/>
  <c r="AB16" i="70" s="1"/>
  <c r="AC16" i="70" s="1"/>
  <c r="X13" i="70"/>
  <c r="AB13" i="70" s="1"/>
  <c r="AC13" i="70" s="1"/>
  <c r="X12" i="70"/>
  <c r="AB12" i="70" s="1"/>
  <c r="X22" i="70"/>
  <c r="AB22" i="70" s="1"/>
  <c r="AC22" i="70" s="1"/>
  <c r="X19" i="70"/>
  <c r="AB19" i="70" s="1"/>
  <c r="AC19" i="70" s="1"/>
  <c r="X20" i="70"/>
  <c r="AB20" i="70" s="1"/>
  <c r="AC20" i="70" s="1"/>
  <c r="X23" i="70"/>
  <c r="AB23" i="70" s="1"/>
  <c r="AC23" i="70" s="1"/>
  <c r="X17" i="70"/>
  <c r="AB17" i="70" s="1"/>
  <c r="AC17" i="70" s="1"/>
  <c r="L82" i="70" l="1"/>
  <c r="K86" i="70" s="1"/>
  <c r="AC12" i="70"/>
  <c r="W48" i="70"/>
  <c r="AB48" i="70" s="1"/>
  <c r="X26" i="70"/>
  <c r="AB10" i="70"/>
  <c r="W49" i="70"/>
  <c r="AB49" i="70" s="1"/>
  <c r="AC14" i="70"/>
  <c r="AC10" i="70" l="1"/>
  <c r="AC26" i="70" s="1"/>
  <c r="AB26" i="70"/>
  <c r="X53" i="70" s="1"/>
  <c r="AB54" i="70" s="1"/>
  <c r="W47" i="70"/>
  <c r="L86" i="70"/>
  <c r="L87" i="70" s="1"/>
  <c r="X56" i="70"/>
  <c r="AB57" i="70" s="1"/>
  <c r="AC40" i="70"/>
  <c r="L90" i="70" l="1"/>
  <c r="L92" i="70" s="1"/>
  <c r="AC44" i="70"/>
  <c r="W50" i="70"/>
  <c r="AB47" i="70"/>
  <c r="AC50" i="70" s="1"/>
  <c r="AB68" i="70"/>
  <c r="AC68" i="70" s="1"/>
  <c r="AB71" i="70"/>
  <c r="AC71" i="70" s="1"/>
  <c r="AB77" i="70"/>
  <c r="AC77" i="70" s="1"/>
  <c r="AB70" i="70"/>
  <c r="AC70" i="70" s="1"/>
  <c r="AB69" i="70"/>
  <c r="AC69" i="70" s="1"/>
  <c r="AB58" i="70"/>
  <c r="AC58" i="70" s="1"/>
  <c r="AB76" i="70"/>
  <c r="AC76" i="70" s="1"/>
  <c r="AB66" i="70"/>
  <c r="AC66" i="70" s="1"/>
  <c r="L94" i="70"/>
  <c r="AC81" i="70" l="1"/>
  <c r="L84" i="70" s="1"/>
  <c r="B136" i="69"/>
  <c r="B135" i="69"/>
  <c r="M86" i="69"/>
  <c r="V79" i="69"/>
  <c r="V78" i="69"/>
  <c r="Y77" i="69"/>
  <c r="V77" i="69"/>
  <c r="Y76" i="69"/>
  <c r="G76" i="69"/>
  <c r="I76" i="69" s="1"/>
  <c r="AB75" i="69"/>
  <c r="G75" i="69"/>
  <c r="I75" i="69" s="1"/>
  <c r="AB74" i="69"/>
  <c r="Y71" i="69"/>
  <c r="Y70" i="69"/>
  <c r="Y69" i="69"/>
  <c r="Y68" i="69"/>
  <c r="Y66" i="69"/>
  <c r="X65" i="69"/>
  <c r="X64" i="69"/>
  <c r="X61" i="69"/>
  <c r="X60" i="69"/>
  <c r="I59" i="69"/>
  <c r="Y58" i="69"/>
  <c r="AA56" i="69"/>
  <c r="AA53" i="69"/>
  <c r="Z49" i="69"/>
  <c r="G49" i="69"/>
  <c r="Z48" i="69"/>
  <c r="G48" i="69"/>
  <c r="Z47" i="69"/>
  <c r="G47" i="69"/>
  <c r="X40" i="69"/>
  <c r="K40" i="69"/>
  <c r="X39" i="69"/>
  <c r="AB40" i="69" s="1"/>
  <c r="X37" i="69"/>
  <c r="E37" i="69"/>
  <c r="D37" i="69"/>
  <c r="AB36" i="69"/>
  <c r="AC36" i="69" s="1"/>
  <c r="G36" i="69"/>
  <c r="L36" i="69" s="1"/>
  <c r="AB35" i="69"/>
  <c r="AC35" i="69" s="1"/>
  <c r="G35" i="69"/>
  <c r="L35" i="69" s="1"/>
  <c r="AB34" i="69"/>
  <c r="AC34" i="69" s="1"/>
  <c r="G34" i="69"/>
  <c r="L34" i="69" s="1"/>
  <c r="AB33" i="69"/>
  <c r="AC33" i="69" s="1"/>
  <c r="G33" i="69"/>
  <c r="L33" i="69" s="1"/>
  <c r="AB32" i="69"/>
  <c r="AC32" i="69" s="1"/>
  <c r="G32" i="69"/>
  <c r="L32" i="69" s="1"/>
  <c r="AB31" i="69"/>
  <c r="AC31" i="69" s="1"/>
  <c r="G31" i="69"/>
  <c r="L31" i="69" s="1"/>
  <c r="AB30" i="69"/>
  <c r="AC30" i="69" s="1"/>
  <c r="G30" i="69"/>
  <c r="L30" i="69" s="1"/>
  <c r="AB29" i="69"/>
  <c r="AC29" i="69" s="1"/>
  <c r="G29" i="69"/>
  <c r="L29" i="69" s="1"/>
  <c r="AB28" i="69"/>
  <c r="AC28" i="69" s="1"/>
  <c r="AC37" i="69" s="1"/>
  <c r="G28" i="69"/>
  <c r="E26" i="69"/>
  <c r="D26" i="69"/>
  <c r="G25" i="69"/>
  <c r="K25" i="69" s="1"/>
  <c r="L25" i="69" s="1"/>
  <c r="G24" i="69"/>
  <c r="I23" i="69"/>
  <c r="I24" i="69" s="1"/>
  <c r="K24" i="69" s="1"/>
  <c r="L24" i="69" s="1"/>
  <c r="G23" i="69"/>
  <c r="G22" i="69"/>
  <c r="K22" i="69" s="1"/>
  <c r="L22" i="69" s="1"/>
  <c r="G21" i="69"/>
  <c r="I20" i="69"/>
  <c r="I21" i="69" s="1"/>
  <c r="G20" i="69"/>
  <c r="K20" i="69" s="1"/>
  <c r="L20" i="69" s="1"/>
  <c r="G19" i="69"/>
  <c r="K19" i="69" s="1"/>
  <c r="L19" i="69" s="1"/>
  <c r="G18" i="69"/>
  <c r="I17" i="69"/>
  <c r="I18" i="69" s="1"/>
  <c r="K18" i="69" s="1"/>
  <c r="L18" i="69" s="1"/>
  <c r="G17" i="69"/>
  <c r="K16" i="69"/>
  <c r="L16" i="69" s="1"/>
  <c r="G16" i="69"/>
  <c r="I15" i="69"/>
  <c r="K15" i="69" s="1"/>
  <c r="L15" i="69" s="1"/>
  <c r="G15" i="69"/>
  <c r="M15" i="69" s="1"/>
  <c r="K14" i="69"/>
  <c r="L14" i="69" s="1"/>
  <c r="G14" i="69"/>
  <c r="I13" i="69"/>
  <c r="G13" i="69"/>
  <c r="G12" i="69"/>
  <c r="K12" i="69" s="1"/>
  <c r="L12" i="69" s="1"/>
  <c r="I11" i="69"/>
  <c r="K11" i="69" s="1"/>
  <c r="L11" i="69" s="1"/>
  <c r="G11" i="69"/>
  <c r="G10" i="69"/>
  <c r="K10" i="69" s="1"/>
  <c r="AB7" i="69"/>
  <c r="X47" i="69" s="1"/>
  <c r="X7" i="69"/>
  <c r="V4" i="69"/>
  <c r="B3" i="69"/>
  <c r="V2" i="69"/>
  <c r="M11" i="69" l="1"/>
  <c r="G37" i="69"/>
  <c r="G26" i="69"/>
  <c r="K13" i="69"/>
  <c r="K26" i="69" s="1"/>
  <c r="G53" i="69" s="1"/>
  <c r="K54" i="69" s="1"/>
  <c r="K67" i="69" s="1"/>
  <c r="L67" i="69" s="1"/>
  <c r="K17" i="69"/>
  <c r="L17" i="69" s="1"/>
  <c r="K21" i="69"/>
  <c r="L21" i="69" s="1"/>
  <c r="K23" i="69"/>
  <c r="L23" i="69" s="1"/>
  <c r="L28" i="69"/>
  <c r="L37" i="69" s="1"/>
  <c r="X48" i="69"/>
  <c r="L76" i="69"/>
  <c r="Z75" i="69"/>
  <c r="AC75" i="69" s="1"/>
  <c r="K84" i="69"/>
  <c r="G56" i="69"/>
  <c r="K57" i="69" s="1"/>
  <c r="L40" i="69"/>
  <c r="L13" i="69"/>
  <c r="C48" i="69"/>
  <c r="K48" i="69" s="1"/>
  <c r="L75" i="69"/>
  <c r="Z74" i="69"/>
  <c r="AC74" i="69" s="1"/>
  <c r="M13" i="69"/>
  <c r="C49" i="69"/>
  <c r="K49" i="69" s="1"/>
  <c r="X49" i="69"/>
  <c r="L10" i="69"/>
  <c r="C47" i="69"/>
  <c r="K77" i="69" l="1"/>
  <c r="L77" i="69" s="1"/>
  <c r="K59" i="69"/>
  <c r="L59" i="69" s="1"/>
  <c r="K78" i="69"/>
  <c r="L78" i="69" s="1"/>
  <c r="K70" i="69"/>
  <c r="L70" i="69" s="1"/>
  <c r="K71" i="69"/>
  <c r="L71" i="69" s="1"/>
  <c r="K69" i="69"/>
  <c r="L69" i="69" s="1"/>
  <c r="K72" i="69"/>
  <c r="L72" i="69" s="1"/>
  <c r="X24" i="69"/>
  <c r="AB24" i="69" s="1"/>
  <c r="AC24" i="69" s="1"/>
  <c r="X21" i="69"/>
  <c r="AB21" i="69" s="1"/>
  <c r="AC21" i="69" s="1"/>
  <c r="X18" i="69"/>
  <c r="AB18" i="69" s="1"/>
  <c r="AC18" i="69" s="1"/>
  <c r="X15" i="69"/>
  <c r="AB15" i="69" s="1"/>
  <c r="AC15" i="69" s="1"/>
  <c r="X14" i="69"/>
  <c r="AB14" i="69" s="1"/>
  <c r="X11" i="69"/>
  <c r="AB11" i="69" s="1"/>
  <c r="AC11" i="69" s="1"/>
  <c r="X10" i="69"/>
  <c r="X25" i="69"/>
  <c r="AB25" i="69" s="1"/>
  <c r="AC25" i="69" s="1"/>
  <c r="X22" i="69"/>
  <c r="AB22" i="69" s="1"/>
  <c r="AC22" i="69" s="1"/>
  <c r="X16" i="69"/>
  <c r="AB16" i="69" s="1"/>
  <c r="AC16" i="69" s="1"/>
  <c r="X13" i="69"/>
  <c r="AB13" i="69" s="1"/>
  <c r="AC13" i="69" s="1"/>
  <c r="X12" i="69"/>
  <c r="AB12" i="69" s="1"/>
  <c r="X23" i="69"/>
  <c r="AB23" i="69" s="1"/>
  <c r="AC23" i="69" s="1"/>
  <c r="X20" i="69"/>
  <c r="AB20" i="69" s="1"/>
  <c r="AC20" i="69" s="1"/>
  <c r="X17" i="69"/>
  <c r="AB17" i="69" s="1"/>
  <c r="AC17" i="69" s="1"/>
  <c r="X19" i="69"/>
  <c r="AB19" i="69" s="1"/>
  <c r="AC19" i="69" s="1"/>
  <c r="C50" i="69"/>
  <c r="K47" i="69"/>
  <c r="L50" i="69" s="1"/>
  <c r="L26" i="69"/>
  <c r="L44" i="69" s="1"/>
  <c r="W49" i="69" l="1"/>
  <c r="AB49" i="69" s="1"/>
  <c r="AC14" i="69"/>
  <c r="L82" i="69"/>
  <c r="AC12" i="69"/>
  <c r="W48" i="69"/>
  <c r="AB48" i="69" s="1"/>
  <c r="X26" i="69"/>
  <c r="AB10" i="69"/>
  <c r="AB26" i="69" l="1"/>
  <c r="X53" i="69" s="1"/>
  <c r="AB54" i="69" s="1"/>
  <c r="W47" i="69"/>
  <c r="AC10" i="69"/>
  <c r="AC26" i="69" s="1"/>
  <c r="K86" i="69"/>
  <c r="X56" i="69"/>
  <c r="AB57" i="69" s="1"/>
  <c r="AC40" i="69"/>
  <c r="AC44" i="69" l="1"/>
  <c r="AB68" i="69"/>
  <c r="AC68" i="69" s="1"/>
  <c r="AB71" i="69"/>
  <c r="AC71" i="69" s="1"/>
  <c r="W50" i="69"/>
  <c r="AB47" i="69"/>
  <c r="AC50" i="69" s="1"/>
  <c r="L86" i="69"/>
  <c r="L87" i="69" s="1"/>
  <c r="L90" i="69" s="1"/>
  <c r="L92" i="69" s="1"/>
  <c r="AB77" i="69"/>
  <c r="AC77" i="69" s="1"/>
  <c r="AB70" i="69"/>
  <c r="AC70" i="69" s="1"/>
  <c r="AB69" i="69"/>
  <c r="AC69" i="69" s="1"/>
  <c r="AB58" i="69"/>
  <c r="AC58" i="69" s="1"/>
  <c r="AB76" i="69"/>
  <c r="AC76" i="69" s="1"/>
  <c r="AB66" i="69"/>
  <c r="AC66" i="69" s="1"/>
  <c r="AC81" i="69" l="1"/>
  <c r="L84" i="69" s="1"/>
  <c r="L94" i="69"/>
  <c r="B136" i="68" l="1"/>
  <c r="B135" i="68"/>
  <c r="M86" i="68"/>
  <c r="V79" i="68"/>
  <c r="V78" i="68"/>
  <c r="Y77" i="68"/>
  <c r="V77" i="68"/>
  <c r="Y76" i="68"/>
  <c r="G76" i="68"/>
  <c r="I76" i="68" s="1"/>
  <c r="AB75" i="68"/>
  <c r="G75" i="68"/>
  <c r="I75" i="68" s="1"/>
  <c r="AB74" i="68"/>
  <c r="Y71" i="68"/>
  <c r="Y70" i="68"/>
  <c r="Y69" i="68"/>
  <c r="Y68" i="68"/>
  <c r="Y66" i="68"/>
  <c r="X65" i="68"/>
  <c r="X64" i="68"/>
  <c r="X61" i="68"/>
  <c r="X60" i="68"/>
  <c r="I59" i="68"/>
  <c r="Y58" i="68"/>
  <c r="AA56" i="68"/>
  <c r="AA53" i="68"/>
  <c r="Z49" i="68"/>
  <c r="G49" i="68"/>
  <c r="Z48" i="68"/>
  <c r="G48" i="68"/>
  <c r="Z47" i="68"/>
  <c r="G47" i="68"/>
  <c r="X40" i="68"/>
  <c r="K40" i="68"/>
  <c r="X39" i="68"/>
  <c r="AB40" i="68" s="1"/>
  <c r="X37" i="68"/>
  <c r="E37" i="68"/>
  <c r="D37" i="68"/>
  <c r="AB36" i="68"/>
  <c r="AC36" i="68" s="1"/>
  <c r="G36" i="68"/>
  <c r="L36" i="68" s="1"/>
  <c r="AB35" i="68"/>
  <c r="AC35" i="68" s="1"/>
  <c r="G35" i="68"/>
  <c r="L35" i="68" s="1"/>
  <c r="AB34" i="68"/>
  <c r="AC34" i="68" s="1"/>
  <c r="G34" i="68"/>
  <c r="L34" i="68" s="1"/>
  <c r="AB33" i="68"/>
  <c r="AC33" i="68" s="1"/>
  <c r="G33" i="68"/>
  <c r="L33" i="68" s="1"/>
  <c r="AB32" i="68"/>
  <c r="AC32" i="68" s="1"/>
  <c r="G32" i="68"/>
  <c r="L32" i="68" s="1"/>
  <c r="AB31" i="68"/>
  <c r="AC31" i="68" s="1"/>
  <c r="G31" i="68"/>
  <c r="L31" i="68" s="1"/>
  <c r="AB30" i="68"/>
  <c r="AC30" i="68" s="1"/>
  <c r="G30" i="68"/>
  <c r="L30" i="68" s="1"/>
  <c r="AB29" i="68"/>
  <c r="AC29" i="68" s="1"/>
  <c r="G29" i="68"/>
  <c r="L29" i="68" s="1"/>
  <c r="AB28" i="68"/>
  <c r="AC28" i="68" s="1"/>
  <c r="AC37" i="68" s="1"/>
  <c r="G28" i="68"/>
  <c r="E26" i="68"/>
  <c r="D26" i="68"/>
  <c r="G25" i="68"/>
  <c r="K25" i="68" s="1"/>
  <c r="L25" i="68" s="1"/>
  <c r="G24" i="68"/>
  <c r="I23" i="68"/>
  <c r="I24" i="68" s="1"/>
  <c r="K24" i="68" s="1"/>
  <c r="L24" i="68" s="1"/>
  <c r="G23" i="68"/>
  <c r="K22" i="68"/>
  <c r="L22" i="68" s="1"/>
  <c r="G22" i="68"/>
  <c r="G21" i="68"/>
  <c r="I20" i="68"/>
  <c r="I21" i="68" s="1"/>
  <c r="G20" i="68"/>
  <c r="K20" i="68" s="1"/>
  <c r="L20" i="68" s="1"/>
  <c r="G19" i="68"/>
  <c r="K19" i="68" s="1"/>
  <c r="L19" i="68" s="1"/>
  <c r="G18" i="68"/>
  <c r="I17" i="68"/>
  <c r="I18" i="68" s="1"/>
  <c r="K18" i="68" s="1"/>
  <c r="L18" i="68" s="1"/>
  <c r="G17" i="68"/>
  <c r="K16" i="68"/>
  <c r="L16" i="68" s="1"/>
  <c r="G16" i="68"/>
  <c r="I15" i="68"/>
  <c r="K15" i="68" s="1"/>
  <c r="L15" i="68" s="1"/>
  <c r="G15" i="68"/>
  <c r="K14" i="68"/>
  <c r="L14" i="68" s="1"/>
  <c r="G14" i="68"/>
  <c r="I13" i="68"/>
  <c r="G13" i="68"/>
  <c r="K12" i="68"/>
  <c r="L12" i="68" s="1"/>
  <c r="G12" i="68"/>
  <c r="I11" i="68"/>
  <c r="K11" i="68" s="1"/>
  <c r="L11" i="68" s="1"/>
  <c r="G11" i="68"/>
  <c r="M11" i="68" s="1"/>
  <c r="K10" i="68"/>
  <c r="G10" i="68"/>
  <c r="G26" i="68" s="1"/>
  <c r="AB7" i="68"/>
  <c r="X47" i="68" s="1"/>
  <c r="X7" i="68"/>
  <c r="V4" i="68"/>
  <c r="B3" i="68"/>
  <c r="V2" i="68"/>
  <c r="G37" i="68" l="1"/>
  <c r="M15" i="68"/>
  <c r="K13" i="68"/>
  <c r="K17" i="68"/>
  <c r="L17" i="68" s="1"/>
  <c r="K21" i="68"/>
  <c r="L21" i="68" s="1"/>
  <c r="K23" i="68"/>
  <c r="L23" i="68" s="1"/>
  <c r="L28" i="68"/>
  <c r="L37" i="68" s="1"/>
  <c r="X48" i="68"/>
  <c r="L40" i="68"/>
  <c r="K26" i="68"/>
  <c r="G53" i="68" s="1"/>
  <c r="K54" i="68" s="1"/>
  <c r="L76" i="68"/>
  <c r="Z75" i="68"/>
  <c r="AC75" i="68" s="1"/>
  <c r="K84" i="68"/>
  <c r="G56" i="68"/>
  <c r="K57" i="68" s="1"/>
  <c r="L13" i="68"/>
  <c r="C48" i="68"/>
  <c r="K48" i="68" s="1"/>
  <c r="Z74" i="68"/>
  <c r="AC74" i="68" s="1"/>
  <c r="L75" i="68"/>
  <c r="M13" i="68"/>
  <c r="C49" i="68"/>
  <c r="K49" i="68" s="1"/>
  <c r="X49" i="68"/>
  <c r="L10" i="68"/>
  <c r="C47" i="68"/>
  <c r="K69" i="68" l="1"/>
  <c r="L69" i="68" s="1"/>
  <c r="K72" i="68"/>
  <c r="L72" i="68" s="1"/>
  <c r="K77" i="68"/>
  <c r="L77" i="68" s="1"/>
  <c r="K71" i="68"/>
  <c r="L71" i="68" s="1"/>
  <c r="K67" i="68"/>
  <c r="L67" i="68" s="1"/>
  <c r="K78" i="68"/>
  <c r="L78" i="68" s="1"/>
  <c r="K70" i="68"/>
  <c r="L70" i="68" s="1"/>
  <c r="K59" i="68"/>
  <c r="L59" i="68" s="1"/>
  <c r="C50" i="68"/>
  <c r="K47" i="68"/>
  <c r="L50" i="68" s="1"/>
  <c r="L26" i="68"/>
  <c r="L44" i="68" s="1"/>
  <c r="X24" i="68"/>
  <c r="AB24" i="68" s="1"/>
  <c r="AC24" i="68" s="1"/>
  <c r="X21" i="68"/>
  <c r="AB21" i="68" s="1"/>
  <c r="AC21" i="68" s="1"/>
  <c r="X18" i="68"/>
  <c r="AB18" i="68" s="1"/>
  <c r="AC18" i="68" s="1"/>
  <c r="X15" i="68"/>
  <c r="AB15" i="68" s="1"/>
  <c r="AC15" i="68" s="1"/>
  <c r="X14" i="68"/>
  <c r="AB14" i="68" s="1"/>
  <c r="X11" i="68"/>
  <c r="AB11" i="68" s="1"/>
  <c r="AC11" i="68" s="1"/>
  <c r="X10" i="68"/>
  <c r="X25" i="68"/>
  <c r="AB25" i="68" s="1"/>
  <c r="AC25" i="68" s="1"/>
  <c r="X19" i="68"/>
  <c r="AB19" i="68" s="1"/>
  <c r="AC19" i="68" s="1"/>
  <c r="X23" i="68"/>
  <c r="AB23" i="68" s="1"/>
  <c r="AC23" i="68" s="1"/>
  <c r="X20" i="68"/>
  <c r="AB20" i="68" s="1"/>
  <c r="AC20" i="68" s="1"/>
  <c r="X17" i="68"/>
  <c r="AB17" i="68" s="1"/>
  <c r="AC17" i="68" s="1"/>
  <c r="X22" i="68"/>
  <c r="AB22" i="68" s="1"/>
  <c r="AC22" i="68" s="1"/>
  <c r="X16" i="68"/>
  <c r="AB16" i="68" s="1"/>
  <c r="AC16" i="68" s="1"/>
  <c r="X13" i="68"/>
  <c r="AB13" i="68" s="1"/>
  <c r="AC13" i="68" s="1"/>
  <c r="X12" i="68"/>
  <c r="AB12" i="68" s="1"/>
  <c r="L82" i="68" l="1"/>
  <c r="X26" i="68"/>
  <c r="AB10" i="68"/>
  <c r="AC12" i="68"/>
  <c r="W48" i="68"/>
  <c r="AB48" i="68" s="1"/>
  <c r="W49" i="68"/>
  <c r="AB49" i="68" s="1"/>
  <c r="AC14" i="68"/>
  <c r="AB26" i="68" l="1"/>
  <c r="X53" i="68" s="1"/>
  <c r="AB54" i="68" s="1"/>
  <c r="AC10" i="68"/>
  <c r="AC26" i="68" s="1"/>
  <c r="W47" i="68"/>
  <c r="X56" i="68"/>
  <c r="AB57" i="68" s="1"/>
  <c r="AC40" i="68"/>
  <c r="K86" i="68"/>
  <c r="AB47" i="68" l="1"/>
  <c r="AC50" i="68" s="1"/>
  <c r="W50" i="68"/>
  <c r="L86" i="68"/>
  <c r="L87" i="68" s="1"/>
  <c r="L90" i="68" s="1"/>
  <c r="L92" i="68" s="1"/>
  <c r="AC44" i="68"/>
  <c r="AB68" i="68"/>
  <c r="AC68" i="68" s="1"/>
  <c r="AB71" i="68"/>
  <c r="AC71" i="68" s="1"/>
  <c r="AB77" i="68"/>
  <c r="AC77" i="68" s="1"/>
  <c r="AB70" i="68"/>
  <c r="AC70" i="68" s="1"/>
  <c r="AB69" i="68"/>
  <c r="AC69" i="68" s="1"/>
  <c r="AB58" i="68"/>
  <c r="AC58" i="68" s="1"/>
  <c r="AB76" i="68"/>
  <c r="AC76" i="68" s="1"/>
  <c r="AB66" i="68"/>
  <c r="AC66" i="68" s="1"/>
  <c r="L94" i="68" l="1"/>
  <c r="AC81" i="68"/>
  <c r="L84" i="68" s="1"/>
  <c r="B136" i="67" l="1"/>
  <c r="B135" i="67"/>
  <c r="V79" i="67"/>
  <c r="V78" i="67"/>
  <c r="Y77" i="67"/>
  <c r="V77" i="67"/>
  <c r="Y76" i="67"/>
  <c r="G76" i="67"/>
  <c r="I76" i="67" s="1"/>
  <c r="AB75" i="67"/>
  <c r="I75" i="67"/>
  <c r="Z74" i="67" s="1"/>
  <c r="G75" i="67"/>
  <c r="AB74" i="67"/>
  <c r="Y71" i="67"/>
  <c r="Y70" i="67"/>
  <c r="Y69" i="67"/>
  <c r="Y68" i="67"/>
  <c r="Y66" i="67"/>
  <c r="X65" i="67"/>
  <c r="X64" i="67"/>
  <c r="X61" i="67"/>
  <c r="Y58" i="67" s="1"/>
  <c r="X60" i="67"/>
  <c r="I59" i="67"/>
  <c r="AA56" i="67"/>
  <c r="AA53" i="67"/>
  <c r="Z49" i="67"/>
  <c r="G49" i="67"/>
  <c r="Z48" i="67"/>
  <c r="G48" i="67"/>
  <c r="Z47" i="67"/>
  <c r="G47" i="67"/>
  <c r="X40" i="67"/>
  <c r="K40" i="67"/>
  <c r="X39" i="67"/>
  <c r="AB40" i="67" s="1"/>
  <c r="X37" i="67"/>
  <c r="E37" i="67"/>
  <c r="D37" i="67"/>
  <c r="AC36" i="67"/>
  <c r="AB36" i="67"/>
  <c r="G36" i="67"/>
  <c r="L36" i="67" s="1"/>
  <c r="AB35" i="67"/>
  <c r="AC35" i="67" s="1"/>
  <c r="G35" i="67"/>
  <c r="L35" i="67" s="1"/>
  <c r="AC34" i="67"/>
  <c r="AB34" i="67"/>
  <c r="G34" i="67"/>
  <c r="L34" i="67" s="1"/>
  <c r="AB33" i="67"/>
  <c r="AC33" i="67" s="1"/>
  <c r="G33" i="67"/>
  <c r="L33" i="67" s="1"/>
  <c r="AC32" i="67"/>
  <c r="AB32" i="67"/>
  <c r="G32" i="67"/>
  <c r="L32" i="67" s="1"/>
  <c r="AB31" i="67"/>
  <c r="AC31" i="67" s="1"/>
  <c r="G31" i="67"/>
  <c r="L31" i="67" s="1"/>
  <c r="AC30" i="67"/>
  <c r="AB30" i="67"/>
  <c r="G30" i="67"/>
  <c r="L30" i="67" s="1"/>
  <c r="AB29" i="67"/>
  <c r="AC29" i="67" s="1"/>
  <c r="G29" i="67"/>
  <c r="L29" i="67" s="1"/>
  <c r="AC28" i="67"/>
  <c r="AB28" i="67"/>
  <c r="G28" i="67"/>
  <c r="E26" i="67"/>
  <c r="D26" i="67"/>
  <c r="K25" i="67"/>
  <c r="L25" i="67" s="1"/>
  <c r="G25" i="67"/>
  <c r="G24" i="67"/>
  <c r="I23" i="67"/>
  <c r="I24" i="67" s="1"/>
  <c r="G23" i="67"/>
  <c r="G22" i="67"/>
  <c r="K22" i="67" s="1"/>
  <c r="L22" i="67" s="1"/>
  <c r="G21" i="67"/>
  <c r="I20" i="67"/>
  <c r="I21" i="67" s="1"/>
  <c r="G20" i="67"/>
  <c r="K20" i="67" s="1"/>
  <c r="L20" i="67" s="1"/>
  <c r="K19" i="67"/>
  <c r="L19" i="67" s="1"/>
  <c r="G19" i="67"/>
  <c r="G18" i="67"/>
  <c r="I17" i="67"/>
  <c r="I18" i="67" s="1"/>
  <c r="G17" i="67"/>
  <c r="G16" i="67"/>
  <c r="K16" i="67" s="1"/>
  <c r="L16" i="67" s="1"/>
  <c r="I15" i="67"/>
  <c r="G15" i="67"/>
  <c r="M15" i="67" s="1"/>
  <c r="G14" i="67"/>
  <c r="K14" i="67" s="1"/>
  <c r="I13" i="67"/>
  <c r="G13" i="67"/>
  <c r="M13" i="67" s="1"/>
  <c r="G12" i="67"/>
  <c r="K12" i="67" s="1"/>
  <c r="L12" i="67" s="1"/>
  <c r="I11" i="67"/>
  <c r="G11" i="67"/>
  <c r="M11" i="67" s="1"/>
  <c r="G10" i="67"/>
  <c r="AB7" i="67"/>
  <c r="X47" i="67" s="1"/>
  <c r="X7" i="67"/>
  <c r="V4" i="67"/>
  <c r="B3" i="67"/>
  <c r="V2" i="67"/>
  <c r="G37" i="67" l="1"/>
  <c r="G26" i="67"/>
  <c r="K84" i="67" s="1"/>
  <c r="K15" i="67"/>
  <c r="L15" i="67" s="1"/>
  <c r="K17" i="67"/>
  <c r="L17" i="67" s="1"/>
  <c r="K18" i="67"/>
  <c r="L18" i="67" s="1"/>
  <c r="K23" i="67"/>
  <c r="L23" i="67" s="1"/>
  <c r="K24" i="67"/>
  <c r="L24" i="67" s="1"/>
  <c r="K11" i="67"/>
  <c r="L11" i="67" s="1"/>
  <c r="K21" i="67"/>
  <c r="L21" i="67" s="1"/>
  <c r="AC37" i="67"/>
  <c r="X49" i="67"/>
  <c r="AC74" i="67"/>
  <c r="L76" i="67"/>
  <c r="Z75" i="67"/>
  <c r="AC75" i="67" s="1"/>
  <c r="L14" i="67"/>
  <c r="C49" i="67"/>
  <c r="K49" i="67" s="1"/>
  <c r="K10" i="67"/>
  <c r="L28" i="67"/>
  <c r="L37" i="67" s="1"/>
  <c r="X48" i="67"/>
  <c r="L75" i="67"/>
  <c r="K13" i="67"/>
  <c r="L13" i="67" s="1"/>
  <c r="L40" i="67" l="1"/>
  <c r="G56" i="67"/>
  <c r="K57" i="67" s="1"/>
  <c r="K26" i="67"/>
  <c r="G53" i="67" s="1"/>
  <c r="K54" i="67" s="1"/>
  <c r="C47" i="67"/>
  <c r="L10" i="67"/>
  <c r="L26" i="67" s="1"/>
  <c r="L44" i="67" s="1"/>
  <c r="C48" i="67"/>
  <c r="K48" i="67" s="1"/>
  <c r="K69" i="67"/>
  <c r="L69" i="67" s="1"/>
  <c r="K72" i="67"/>
  <c r="L72" i="67" s="1"/>
  <c r="X24" i="67"/>
  <c r="AB24" i="67" s="1"/>
  <c r="AC24" i="67" s="1"/>
  <c r="X21" i="67"/>
  <c r="AB21" i="67" s="1"/>
  <c r="AC21" i="67" s="1"/>
  <c r="X18" i="67"/>
  <c r="AB18" i="67" s="1"/>
  <c r="AC18" i="67" s="1"/>
  <c r="X15" i="67"/>
  <c r="AB15" i="67" s="1"/>
  <c r="AC15" i="67" s="1"/>
  <c r="X14" i="67"/>
  <c r="AB14" i="67" s="1"/>
  <c r="X11" i="67"/>
  <c r="AB11" i="67" s="1"/>
  <c r="AC11" i="67" s="1"/>
  <c r="X10" i="67"/>
  <c r="X17" i="67"/>
  <c r="AB17" i="67" s="1"/>
  <c r="AC17" i="67" s="1"/>
  <c r="X20" i="67"/>
  <c r="AB20" i="67" s="1"/>
  <c r="AC20" i="67" s="1"/>
  <c r="X25" i="67"/>
  <c r="AB25" i="67" s="1"/>
  <c r="AC25" i="67" s="1"/>
  <c r="X22" i="67"/>
  <c r="AB22" i="67" s="1"/>
  <c r="AC22" i="67" s="1"/>
  <c r="X19" i="67"/>
  <c r="AB19" i="67" s="1"/>
  <c r="AC19" i="67" s="1"/>
  <c r="X16" i="67"/>
  <c r="AB16" i="67" s="1"/>
  <c r="AC16" i="67" s="1"/>
  <c r="X13" i="67"/>
  <c r="AB13" i="67" s="1"/>
  <c r="AC13" i="67" s="1"/>
  <c r="X12" i="67"/>
  <c r="AB12" i="67" s="1"/>
  <c r="X23" i="67"/>
  <c r="AB23" i="67" s="1"/>
  <c r="AC23" i="67" s="1"/>
  <c r="AC12" i="67" l="1"/>
  <c r="W48" i="67"/>
  <c r="AB48" i="67" s="1"/>
  <c r="X26" i="67"/>
  <c r="AB10" i="67"/>
  <c r="C50" i="67"/>
  <c r="K47" i="67"/>
  <c r="L50" i="67" s="1"/>
  <c r="W49" i="67"/>
  <c r="AB49" i="67" s="1"/>
  <c r="AC14" i="67"/>
  <c r="K77" i="67"/>
  <c r="L77" i="67" s="1"/>
  <c r="K67" i="67"/>
  <c r="L67" i="67" s="1"/>
  <c r="K70" i="67"/>
  <c r="L70" i="67" s="1"/>
  <c r="K78" i="67"/>
  <c r="L78" i="67" s="1"/>
  <c r="K71" i="67"/>
  <c r="L71" i="67" s="1"/>
  <c r="K59" i="67"/>
  <c r="L59" i="67" s="1"/>
  <c r="L82" i="67" l="1"/>
  <c r="K86" i="67" s="1"/>
  <c r="X56" i="67"/>
  <c r="AB57" i="67" s="1"/>
  <c r="AC40" i="67"/>
  <c r="AB26" i="67"/>
  <c r="X53" i="67" s="1"/>
  <c r="AB54" i="67" s="1"/>
  <c r="W47" i="67"/>
  <c r="AC10" i="67"/>
  <c r="AC26" i="67" s="1"/>
  <c r="AC44" i="67" l="1"/>
  <c r="W50" i="67"/>
  <c r="AB47" i="67"/>
  <c r="AC50" i="67" s="1"/>
  <c r="AB71" i="67"/>
  <c r="AC71" i="67" s="1"/>
  <c r="AB68" i="67"/>
  <c r="AC68" i="67" s="1"/>
  <c r="AB77" i="67"/>
  <c r="AC77" i="67" s="1"/>
  <c r="AB70" i="67"/>
  <c r="AC70" i="67" s="1"/>
  <c r="AB66" i="67"/>
  <c r="AC66" i="67" s="1"/>
  <c r="AB69" i="67"/>
  <c r="AC69" i="67" s="1"/>
  <c r="AB58" i="67"/>
  <c r="AC58" i="67" s="1"/>
  <c r="AB76" i="67"/>
  <c r="AC76" i="67" s="1"/>
  <c r="L86" i="67"/>
  <c r="L87" i="67" s="1"/>
  <c r="L90" i="67" s="1"/>
  <c r="L92" i="67" s="1"/>
  <c r="L94" i="67" l="1"/>
  <c r="AC81" i="67"/>
  <c r="L84" i="67" s="1"/>
  <c r="B136" i="66"/>
  <c r="B135" i="66"/>
  <c r="M86" i="66"/>
  <c r="V79" i="66"/>
  <c r="V78" i="66"/>
  <c r="Y77" i="66"/>
  <c r="V77" i="66"/>
  <c r="Y76" i="66"/>
  <c r="I76" i="66"/>
  <c r="L76" i="66" s="1"/>
  <c r="G76" i="66"/>
  <c r="AB75" i="66"/>
  <c r="I75" i="66"/>
  <c r="L75" i="66" s="1"/>
  <c r="G75" i="66"/>
  <c r="AB74" i="66"/>
  <c r="Y71" i="66"/>
  <c r="Y70" i="66"/>
  <c r="Y69" i="66"/>
  <c r="Y68" i="66"/>
  <c r="Y66" i="66"/>
  <c r="X65" i="66"/>
  <c r="X64" i="66"/>
  <c r="X61" i="66"/>
  <c r="X60" i="66"/>
  <c r="I59" i="66"/>
  <c r="AA56" i="66"/>
  <c r="AA53" i="66"/>
  <c r="Z49" i="66"/>
  <c r="G49" i="66"/>
  <c r="Z48" i="66"/>
  <c r="G48" i="66"/>
  <c r="Z47" i="66"/>
  <c r="G47" i="66"/>
  <c r="X40" i="66"/>
  <c r="K40" i="66"/>
  <c r="X39" i="66"/>
  <c r="AB40" i="66" s="1"/>
  <c r="X37" i="66"/>
  <c r="E37" i="66"/>
  <c r="D37" i="66"/>
  <c r="AB36" i="66"/>
  <c r="AC36" i="66" s="1"/>
  <c r="G36" i="66"/>
  <c r="L36" i="66" s="1"/>
  <c r="AB35" i="66"/>
  <c r="AC35" i="66" s="1"/>
  <c r="G35" i="66"/>
  <c r="L35" i="66" s="1"/>
  <c r="AB34" i="66"/>
  <c r="AC34" i="66" s="1"/>
  <c r="G34" i="66"/>
  <c r="L34" i="66" s="1"/>
  <c r="AB33" i="66"/>
  <c r="AC33" i="66" s="1"/>
  <c r="G33" i="66"/>
  <c r="L33" i="66" s="1"/>
  <c r="AB32" i="66"/>
  <c r="AC32" i="66" s="1"/>
  <c r="G32" i="66"/>
  <c r="L32" i="66" s="1"/>
  <c r="AB31" i="66"/>
  <c r="AC31" i="66" s="1"/>
  <c r="G31" i="66"/>
  <c r="L31" i="66" s="1"/>
  <c r="AB30" i="66"/>
  <c r="AC30" i="66" s="1"/>
  <c r="G30" i="66"/>
  <c r="L30" i="66" s="1"/>
  <c r="AB29" i="66"/>
  <c r="AC29" i="66" s="1"/>
  <c r="G29" i="66"/>
  <c r="L29" i="66" s="1"/>
  <c r="AB28" i="66"/>
  <c r="AC28" i="66" s="1"/>
  <c r="AC37" i="66" s="1"/>
  <c r="G28" i="66"/>
  <c r="G37" i="66" s="1"/>
  <c r="E26" i="66"/>
  <c r="D26" i="66"/>
  <c r="G25" i="66"/>
  <c r="K25" i="66" s="1"/>
  <c r="L25" i="66" s="1"/>
  <c r="G24" i="66"/>
  <c r="I23" i="66"/>
  <c r="I24" i="66" s="1"/>
  <c r="G23" i="66"/>
  <c r="K23" i="66" s="1"/>
  <c r="L23" i="66" s="1"/>
  <c r="G22" i="66"/>
  <c r="K22" i="66" s="1"/>
  <c r="L22" i="66" s="1"/>
  <c r="G21" i="66"/>
  <c r="I20" i="66"/>
  <c r="I21" i="66" s="1"/>
  <c r="G20" i="66"/>
  <c r="G19" i="66"/>
  <c r="K19" i="66" s="1"/>
  <c r="L19" i="66" s="1"/>
  <c r="G18" i="66"/>
  <c r="I17" i="66"/>
  <c r="I18" i="66" s="1"/>
  <c r="G17" i="66"/>
  <c r="K17" i="66" s="1"/>
  <c r="L17" i="66" s="1"/>
  <c r="L16" i="66"/>
  <c r="G16" i="66"/>
  <c r="K16" i="66" s="1"/>
  <c r="M15" i="66"/>
  <c r="I15" i="66"/>
  <c r="G15" i="66"/>
  <c r="K15" i="66" s="1"/>
  <c r="L15" i="66" s="1"/>
  <c r="L14" i="66"/>
  <c r="G14" i="66"/>
  <c r="K14" i="66" s="1"/>
  <c r="M13" i="66"/>
  <c r="I13" i="66"/>
  <c r="G13" i="66"/>
  <c r="K13" i="66" s="1"/>
  <c r="L13" i="66" s="1"/>
  <c r="L12" i="66"/>
  <c r="G12" i="66"/>
  <c r="K12" i="66" s="1"/>
  <c r="M11" i="66"/>
  <c r="I11" i="66"/>
  <c r="G11" i="66"/>
  <c r="K11" i="66" s="1"/>
  <c r="L11" i="66" s="1"/>
  <c r="G10" i="66"/>
  <c r="AB7" i="66"/>
  <c r="X48" i="66" s="1"/>
  <c r="X7" i="66"/>
  <c r="V4" i="66"/>
  <c r="B3" i="66"/>
  <c r="V2" i="66"/>
  <c r="K24" i="66" l="1"/>
  <c r="L24" i="66" s="1"/>
  <c r="X47" i="66"/>
  <c r="K20" i="66"/>
  <c r="L20" i="66" s="1"/>
  <c r="X49" i="66"/>
  <c r="Y58" i="66"/>
  <c r="Z74" i="66"/>
  <c r="AC74" i="66" s="1"/>
  <c r="Z75" i="66"/>
  <c r="AC75" i="66" s="1"/>
  <c r="K18" i="66"/>
  <c r="L18" i="66" s="1"/>
  <c r="K21" i="66"/>
  <c r="L21" i="66" s="1"/>
  <c r="G26" i="66"/>
  <c r="K10" i="66"/>
  <c r="C48" i="66"/>
  <c r="K48" i="66" s="1"/>
  <c r="L28" i="66"/>
  <c r="L37" i="66" s="1"/>
  <c r="K84" i="66" l="1"/>
  <c r="L86" i="66"/>
  <c r="G56" i="66"/>
  <c r="K57" i="66" s="1"/>
  <c r="L40" i="66"/>
  <c r="C49" i="66"/>
  <c r="K49" i="66" s="1"/>
  <c r="K26" i="66"/>
  <c r="G53" i="66" s="1"/>
  <c r="K54" i="66" s="1"/>
  <c r="C47" i="66"/>
  <c r="L10" i="66"/>
  <c r="L26" i="66" s="1"/>
  <c r="L44" i="66" s="1"/>
  <c r="C50" i="66" l="1"/>
  <c r="K47" i="66"/>
  <c r="K69" i="66"/>
  <c r="L69" i="66" s="1"/>
  <c r="K72" i="66"/>
  <c r="L72" i="66" s="1"/>
  <c r="K77" i="66"/>
  <c r="L77" i="66" s="1"/>
  <c r="K67" i="66"/>
  <c r="L67" i="66" s="1"/>
  <c r="K78" i="66"/>
  <c r="L78" i="66" s="1"/>
  <c r="K71" i="66"/>
  <c r="L71" i="66" s="1"/>
  <c r="K59" i="66"/>
  <c r="L59" i="66" s="1"/>
  <c r="K70" i="66"/>
  <c r="L70" i="66" s="1"/>
  <c r="L50" i="66"/>
  <c r="L82" i="66" s="1"/>
  <c r="X24" i="66"/>
  <c r="AB24" i="66" s="1"/>
  <c r="AC24" i="66" s="1"/>
  <c r="X21" i="66"/>
  <c r="AB21" i="66" s="1"/>
  <c r="AC21" i="66" s="1"/>
  <c r="X18" i="66"/>
  <c r="AB18" i="66" s="1"/>
  <c r="AC18" i="66" s="1"/>
  <c r="X15" i="66"/>
  <c r="AB15" i="66" s="1"/>
  <c r="AC15" i="66" s="1"/>
  <c r="X14" i="66"/>
  <c r="AB14" i="66" s="1"/>
  <c r="X11" i="66"/>
  <c r="AB11" i="66" s="1"/>
  <c r="AC11" i="66" s="1"/>
  <c r="X10" i="66"/>
  <c r="X25" i="66"/>
  <c r="AB25" i="66" s="1"/>
  <c r="AC25" i="66" s="1"/>
  <c r="X22" i="66"/>
  <c r="AB22" i="66" s="1"/>
  <c r="AC22" i="66" s="1"/>
  <c r="X19" i="66"/>
  <c r="AB19" i="66" s="1"/>
  <c r="AC19" i="66" s="1"/>
  <c r="X16" i="66"/>
  <c r="AB16" i="66" s="1"/>
  <c r="AC16" i="66" s="1"/>
  <c r="X13" i="66"/>
  <c r="AB13" i="66" s="1"/>
  <c r="AC13" i="66" s="1"/>
  <c r="X12" i="66"/>
  <c r="AB12" i="66" s="1"/>
  <c r="X23" i="66"/>
  <c r="AB23" i="66" s="1"/>
  <c r="AC23" i="66" s="1"/>
  <c r="X20" i="66"/>
  <c r="AB20" i="66" s="1"/>
  <c r="AC20" i="66" s="1"/>
  <c r="X17" i="66"/>
  <c r="AB17" i="66" s="1"/>
  <c r="AC17" i="66" s="1"/>
  <c r="L87" i="66" l="1"/>
  <c r="L90" i="66" s="1"/>
  <c r="K86" i="66"/>
  <c r="L94" i="66" s="1"/>
  <c r="AC12" i="66"/>
  <c r="W48" i="66"/>
  <c r="AB48" i="66" s="1"/>
  <c r="X26" i="66"/>
  <c r="AB10" i="66"/>
  <c r="W49" i="66"/>
  <c r="AB49" i="66" s="1"/>
  <c r="AC14" i="66"/>
  <c r="AB26" i="66" l="1"/>
  <c r="X53" i="66" s="1"/>
  <c r="AB54" i="66" s="1"/>
  <c r="W47" i="66"/>
  <c r="AC10" i="66"/>
  <c r="AC26" i="66" s="1"/>
  <c r="AC44" i="66" s="1"/>
  <c r="X56" i="66"/>
  <c r="AB57" i="66" s="1"/>
  <c r="AC40" i="66"/>
  <c r="W50" i="66" l="1"/>
  <c r="AB47" i="66"/>
  <c r="AC50" i="66" s="1"/>
  <c r="AB68" i="66"/>
  <c r="AC68" i="66" s="1"/>
  <c r="AB71" i="66"/>
  <c r="AC71" i="66" s="1"/>
  <c r="AB77" i="66"/>
  <c r="AC77" i="66" s="1"/>
  <c r="AB70" i="66"/>
  <c r="AC70" i="66" s="1"/>
  <c r="AB69" i="66"/>
  <c r="AC69" i="66" s="1"/>
  <c r="AB58" i="66"/>
  <c r="AC58" i="66" s="1"/>
  <c r="AB76" i="66"/>
  <c r="AC76" i="66" s="1"/>
  <c r="AB66" i="66"/>
  <c r="AC66" i="66" s="1"/>
  <c r="AC81" i="66" l="1"/>
  <c r="L84" i="66" s="1"/>
  <c r="B136" i="65"/>
  <c r="B135" i="65"/>
  <c r="V79" i="65"/>
  <c r="V78" i="65"/>
  <c r="Y77" i="65"/>
  <c r="V77" i="65"/>
  <c r="Y76" i="65"/>
  <c r="G76" i="65"/>
  <c r="I76" i="65" s="1"/>
  <c r="AB75" i="65"/>
  <c r="G75" i="65"/>
  <c r="I75" i="65" s="1"/>
  <c r="L75" i="65" s="1"/>
  <c r="AB74" i="65"/>
  <c r="Y71" i="65"/>
  <c r="Y70" i="65"/>
  <c r="Y69" i="65"/>
  <c r="Y68" i="65"/>
  <c r="Y66" i="65"/>
  <c r="X65" i="65"/>
  <c r="X64" i="65"/>
  <c r="X61" i="65"/>
  <c r="Y58" i="65" s="1"/>
  <c r="X60" i="65"/>
  <c r="I59" i="65"/>
  <c r="AA56" i="65"/>
  <c r="AA53" i="65"/>
  <c r="Z49" i="65"/>
  <c r="G49" i="65"/>
  <c r="Z48" i="65"/>
  <c r="G48" i="65"/>
  <c r="Z47" i="65"/>
  <c r="G47" i="65"/>
  <c r="X40" i="65"/>
  <c r="K40" i="65"/>
  <c r="X39" i="65"/>
  <c r="AB40" i="65" s="1"/>
  <c r="X37" i="65"/>
  <c r="E37" i="65"/>
  <c r="D37" i="65"/>
  <c r="AC36" i="65"/>
  <c r="AB36" i="65"/>
  <c r="G36" i="65"/>
  <c r="L36" i="65" s="1"/>
  <c r="AB35" i="65"/>
  <c r="AC35" i="65" s="1"/>
  <c r="G35" i="65"/>
  <c r="L35" i="65" s="1"/>
  <c r="AC34" i="65"/>
  <c r="AB34" i="65"/>
  <c r="G34" i="65"/>
  <c r="L34" i="65" s="1"/>
  <c r="AB33" i="65"/>
  <c r="AC33" i="65" s="1"/>
  <c r="G33" i="65"/>
  <c r="L33" i="65" s="1"/>
  <c r="AC32" i="65"/>
  <c r="AB32" i="65"/>
  <c r="G32" i="65"/>
  <c r="L32" i="65" s="1"/>
  <c r="AB31" i="65"/>
  <c r="AC31" i="65" s="1"/>
  <c r="G31" i="65"/>
  <c r="L31" i="65" s="1"/>
  <c r="AC30" i="65"/>
  <c r="AB30" i="65"/>
  <c r="G30" i="65"/>
  <c r="L30" i="65" s="1"/>
  <c r="AB29" i="65"/>
  <c r="AC29" i="65" s="1"/>
  <c r="G29" i="65"/>
  <c r="L29" i="65" s="1"/>
  <c r="AC28" i="65"/>
  <c r="AC37" i="65" s="1"/>
  <c r="AB28" i="65"/>
  <c r="G28" i="65"/>
  <c r="E26" i="65"/>
  <c r="D26" i="65"/>
  <c r="K25" i="65"/>
  <c r="L25" i="65" s="1"/>
  <c r="G25" i="65"/>
  <c r="G24" i="65"/>
  <c r="I23" i="65"/>
  <c r="I24" i="65" s="1"/>
  <c r="K24" i="65" s="1"/>
  <c r="L24" i="65" s="1"/>
  <c r="G23" i="65"/>
  <c r="K23" i="65" s="1"/>
  <c r="L23" i="65" s="1"/>
  <c r="K22" i="65"/>
  <c r="L22" i="65" s="1"/>
  <c r="G22" i="65"/>
  <c r="G21" i="65"/>
  <c r="I20" i="65"/>
  <c r="I21" i="65" s="1"/>
  <c r="K21" i="65" s="1"/>
  <c r="L21" i="65" s="1"/>
  <c r="G20" i="65"/>
  <c r="G19" i="65"/>
  <c r="K19" i="65" s="1"/>
  <c r="L19" i="65" s="1"/>
  <c r="G18" i="65"/>
  <c r="I17" i="65"/>
  <c r="I18" i="65" s="1"/>
  <c r="K18" i="65" s="1"/>
  <c r="L18" i="65" s="1"/>
  <c r="G17" i="65"/>
  <c r="K17" i="65" s="1"/>
  <c r="L17" i="65" s="1"/>
  <c r="K16" i="65"/>
  <c r="L16" i="65" s="1"/>
  <c r="G16" i="65"/>
  <c r="I15" i="65"/>
  <c r="G15" i="65"/>
  <c r="K15" i="65" s="1"/>
  <c r="L15" i="65" s="1"/>
  <c r="G14" i="65"/>
  <c r="K14" i="65" s="1"/>
  <c r="L14" i="65" s="1"/>
  <c r="I13" i="65"/>
  <c r="G13" i="65"/>
  <c r="K13" i="65" s="1"/>
  <c r="K12" i="65"/>
  <c r="L12" i="65" s="1"/>
  <c r="G12" i="65"/>
  <c r="I11" i="65"/>
  <c r="G11" i="65"/>
  <c r="K11" i="65" s="1"/>
  <c r="L11" i="65" s="1"/>
  <c r="G10" i="65"/>
  <c r="AB7" i="65"/>
  <c r="X47" i="65" s="1"/>
  <c r="X7" i="65"/>
  <c r="V4" i="65"/>
  <c r="B3" i="65"/>
  <c r="V2" i="65"/>
  <c r="K20" i="65" l="1"/>
  <c r="L20" i="65" s="1"/>
  <c r="X49" i="65"/>
  <c r="X48" i="65"/>
  <c r="L76" i="65"/>
  <c r="Z75" i="65"/>
  <c r="AC75" i="65" s="1"/>
  <c r="M11" i="65"/>
  <c r="M15" i="65"/>
  <c r="K10" i="65"/>
  <c r="G26" i="65"/>
  <c r="L13" i="65"/>
  <c r="C48" i="65"/>
  <c r="K48" i="65" s="1"/>
  <c r="M13" i="65"/>
  <c r="L28" i="65"/>
  <c r="L37" i="65" s="1"/>
  <c r="G37" i="65"/>
  <c r="C49" i="65"/>
  <c r="K49" i="65" s="1"/>
  <c r="Z74" i="65"/>
  <c r="AC74" i="65" s="1"/>
  <c r="K84" i="65" l="1"/>
  <c r="G56" i="65"/>
  <c r="K57" i="65" s="1"/>
  <c r="L40" i="65"/>
  <c r="K26" i="65"/>
  <c r="G53" i="65" s="1"/>
  <c r="K54" i="65" s="1"/>
  <c r="C47" i="65"/>
  <c r="L10" i="65"/>
  <c r="L26" i="65" s="1"/>
  <c r="L44" i="65" l="1"/>
  <c r="C50" i="65"/>
  <c r="K47" i="65"/>
  <c r="L50" i="65" s="1"/>
  <c r="K69" i="65"/>
  <c r="L69" i="65" s="1"/>
  <c r="K72" i="65"/>
  <c r="L72" i="65" s="1"/>
  <c r="K77" i="65"/>
  <c r="L77" i="65" s="1"/>
  <c r="K67" i="65"/>
  <c r="L67" i="65" s="1"/>
  <c r="K78" i="65"/>
  <c r="L78" i="65" s="1"/>
  <c r="K71" i="65"/>
  <c r="L71" i="65" s="1"/>
  <c r="K59" i="65"/>
  <c r="L59" i="65" s="1"/>
  <c r="K70" i="65"/>
  <c r="L70" i="65" s="1"/>
  <c r="X24" i="65"/>
  <c r="AB24" i="65" s="1"/>
  <c r="AC24" i="65" s="1"/>
  <c r="X21" i="65"/>
  <c r="AB21" i="65" s="1"/>
  <c r="AC21" i="65" s="1"/>
  <c r="X18" i="65"/>
  <c r="AB18" i="65" s="1"/>
  <c r="AC18" i="65" s="1"/>
  <c r="X15" i="65"/>
  <c r="AB15" i="65" s="1"/>
  <c r="AC15" i="65" s="1"/>
  <c r="X14" i="65"/>
  <c r="AB14" i="65" s="1"/>
  <c r="X11" i="65"/>
  <c r="AB11" i="65" s="1"/>
  <c r="AC11" i="65" s="1"/>
  <c r="X10" i="65"/>
  <c r="X22" i="65"/>
  <c r="AB22" i="65" s="1"/>
  <c r="AC22" i="65" s="1"/>
  <c r="X16" i="65"/>
  <c r="AB16" i="65" s="1"/>
  <c r="AC16" i="65" s="1"/>
  <c r="X13" i="65"/>
  <c r="AB13" i="65" s="1"/>
  <c r="AC13" i="65" s="1"/>
  <c r="X12" i="65"/>
  <c r="AB12" i="65" s="1"/>
  <c r="X25" i="65"/>
  <c r="AB25" i="65" s="1"/>
  <c r="AC25" i="65" s="1"/>
  <c r="X19" i="65"/>
  <c r="AB19" i="65" s="1"/>
  <c r="AC19" i="65" s="1"/>
  <c r="X17" i="65"/>
  <c r="AB17" i="65" s="1"/>
  <c r="AC17" i="65" s="1"/>
  <c r="X23" i="65"/>
  <c r="AB23" i="65" s="1"/>
  <c r="AC23" i="65" s="1"/>
  <c r="X20" i="65"/>
  <c r="AB20" i="65" s="1"/>
  <c r="AC20" i="65" s="1"/>
  <c r="L82" i="65" l="1"/>
  <c r="K86" i="65" s="1"/>
  <c r="AC12" i="65"/>
  <c r="W48" i="65"/>
  <c r="AB48" i="65" s="1"/>
  <c r="X26" i="65"/>
  <c r="AB10" i="65"/>
  <c r="W49" i="65"/>
  <c r="AB49" i="65" s="1"/>
  <c r="AC14" i="65"/>
  <c r="AB26" i="65" l="1"/>
  <c r="X53" i="65" s="1"/>
  <c r="AB54" i="65" s="1"/>
  <c r="W47" i="65"/>
  <c r="AC10" i="65"/>
  <c r="AC26" i="65" s="1"/>
  <c r="L86" i="65"/>
  <c r="L87" i="65" s="1"/>
  <c r="L90" i="65" s="1"/>
  <c r="L92" i="65" s="1"/>
  <c r="X56" i="65"/>
  <c r="AB57" i="65" s="1"/>
  <c r="AC40" i="65"/>
  <c r="AC44" i="65" l="1"/>
  <c r="AB68" i="65"/>
  <c r="AC68" i="65" s="1"/>
  <c r="AB71" i="65"/>
  <c r="AC71" i="65" s="1"/>
  <c r="W50" i="65"/>
  <c r="AB47" i="65"/>
  <c r="AC50" i="65" s="1"/>
  <c r="AB77" i="65"/>
  <c r="AC77" i="65" s="1"/>
  <c r="AB70" i="65"/>
  <c r="AC70" i="65" s="1"/>
  <c r="AB69" i="65"/>
  <c r="AC69" i="65" s="1"/>
  <c r="AB58" i="65"/>
  <c r="AC58" i="65" s="1"/>
  <c r="AB76" i="65"/>
  <c r="AC76" i="65" s="1"/>
  <c r="AB66" i="65"/>
  <c r="AC66" i="65" s="1"/>
  <c r="L94" i="65"/>
  <c r="AC81" i="65" l="1"/>
  <c r="L84" i="65" s="1"/>
  <c r="B136" i="64" l="1"/>
  <c r="B135" i="64"/>
  <c r="M86" i="64"/>
  <c r="V79" i="64"/>
  <c r="V78" i="64"/>
  <c r="Y77" i="64"/>
  <c r="V77" i="64"/>
  <c r="Y76" i="64"/>
  <c r="G76" i="64"/>
  <c r="I76" i="64" s="1"/>
  <c r="AB75" i="64"/>
  <c r="G75" i="64"/>
  <c r="I75" i="64" s="1"/>
  <c r="Z74" i="64" s="1"/>
  <c r="AB74" i="64"/>
  <c r="Y71" i="64"/>
  <c r="Y70" i="64"/>
  <c r="Y69" i="64"/>
  <c r="Y68" i="64"/>
  <c r="Y66" i="64"/>
  <c r="X65" i="64"/>
  <c r="X64" i="64"/>
  <c r="X61" i="64"/>
  <c r="Y58" i="64" s="1"/>
  <c r="X60" i="64"/>
  <c r="I59" i="64"/>
  <c r="AA56" i="64"/>
  <c r="AA53" i="64"/>
  <c r="Z49" i="64"/>
  <c r="G49" i="64"/>
  <c r="Z48" i="64"/>
  <c r="G48" i="64"/>
  <c r="Z47" i="64"/>
  <c r="G47" i="64"/>
  <c r="X40" i="64"/>
  <c r="K40" i="64"/>
  <c r="X39" i="64"/>
  <c r="AB40" i="64" s="1"/>
  <c r="X37" i="64"/>
  <c r="E37" i="64"/>
  <c r="D37" i="64"/>
  <c r="AC36" i="64"/>
  <c r="AB36" i="64"/>
  <c r="G36" i="64"/>
  <c r="L36" i="64" s="1"/>
  <c r="AB35" i="64"/>
  <c r="AC35" i="64" s="1"/>
  <c r="G35" i="64"/>
  <c r="L35" i="64" s="1"/>
  <c r="AC34" i="64"/>
  <c r="AB34" i="64"/>
  <c r="G34" i="64"/>
  <c r="L34" i="64" s="1"/>
  <c r="AB33" i="64"/>
  <c r="AC33" i="64" s="1"/>
  <c r="G33" i="64"/>
  <c r="L33" i="64" s="1"/>
  <c r="AC32" i="64"/>
  <c r="AB32" i="64"/>
  <c r="G32" i="64"/>
  <c r="L32" i="64" s="1"/>
  <c r="AB31" i="64"/>
  <c r="AC31" i="64" s="1"/>
  <c r="G31" i="64"/>
  <c r="L31" i="64" s="1"/>
  <c r="AC30" i="64"/>
  <c r="AB30" i="64"/>
  <c r="G30" i="64"/>
  <c r="L30" i="64" s="1"/>
  <c r="AB29" i="64"/>
  <c r="AC29" i="64" s="1"/>
  <c r="G29" i="64"/>
  <c r="L29" i="64" s="1"/>
  <c r="AC28" i="64"/>
  <c r="AB28" i="64"/>
  <c r="G28" i="64"/>
  <c r="E26" i="64"/>
  <c r="D26" i="64"/>
  <c r="K25" i="64"/>
  <c r="L25" i="64" s="1"/>
  <c r="G25" i="64"/>
  <c r="G24" i="64"/>
  <c r="I23" i="64"/>
  <c r="I24" i="64" s="1"/>
  <c r="K24" i="64" s="1"/>
  <c r="L24" i="64" s="1"/>
  <c r="G23" i="64"/>
  <c r="G22" i="64"/>
  <c r="K22" i="64" s="1"/>
  <c r="L22" i="64" s="1"/>
  <c r="G21" i="64"/>
  <c r="I20" i="64"/>
  <c r="I21" i="64" s="1"/>
  <c r="K21" i="64" s="1"/>
  <c r="L21" i="64" s="1"/>
  <c r="G20" i="64"/>
  <c r="K20" i="64" s="1"/>
  <c r="L20" i="64" s="1"/>
  <c r="K19" i="64"/>
  <c r="L19" i="64" s="1"/>
  <c r="G19" i="64"/>
  <c r="G18" i="64"/>
  <c r="I17" i="64"/>
  <c r="I18" i="64" s="1"/>
  <c r="K18" i="64" s="1"/>
  <c r="L18" i="64" s="1"/>
  <c r="G17" i="64"/>
  <c r="G16" i="64"/>
  <c r="K16" i="64" s="1"/>
  <c r="L16" i="64" s="1"/>
  <c r="I15" i="64"/>
  <c r="G15" i="64"/>
  <c r="M15" i="64" s="1"/>
  <c r="G14" i="64"/>
  <c r="K14" i="64" s="1"/>
  <c r="I13" i="64"/>
  <c r="G13" i="64"/>
  <c r="G12" i="64"/>
  <c r="K12" i="64" s="1"/>
  <c r="L12" i="64" s="1"/>
  <c r="I11" i="64"/>
  <c r="G11" i="64"/>
  <c r="M11" i="64" s="1"/>
  <c r="G10" i="64"/>
  <c r="AB7" i="64"/>
  <c r="X47" i="64" s="1"/>
  <c r="X7" i="64"/>
  <c r="V4" i="64"/>
  <c r="B3" i="64"/>
  <c r="V2" i="64"/>
  <c r="G37" i="64" l="1"/>
  <c r="AC74" i="64"/>
  <c r="AC37" i="64"/>
  <c r="K11" i="64"/>
  <c r="L11" i="64" s="1"/>
  <c r="K13" i="64"/>
  <c r="M13" i="64"/>
  <c r="K15" i="64"/>
  <c r="L15" i="64" s="1"/>
  <c r="K17" i="64"/>
  <c r="L17" i="64" s="1"/>
  <c r="K23" i="64"/>
  <c r="L23" i="64" s="1"/>
  <c r="X48" i="64"/>
  <c r="X49" i="64"/>
  <c r="G26" i="64"/>
  <c r="K10" i="64"/>
  <c r="L14" i="64"/>
  <c r="L76" i="64"/>
  <c r="Z75" i="64"/>
  <c r="AC75" i="64" s="1"/>
  <c r="L13" i="64"/>
  <c r="C48" i="64"/>
  <c r="K48" i="64" s="1"/>
  <c r="L28" i="64"/>
  <c r="L37" i="64" s="1"/>
  <c r="L75" i="64"/>
  <c r="C49" i="64" l="1"/>
  <c r="K49" i="64" s="1"/>
  <c r="K26" i="64"/>
  <c r="G53" i="64" s="1"/>
  <c r="K54" i="64" s="1"/>
  <c r="C47" i="64"/>
  <c r="L10" i="64"/>
  <c r="L26" i="64" s="1"/>
  <c r="K84" i="64"/>
  <c r="G56" i="64"/>
  <c r="K57" i="64" s="1"/>
  <c r="L40" i="64"/>
  <c r="L44" i="64" l="1"/>
  <c r="C50" i="64"/>
  <c r="K47" i="64"/>
  <c r="L50" i="64" s="1"/>
  <c r="K69" i="64"/>
  <c r="L69" i="64" s="1"/>
  <c r="K72" i="64"/>
  <c r="L72" i="64" s="1"/>
  <c r="K77" i="64"/>
  <c r="L77" i="64" s="1"/>
  <c r="K70" i="64"/>
  <c r="L70" i="64" s="1"/>
  <c r="K67" i="64"/>
  <c r="L67" i="64" s="1"/>
  <c r="K78" i="64"/>
  <c r="L78" i="64" s="1"/>
  <c r="K71" i="64"/>
  <c r="L71" i="64" s="1"/>
  <c r="K59" i="64"/>
  <c r="L59" i="64" s="1"/>
  <c r="X24" i="64"/>
  <c r="AB24" i="64" s="1"/>
  <c r="AC24" i="64" s="1"/>
  <c r="X21" i="64"/>
  <c r="AB21" i="64" s="1"/>
  <c r="AC21" i="64" s="1"/>
  <c r="X18" i="64"/>
  <c r="AB18" i="64" s="1"/>
  <c r="AC18" i="64" s="1"/>
  <c r="X15" i="64"/>
  <c r="AB15" i="64" s="1"/>
  <c r="AC15" i="64" s="1"/>
  <c r="X14" i="64"/>
  <c r="AB14" i="64" s="1"/>
  <c r="X11" i="64"/>
  <c r="AB11" i="64" s="1"/>
  <c r="AC11" i="64" s="1"/>
  <c r="X10" i="64"/>
  <c r="X25" i="64"/>
  <c r="AB25" i="64" s="1"/>
  <c r="AC25" i="64" s="1"/>
  <c r="X22" i="64"/>
  <c r="AB22" i="64" s="1"/>
  <c r="AC22" i="64" s="1"/>
  <c r="X13" i="64"/>
  <c r="AB13" i="64" s="1"/>
  <c r="AC13" i="64" s="1"/>
  <c r="X12" i="64"/>
  <c r="AB12" i="64" s="1"/>
  <c r="X19" i="64"/>
  <c r="AB19" i="64" s="1"/>
  <c r="AC19" i="64" s="1"/>
  <c r="X16" i="64"/>
  <c r="AB16" i="64" s="1"/>
  <c r="AC16" i="64" s="1"/>
  <c r="X23" i="64"/>
  <c r="AB23" i="64" s="1"/>
  <c r="AC23" i="64" s="1"/>
  <c r="X20" i="64"/>
  <c r="AB20" i="64" s="1"/>
  <c r="AC20" i="64" s="1"/>
  <c r="X17" i="64"/>
  <c r="AB17" i="64" s="1"/>
  <c r="AC17" i="64" s="1"/>
  <c r="L82" i="64" l="1"/>
  <c r="AC12" i="64"/>
  <c r="W48" i="64"/>
  <c r="AB48" i="64" s="1"/>
  <c r="X26" i="64"/>
  <c r="AB10" i="64"/>
  <c r="W49" i="64"/>
  <c r="AB49" i="64" s="1"/>
  <c r="AC14" i="64"/>
  <c r="X56" i="64" l="1"/>
  <c r="AB57" i="64" s="1"/>
  <c r="AC40" i="64"/>
  <c r="W47" i="64"/>
  <c r="AC10" i="64"/>
  <c r="AC26" i="64" s="1"/>
  <c r="AC44" i="64" s="1"/>
  <c r="AB26" i="64"/>
  <c r="X53" i="64" s="1"/>
  <c r="AB54" i="64" s="1"/>
  <c r="AB47" i="64" l="1"/>
  <c r="AC50" i="64" s="1"/>
  <c r="W50" i="64"/>
  <c r="AB77" i="64"/>
  <c r="AC77" i="64" s="1"/>
  <c r="AB70" i="64"/>
  <c r="AC70" i="64" s="1"/>
  <c r="AB69" i="64"/>
  <c r="AC69" i="64" s="1"/>
  <c r="AB58" i="64"/>
  <c r="AC58" i="64" s="1"/>
  <c r="AB76" i="64"/>
  <c r="AC76" i="64" s="1"/>
  <c r="AB66" i="64"/>
  <c r="AC66" i="64" s="1"/>
  <c r="AB71" i="64"/>
  <c r="AC71" i="64" s="1"/>
  <c r="AB68" i="64"/>
  <c r="AC68" i="64" s="1"/>
  <c r="AC81" i="64" l="1"/>
  <c r="L84" i="64" s="1"/>
  <c r="K86" i="64" s="1"/>
  <c r="L86" i="64" s="1"/>
  <c r="L87" i="64" s="1"/>
  <c r="L90" i="64" s="1"/>
  <c r="L92" i="64" s="1"/>
  <c r="L94" i="64" l="1"/>
  <c r="B136" i="63" l="1"/>
  <c r="B135" i="63"/>
  <c r="M86" i="63"/>
  <c r="V79" i="63"/>
  <c r="V78" i="63"/>
  <c r="Y77" i="63"/>
  <c r="V77" i="63"/>
  <c r="Y76" i="63"/>
  <c r="G76" i="63"/>
  <c r="I76" i="63" s="1"/>
  <c r="AB75" i="63"/>
  <c r="I75" i="63"/>
  <c r="L75" i="63" s="1"/>
  <c r="G75" i="63"/>
  <c r="AB74" i="63"/>
  <c r="Y71" i="63"/>
  <c r="Y70" i="63"/>
  <c r="Y69" i="63"/>
  <c r="Y68" i="63"/>
  <c r="Y66" i="63"/>
  <c r="X65" i="63"/>
  <c r="X64" i="63"/>
  <c r="X61" i="63"/>
  <c r="Y58" i="63" s="1"/>
  <c r="X60" i="63"/>
  <c r="I59" i="63"/>
  <c r="AA56" i="63"/>
  <c r="AA53" i="63"/>
  <c r="Z49" i="63"/>
  <c r="G49" i="63"/>
  <c r="Z48" i="63"/>
  <c r="G48" i="63"/>
  <c r="Z47" i="63"/>
  <c r="G47" i="63"/>
  <c r="X40" i="63"/>
  <c r="K40" i="63"/>
  <c r="X39" i="63"/>
  <c r="AB40" i="63" s="1"/>
  <c r="X37" i="63"/>
  <c r="E37" i="63"/>
  <c r="D37" i="63"/>
  <c r="AB36" i="63"/>
  <c r="AC36" i="63" s="1"/>
  <c r="G36" i="63"/>
  <c r="L36" i="63" s="1"/>
  <c r="AC35" i="63"/>
  <c r="AB35" i="63"/>
  <c r="G35" i="63"/>
  <c r="L35" i="63" s="1"/>
  <c r="AB34" i="63"/>
  <c r="AC34" i="63" s="1"/>
  <c r="G34" i="63"/>
  <c r="L34" i="63" s="1"/>
  <c r="AC33" i="63"/>
  <c r="AB33" i="63"/>
  <c r="G33" i="63"/>
  <c r="L33" i="63" s="1"/>
  <c r="AB32" i="63"/>
  <c r="AC32" i="63" s="1"/>
  <c r="G32" i="63"/>
  <c r="L32" i="63" s="1"/>
  <c r="AC31" i="63"/>
  <c r="AB31" i="63"/>
  <c r="G31" i="63"/>
  <c r="L31" i="63" s="1"/>
  <c r="AB30" i="63"/>
  <c r="AC30" i="63" s="1"/>
  <c r="G30" i="63"/>
  <c r="L30" i="63" s="1"/>
  <c r="AC29" i="63"/>
  <c r="AB29" i="63"/>
  <c r="G29" i="63"/>
  <c r="L29" i="63" s="1"/>
  <c r="AB28" i="63"/>
  <c r="AC28" i="63" s="1"/>
  <c r="AC37" i="63" s="1"/>
  <c r="G28" i="63"/>
  <c r="E26" i="63"/>
  <c r="D26" i="63"/>
  <c r="G25" i="63"/>
  <c r="K25" i="63" s="1"/>
  <c r="L25" i="63" s="1"/>
  <c r="G24" i="63"/>
  <c r="I23" i="63"/>
  <c r="I24" i="63" s="1"/>
  <c r="K24" i="63" s="1"/>
  <c r="L24" i="63" s="1"/>
  <c r="G23" i="63"/>
  <c r="K23" i="63" s="1"/>
  <c r="L23" i="63" s="1"/>
  <c r="K22" i="63"/>
  <c r="L22" i="63" s="1"/>
  <c r="G22" i="63"/>
  <c r="G21" i="63"/>
  <c r="I20" i="63"/>
  <c r="I21" i="63" s="1"/>
  <c r="K21" i="63" s="1"/>
  <c r="L21" i="63" s="1"/>
  <c r="G20" i="63"/>
  <c r="G19" i="63"/>
  <c r="K19" i="63" s="1"/>
  <c r="L19" i="63" s="1"/>
  <c r="G18" i="63"/>
  <c r="I17" i="63"/>
  <c r="I18" i="63" s="1"/>
  <c r="K18" i="63" s="1"/>
  <c r="L18" i="63" s="1"/>
  <c r="G17" i="63"/>
  <c r="K17" i="63" s="1"/>
  <c r="L17" i="63" s="1"/>
  <c r="K16" i="63"/>
  <c r="L16" i="63" s="1"/>
  <c r="G16" i="63"/>
  <c r="I15" i="63"/>
  <c r="G15" i="63"/>
  <c r="K15" i="63" s="1"/>
  <c r="L15" i="63" s="1"/>
  <c r="G14" i="63"/>
  <c r="K14" i="63" s="1"/>
  <c r="L14" i="63" s="1"/>
  <c r="I13" i="63"/>
  <c r="G13" i="63"/>
  <c r="G12" i="63"/>
  <c r="K12" i="63" s="1"/>
  <c r="L12" i="63" s="1"/>
  <c r="I11" i="63"/>
  <c r="G11" i="63"/>
  <c r="K11" i="63" s="1"/>
  <c r="L11" i="63" s="1"/>
  <c r="G10" i="63"/>
  <c r="AB7" i="63"/>
  <c r="X47" i="63" s="1"/>
  <c r="X7" i="63"/>
  <c r="V4" i="63"/>
  <c r="B3" i="63"/>
  <c r="V2" i="63"/>
  <c r="K13" i="63" l="1"/>
  <c r="L13" i="63" s="1"/>
  <c r="K20" i="63"/>
  <c r="L20" i="63" s="1"/>
  <c r="X49" i="63"/>
  <c r="L76" i="63"/>
  <c r="Z75" i="63"/>
  <c r="AC75" i="63" s="1"/>
  <c r="M15" i="63"/>
  <c r="C49" i="63"/>
  <c r="K49" i="63" s="1"/>
  <c r="C48" i="63"/>
  <c r="K48" i="63" s="1"/>
  <c r="M13" i="63"/>
  <c r="L28" i="63"/>
  <c r="L37" i="63" s="1"/>
  <c r="G37" i="63"/>
  <c r="Z74" i="63"/>
  <c r="M11" i="63"/>
  <c r="G26" i="63"/>
  <c r="K10" i="63"/>
  <c r="AC74" i="63"/>
  <c r="X48" i="63"/>
  <c r="K26" i="63" l="1"/>
  <c r="G53" i="63" s="1"/>
  <c r="K54" i="63" s="1"/>
  <c r="C47" i="63"/>
  <c r="L10" i="63"/>
  <c r="L26" i="63" s="1"/>
  <c r="K84" i="63"/>
  <c r="L40" i="63"/>
  <c r="G56" i="63"/>
  <c r="K57" i="63" s="1"/>
  <c r="L44" i="63" l="1"/>
  <c r="C50" i="63"/>
  <c r="K47" i="63"/>
  <c r="L50" i="63" s="1"/>
  <c r="K77" i="63"/>
  <c r="L77" i="63" s="1"/>
  <c r="K67" i="63"/>
  <c r="L67" i="63" s="1"/>
  <c r="K78" i="63"/>
  <c r="L78" i="63" s="1"/>
  <c r="K71" i="63"/>
  <c r="L71" i="63" s="1"/>
  <c r="K59" i="63"/>
  <c r="L59" i="63" s="1"/>
  <c r="K70" i="63"/>
  <c r="L70" i="63" s="1"/>
  <c r="K69" i="63"/>
  <c r="L69" i="63" s="1"/>
  <c r="K72" i="63"/>
  <c r="L72" i="63" s="1"/>
  <c r="X24" i="63"/>
  <c r="AB24" i="63" s="1"/>
  <c r="AC24" i="63" s="1"/>
  <c r="X21" i="63"/>
  <c r="AB21" i="63" s="1"/>
  <c r="AC21" i="63" s="1"/>
  <c r="X18" i="63"/>
  <c r="AB18" i="63" s="1"/>
  <c r="AC18" i="63" s="1"/>
  <c r="X15" i="63"/>
  <c r="AB15" i="63" s="1"/>
  <c r="AC15" i="63" s="1"/>
  <c r="X14" i="63"/>
  <c r="AB14" i="63" s="1"/>
  <c r="X11" i="63"/>
  <c r="AB11" i="63" s="1"/>
  <c r="AC11" i="63" s="1"/>
  <c r="X10" i="63"/>
  <c r="X22" i="63"/>
  <c r="AB22" i="63" s="1"/>
  <c r="AC22" i="63" s="1"/>
  <c r="X16" i="63"/>
  <c r="AB16" i="63" s="1"/>
  <c r="AC16" i="63" s="1"/>
  <c r="X25" i="63"/>
  <c r="AB25" i="63" s="1"/>
  <c r="AC25" i="63" s="1"/>
  <c r="X19" i="63"/>
  <c r="AB19" i="63" s="1"/>
  <c r="AC19" i="63" s="1"/>
  <c r="X13" i="63"/>
  <c r="AB13" i="63" s="1"/>
  <c r="AC13" i="63" s="1"/>
  <c r="X12" i="63"/>
  <c r="AB12" i="63" s="1"/>
  <c r="X20" i="63"/>
  <c r="AB20" i="63" s="1"/>
  <c r="AC20" i="63" s="1"/>
  <c r="X23" i="63"/>
  <c r="AB23" i="63" s="1"/>
  <c r="AC23" i="63" s="1"/>
  <c r="X17" i="63"/>
  <c r="AB17" i="63" s="1"/>
  <c r="AC17" i="63" s="1"/>
  <c r="L82" i="63" l="1"/>
  <c r="K86" i="63" s="1"/>
  <c r="X26" i="63"/>
  <c r="AB10" i="63"/>
  <c r="W49" i="63"/>
  <c r="AB49" i="63" s="1"/>
  <c r="AC14" i="63"/>
  <c r="AC12" i="63"/>
  <c r="W48" i="63"/>
  <c r="AB48" i="63" s="1"/>
  <c r="AC10" i="63" l="1"/>
  <c r="AC26" i="63" s="1"/>
  <c r="AB26" i="63"/>
  <c r="X53" i="63" s="1"/>
  <c r="AB54" i="63" s="1"/>
  <c r="W47" i="63"/>
  <c r="X56" i="63"/>
  <c r="AB57" i="63" s="1"/>
  <c r="AC40" i="63"/>
  <c r="L86" i="63"/>
  <c r="L87" i="63" s="1"/>
  <c r="L90" i="63" s="1"/>
  <c r="L92" i="63" s="1"/>
  <c r="L94" i="63" l="1"/>
  <c r="AB68" i="63"/>
  <c r="AC68" i="63" s="1"/>
  <c r="AB71" i="63"/>
  <c r="AC71" i="63" s="1"/>
  <c r="W50" i="63"/>
  <c r="AB47" i="63"/>
  <c r="AC50" i="63" s="1"/>
  <c r="AB77" i="63"/>
  <c r="AC77" i="63" s="1"/>
  <c r="AB70" i="63"/>
  <c r="AC70" i="63" s="1"/>
  <c r="AB69" i="63"/>
  <c r="AC69" i="63" s="1"/>
  <c r="AB58" i="63"/>
  <c r="AC58" i="63" s="1"/>
  <c r="AB76" i="63"/>
  <c r="AC76" i="63" s="1"/>
  <c r="AB66" i="63"/>
  <c r="AC66" i="63" s="1"/>
  <c r="AC44" i="63"/>
  <c r="AC81" i="63" l="1"/>
  <c r="L84" i="63" s="1"/>
  <c r="B136" i="62" l="1"/>
  <c r="B135" i="62"/>
  <c r="V79" i="62"/>
  <c r="V78" i="62"/>
  <c r="Y77" i="62"/>
  <c r="V77" i="62"/>
  <c r="Y76" i="62"/>
  <c r="G76" i="62"/>
  <c r="I76" i="62" s="1"/>
  <c r="AB75" i="62"/>
  <c r="G75" i="62"/>
  <c r="I75" i="62" s="1"/>
  <c r="L75" i="62" s="1"/>
  <c r="AB74" i="62"/>
  <c r="Y71" i="62"/>
  <c r="Y70" i="62"/>
  <c r="Y69" i="62"/>
  <c r="Y68" i="62"/>
  <c r="Y66" i="62"/>
  <c r="X65" i="62"/>
  <c r="X64" i="62"/>
  <c r="X61" i="62"/>
  <c r="Y58" i="62" s="1"/>
  <c r="X60" i="62"/>
  <c r="I59" i="62"/>
  <c r="AA56" i="62"/>
  <c r="AA53" i="62"/>
  <c r="Z49" i="62"/>
  <c r="G49" i="62"/>
  <c r="Z48" i="62"/>
  <c r="G48" i="62"/>
  <c r="Z47" i="62"/>
  <c r="G47" i="62"/>
  <c r="X40" i="62"/>
  <c r="K40" i="62"/>
  <c r="X39" i="62"/>
  <c r="AB40" i="62" s="1"/>
  <c r="X37" i="62"/>
  <c r="E37" i="62"/>
  <c r="D37" i="62"/>
  <c r="AB36" i="62"/>
  <c r="AC36" i="62" s="1"/>
  <c r="G36" i="62"/>
  <c r="L36" i="62" s="1"/>
  <c r="AC35" i="62"/>
  <c r="AB35" i="62"/>
  <c r="G35" i="62"/>
  <c r="L35" i="62" s="1"/>
  <c r="AB34" i="62"/>
  <c r="AC34" i="62" s="1"/>
  <c r="G34" i="62"/>
  <c r="L34" i="62" s="1"/>
  <c r="AC33" i="62"/>
  <c r="AB33" i="62"/>
  <c r="G33" i="62"/>
  <c r="L33" i="62" s="1"/>
  <c r="AB32" i="62"/>
  <c r="AC32" i="62" s="1"/>
  <c r="G32" i="62"/>
  <c r="L32" i="62" s="1"/>
  <c r="AC31" i="62"/>
  <c r="AB31" i="62"/>
  <c r="G31" i="62"/>
  <c r="L31" i="62" s="1"/>
  <c r="AB30" i="62"/>
  <c r="AC30" i="62" s="1"/>
  <c r="G30" i="62"/>
  <c r="L30" i="62" s="1"/>
  <c r="AC29" i="62"/>
  <c r="AB29" i="62"/>
  <c r="G29" i="62"/>
  <c r="L29" i="62" s="1"/>
  <c r="AB28" i="62"/>
  <c r="AC28" i="62" s="1"/>
  <c r="AC37" i="62" s="1"/>
  <c r="G28" i="62"/>
  <c r="E26" i="62"/>
  <c r="D26" i="62"/>
  <c r="G25" i="62"/>
  <c r="K25" i="62" s="1"/>
  <c r="L25" i="62" s="1"/>
  <c r="G24" i="62"/>
  <c r="I23" i="62"/>
  <c r="I24" i="62" s="1"/>
  <c r="G23" i="62"/>
  <c r="K23" i="62" s="1"/>
  <c r="L23" i="62" s="1"/>
  <c r="K22" i="62"/>
  <c r="L22" i="62" s="1"/>
  <c r="G22" i="62"/>
  <c r="G21" i="62"/>
  <c r="I20" i="62"/>
  <c r="I21" i="62" s="1"/>
  <c r="G20" i="62"/>
  <c r="G19" i="62"/>
  <c r="K19" i="62" s="1"/>
  <c r="L19" i="62" s="1"/>
  <c r="G18" i="62"/>
  <c r="I17" i="62"/>
  <c r="I18" i="62" s="1"/>
  <c r="G17" i="62"/>
  <c r="K17" i="62" s="1"/>
  <c r="L17" i="62" s="1"/>
  <c r="G16" i="62"/>
  <c r="K16" i="62" s="1"/>
  <c r="L16" i="62" s="1"/>
  <c r="I15" i="62"/>
  <c r="G15" i="62"/>
  <c r="M15" i="62" s="1"/>
  <c r="G14" i="62"/>
  <c r="K14" i="62" s="1"/>
  <c r="L14" i="62" s="1"/>
  <c r="I13" i="62"/>
  <c r="G13" i="62"/>
  <c r="G12" i="62"/>
  <c r="K12" i="62" s="1"/>
  <c r="L12" i="62" s="1"/>
  <c r="I11" i="62"/>
  <c r="G11" i="62"/>
  <c r="M11" i="62" s="1"/>
  <c r="G10" i="62"/>
  <c r="AB7" i="62"/>
  <c r="X47" i="62" s="1"/>
  <c r="X7" i="62"/>
  <c r="V4" i="62"/>
  <c r="B3" i="62"/>
  <c r="V2" i="62"/>
  <c r="K18" i="62" l="1"/>
  <c r="L18" i="62" s="1"/>
  <c r="K21" i="62"/>
  <c r="L21" i="62" s="1"/>
  <c r="K24" i="62"/>
  <c r="L24" i="62" s="1"/>
  <c r="K11" i="62"/>
  <c r="L11" i="62" s="1"/>
  <c r="K13" i="62"/>
  <c r="L13" i="62" s="1"/>
  <c r="K20" i="62"/>
  <c r="L20" i="62" s="1"/>
  <c r="K15" i="62"/>
  <c r="L15" i="62" s="1"/>
  <c r="X49" i="62"/>
  <c r="K10" i="62"/>
  <c r="G26" i="62"/>
  <c r="L76" i="62"/>
  <c r="Z75" i="62"/>
  <c r="AC75" i="62" s="1"/>
  <c r="C48" i="62"/>
  <c r="K48" i="62" s="1"/>
  <c r="M13" i="62"/>
  <c r="G37" i="62"/>
  <c r="L28" i="62"/>
  <c r="L37" i="62" s="1"/>
  <c r="Z74" i="62"/>
  <c r="AC74" i="62" s="1"/>
  <c r="X48" i="62"/>
  <c r="C49" i="62" l="1"/>
  <c r="K49" i="62" s="1"/>
  <c r="K84" i="62"/>
  <c r="G56" i="62"/>
  <c r="K57" i="62" s="1"/>
  <c r="L40" i="62"/>
  <c r="K26" i="62"/>
  <c r="G53" i="62" s="1"/>
  <c r="K54" i="62" s="1"/>
  <c r="C47" i="62"/>
  <c r="L10" i="62"/>
  <c r="L26" i="62" s="1"/>
  <c r="L44" i="62" l="1"/>
  <c r="C50" i="62"/>
  <c r="K47" i="62"/>
  <c r="L50" i="62" s="1"/>
  <c r="K69" i="62"/>
  <c r="L69" i="62" s="1"/>
  <c r="K72" i="62"/>
  <c r="L72" i="62" s="1"/>
  <c r="K77" i="62"/>
  <c r="L77" i="62" s="1"/>
  <c r="K67" i="62"/>
  <c r="L67" i="62" s="1"/>
  <c r="K78" i="62"/>
  <c r="L78" i="62" s="1"/>
  <c r="K71" i="62"/>
  <c r="L71" i="62" s="1"/>
  <c r="K59" i="62"/>
  <c r="L59" i="62" s="1"/>
  <c r="K70" i="62"/>
  <c r="L70" i="62" s="1"/>
  <c r="X24" i="62"/>
  <c r="AB24" i="62" s="1"/>
  <c r="AC24" i="62" s="1"/>
  <c r="X21" i="62"/>
  <c r="AB21" i="62" s="1"/>
  <c r="AC21" i="62" s="1"/>
  <c r="X18" i="62"/>
  <c r="AB18" i="62" s="1"/>
  <c r="AC18" i="62" s="1"/>
  <c r="X15" i="62"/>
  <c r="AB15" i="62" s="1"/>
  <c r="AC15" i="62" s="1"/>
  <c r="X14" i="62"/>
  <c r="AB14" i="62" s="1"/>
  <c r="X11" i="62"/>
  <c r="AB11" i="62" s="1"/>
  <c r="AC11" i="62" s="1"/>
  <c r="X10" i="62"/>
  <c r="X25" i="62"/>
  <c r="AB25" i="62" s="1"/>
  <c r="AC25" i="62" s="1"/>
  <c r="X19" i="62"/>
  <c r="AB19" i="62" s="1"/>
  <c r="AC19" i="62" s="1"/>
  <c r="X22" i="62"/>
  <c r="AB22" i="62" s="1"/>
  <c r="AC22" i="62" s="1"/>
  <c r="X16" i="62"/>
  <c r="AB16" i="62" s="1"/>
  <c r="AC16" i="62" s="1"/>
  <c r="X13" i="62"/>
  <c r="AB13" i="62" s="1"/>
  <c r="AC13" i="62" s="1"/>
  <c r="X12" i="62"/>
  <c r="AB12" i="62" s="1"/>
  <c r="X17" i="62"/>
  <c r="AB17" i="62" s="1"/>
  <c r="AC17" i="62" s="1"/>
  <c r="X23" i="62"/>
  <c r="AB23" i="62" s="1"/>
  <c r="AC23" i="62" s="1"/>
  <c r="X20" i="62"/>
  <c r="AB20" i="62" s="1"/>
  <c r="AC20" i="62" s="1"/>
  <c r="L82" i="62" l="1"/>
  <c r="K86" i="62" s="1"/>
  <c r="W49" i="62"/>
  <c r="AB49" i="62" s="1"/>
  <c r="AC14" i="62"/>
  <c r="X26" i="62"/>
  <c r="AB10" i="62"/>
  <c r="AC12" i="62"/>
  <c r="W48" i="62"/>
  <c r="AB48" i="62" s="1"/>
  <c r="AB26" i="62" l="1"/>
  <c r="X53" i="62" s="1"/>
  <c r="AB54" i="62" s="1"/>
  <c r="W47" i="62"/>
  <c r="AC10" i="62"/>
  <c r="AC26" i="62" s="1"/>
  <c r="L86" i="62"/>
  <c r="L87" i="62" s="1"/>
  <c r="L90" i="62" s="1"/>
  <c r="L92" i="62" s="1"/>
  <c r="X56" i="62"/>
  <c r="AB57" i="62" s="1"/>
  <c r="AC40" i="62"/>
  <c r="AC44" i="62" l="1"/>
  <c r="AB68" i="62"/>
  <c r="AC68" i="62" s="1"/>
  <c r="AB71" i="62"/>
  <c r="AC71" i="62" s="1"/>
  <c r="W50" i="62"/>
  <c r="AB47" i="62"/>
  <c r="AC50" i="62" s="1"/>
  <c r="AB77" i="62"/>
  <c r="AC77" i="62" s="1"/>
  <c r="AB70" i="62"/>
  <c r="AC70" i="62" s="1"/>
  <c r="AB69" i="62"/>
  <c r="AC69" i="62" s="1"/>
  <c r="AB58" i="62"/>
  <c r="AC58" i="62" s="1"/>
  <c r="AB76" i="62"/>
  <c r="AC76" i="62" s="1"/>
  <c r="AB66" i="62"/>
  <c r="AC66" i="62" s="1"/>
  <c r="L94" i="62"/>
  <c r="AC81" i="62" l="1"/>
  <c r="L84" i="62" s="1"/>
  <c r="B136" i="61" l="1"/>
  <c r="B135" i="61"/>
  <c r="M86" i="61"/>
  <c r="V79" i="61"/>
  <c r="V78" i="61"/>
  <c r="Y77" i="61"/>
  <c r="V77" i="61"/>
  <c r="Y76" i="61"/>
  <c r="G76" i="61"/>
  <c r="I76" i="61" s="1"/>
  <c r="AB75" i="61"/>
  <c r="G75" i="61"/>
  <c r="I75" i="61" s="1"/>
  <c r="Z74" i="61" s="1"/>
  <c r="AB74" i="61"/>
  <c r="Y71" i="61"/>
  <c r="Y70" i="61"/>
  <c r="Y69" i="61"/>
  <c r="Y68" i="61"/>
  <c r="Y66" i="61"/>
  <c r="X65" i="61"/>
  <c r="X64" i="61"/>
  <c r="X61" i="61"/>
  <c r="Y58" i="61" s="1"/>
  <c r="X60" i="61"/>
  <c r="I59" i="61"/>
  <c r="AA56" i="61"/>
  <c r="AA53" i="61"/>
  <c r="Z49" i="61"/>
  <c r="G49" i="61"/>
  <c r="Z48" i="61"/>
  <c r="G48" i="61"/>
  <c r="Z47" i="61"/>
  <c r="G47" i="61"/>
  <c r="X40" i="61"/>
  <c r="K40" i="61"/>
  <c r="X39" i="61"/>
  <c r="AB40" i="61" s="1"/>
  <c r="X37" i="61"/>
  <c r="E37" i="61"/>
  <c r="D37" i="61"/>
  <c r="AB36" i="61"/>
  <c r="AC36" i="61" s="1"/>
  <c r="G36" i="61"/>
  <c r="L36" i="61" s="1"/>
  <c r="AC35" i="61"/>
  <c r="AB35" i="61"/>
  <c r="G35" i="61"/>
  <c r="L35" i="61" s="1"/>
  <c r="AB34" i="61"/>
  <c r="AC34" i="61" s="1"/>
  <c r="G34" i="61"/>
  <c r="L34" i="61" s="1"/>
  <c r="AC33" i="61"/>
  <c r="AB33" i="61"/>
  <c r="G33" i="61"/>
  <c r="L33" i="61" s="1"/>
  <c r="AB32" i="61"/>
  <c r="AC32" i="61" s="1"/>
  <c r="G32" i="61"/>
  <c r="L32" i="61" s="1"/>
  <c r="AC31" i="61"/>
  <c r="AB31" i="61"/>
  <c r="G31" i="61"/>
  <c r="L31" i="61" s="1"/>
  <c r="AB30" i="61"/>
  <c r="AC30" i="61" s="1"/>
  <c r="G30" i="61"/>
  <c r="L30" i="61" s="1"/>
  <c r="AC29" i="61"/>
  <c r="AB29" i="61"/>
  <c r="G29" i="61"/>
  <c r="L29" i="61" s="1"/>
  <c r="AB28" i="61"/>
  <c r="AC28" i="61" s="1"/>
  <c r="AC37" i="61" s="1"/>
  <c r="G28" i="61"/>
  <c r="E26" i="61"/>
  <c r="D26" i="61"/>
  <c r="G25" i="61"/>
  <c r="K25" i="61" s="1"/>
  <c r="L25" i="61" s="1"/>
  <c r="G24" i="61"/>
  <c r="I23" i="61"/>
  <c r="I24" i="61" s="1"/>
  <c r="K24" i="61" s="1"/>
  <c r="L24" i="61" s="1"/>
  <c r="G23" i="61"/>
  <c r="K23" i="61" s="1"/>
  <c r="L23" i="61" s="1"/>
  <c r="G22" i="61"/>
  <c r="K22" i="61" s="1"/>
  <c r="L22" i="61" s="1"/>
  <c r="G21" i="61"/>
  <c r="I20" i="61"/>
  <c r="I21" i="61" s="1"/>
  <c r="K21" i="61" s="1"/>
  <c r="L21" i="61" s="1"/>
  <c r="G20" i="61"/>
  <c r="G19" i="61"/>
  <c r="K19" i="61" s="1"/>
  <c r="L19" i="61" s="1"/>
  <c r="G18" i="61"/>
  <c r="I17" i="61"/>
  <c r="I18" i="61" s="1"/>
  <c r="K18" i="61" s="1"/>
  <c r="L18" i="61" s="1"/>
  <c r="G17" i="61"/>
  <c r="K17" i="61" s="1"/>
  <c r="L17" i="61" s="1"/>
  <c r="K16" i="61"/>
  <c r="L16" i="61" s="1"/>
  <c r="G16" i="61"/>
  <c r="I15" i="61"/>
  <c r="G15" i="61"/>
  <c r="M15" i="61" s="1"/>
  <c r="G14" i="61"/>
  <c r="K14" i="61" s="1"/>
  <c r="L14" i="61" s="1"/>
  <c r="I13" i="61"/>
  <c r="G13" i="61"/>
  <c r="G12" i="61"/>
  <c r="K12" i="61" s="1"/>
  <c r="L12" i="61" s="1"/>
  <c r="I11" i="61"/>
  <c r="G11" i="61"/>
  <c r="M11" i="61" s="1"/>
  <c r="G10" i="61"/>
  <c r="AB7" i="61"/>
  <c r="X47" i="61" s="1"/>
  <c r="X7" i="61"/>
  <c r="V4" i="61"/>
  <c r="B3" i="61"/>
  <c r="V2" i="61"/>
  <c r="AC74" i="61" l="1"/>
  <c r="K11" i="61"/>
  <c r="L11" i="61" s="1"/>
  <c r="K13" i="61"/>
  <c r="L13" i="61" s="1"/>
  <c r="K20" i="61"/>
  <c r="L20" i="61" s="1"/>
  <c r="K15" i="61"/>
  <c r="L15" i="61" s="1"/>
  <c r="X49" i="61"/>
  <c r="M13" i="61"/>
  <c r="L28" i="61"/>
  <c r="L37" i="61" s="1"/>
  <c r="G37" i="61"/>
  <c r="L76" i="61"/>
  <c r="Z75" i="61"/>
  <c r="AC75" i="61" s="1"/>
  <c r="C49" i="61"/>
  <c r="K49" i="61" s="1"/>
  <c r="C48" i="61"/>
  <c r="K48" i="61" s="1"/>
  <c r="K10" i="61"/>
  <c r="G26" i="61"/>
  <c r="X48" i="61"/>
  <c r="L75" i="61"/>
  <c r="K84" i="61" l="1"/>
  <c r="G56" i="61"/>
  <c r="K57" i="61" s="1"/>
  <c r="L40" i="61"/>
  <c r="K26" i="61"/>
  <c r="G53" i="61" s="1"/>
  <c r="K54" i="61" s="1"/>
  <c r="C47" i="61"/>
  <c r="L10" i="61"/>
  <c r="L26" i="61" s="1"/>
  <c r="L44" i="61" l="1"/>
  <c r="K69" i="61"/>
  <c r="L69" i="61" s="1"/>
  <c r="K72" i="61"/>
  <c r="L72" i="61" s="1"/>
  <c r="C50" i="61"/>
  <c r="K47" i="61"/>
  <c r="L50" i="61" s="1"/>
  <c r="K77" i="61"/>
  <c r="L77" i="61" s="1"/>
  <c r="K70" i="61"/>
  <c r="L70" i="61" s="1"/>
  <c r="K67" i="61"/>
  <c r="L67" i="61" s="1"/>
  <c r="K78" i="61"/>
  <c r="L78" i="61" s="1"/>
  <c r="K71" i="61"/>
  <c r="L71" i="61" s="1"/>
  <c r="K59" i="61"/>
  <c r="L59" i="61" s="1"/>
  <c r="X24" i="61"/>
  <c r="AB24" i="61" s="1"/>
  <c r="AC24" i="61" s="1"/>
  <c r="X21" i="61"/>
  <c r="AB21" i="61" s="1"/>
  <c r="AC21" i="61" s="1"/>
  <c r="X18" i="61"/>
  <c r="AB18" i="61" s="1"/>
  <c r="AC18" i="61" s="1"/>
  <c r="X15" i="61"/>
  <c r="AB15" i="61" s="1"/>
  <c r="AC15" i="61" s="1"/>
  <c r="X14" i="61"/>
  <c r="AB14" i="61" s="1"/>
  <c r="X11" i="61"/>
  <c r="AB11" i="61" s="1"/>
  <c r="AC11" i="61" s="1"/>
  <c r="X10" i="61"/>
  <c r="X25" i="61"/>
  <c r="AB25" i="61" s="1"/>
  <c r="AC25" i="61" s="1"/>
  <c r="X19" i="61"/>
  <c r="AB19" i="61" s="1"/>
  <c r="AC19" i="61" s="1"/>
  <c r="X22" i="61"/>
  <c r="AB22" i="61" s="1"/>
  <c r="AC22" i="61" s="1"/>
  <c r="X16" i="61"/>
  <c r="AB16" i="61" s="1"/>
  <c r="AC16" i="61" s="1"/>
  <c r="X13" i="61"/>
  <c r="AB13" i="61" s="1"/>
  <c r="AC13" i="61" s="1"/>
  <c r="X12" i="61"/>
  <c r="AB12" i="61" s="1"/>
  <c r="X23" i="61"/>
  <c r="AB23" i="61" s="1"/>
  <c r="AC23" i="61" s="1"/>
  <c r="X20" i="61"/>
  <c r="AB20" i="61" s="1"/>
  <c r="AC20" i="61" s="1"/>
  <c r="X17" i="61"/>
  <c r="AB17" i="61" s="1"/>
  <c r="AC17" i="61" s="1"/>
  <c r="X26" i="61" l="1"/>
  <c r="AB10" i="61"/>
  <c r="W49" i="61"/>
  <c r="AB49" i="61" s="1"/>
  <c r="AC14" i="61"/>
  <c r="AC12" i="61"/>
  <c r="W48" i="61"/>
  <c r="AB48" i="61" s="1"/>
  <c r="L82" i="61"/>
  <c r="AB26" i="61" l="1"/>
  <c r="X53" i="61" s="1"/>
  <c r="AB54" i="61" s="1"/>
  <c r="W47" i="61"/>
  <c r="AC10" i="61"/>
  <c r="AC26" i="61" s="1"/>
  <c r="K86" i="61"/>
  <c r="X56" i="61"/>
  <c r="AB57" i="61" s="1"/>
  <c r="AC40" i="61"/>
  <c r="AC44" i="61" l="1"/>
  <c r="AB71" i="61"/>
  <c r="AC71" i="61" s="1"/>
  <c r="AB68" i="61"/>
  <c r="AC68" i="61" s="1"/>
  <c r="W50" i="61"/>
  <c r="AB47" i="61"/>
  <c r="AC50" i="61" s="1"/>
  <c r="L86" i="61"/>
  <c r="L87" i="61" s="1"/>
  <c r="L90" i="61" s="1"/>
  <c r="L92" i="61" s="1"/>
  <c r="AB77" i="61"/>
  <c r="AC77" i="61" s="1"/>
  <c r="AB70" i="61"/>
  <c r="AC70" i="61" s="1"/>
  <c r="AB66" i="61"/>
  <c r="AC66" i="61" s="1"/>
  <c r="AB69" i="61"/>
  <c r="AC69" i="61" s="1"/>
  <c r="AB58" i="61"/>
  <c r="AC58" i="61" s="1"/>
  <c r="AB76" i="61"/>
  <c r="AC76" i="61" s="1"/>
  <c r="L94" i="61" l="1"/>
  <c r="AC81" i="61"/>
  <c r="L84" i="61" s="1"/>
  <c r="B136" i="60" l="1"/>
  <c r="B135" i="60"/>
  <c r="M86" i="60"/>
  <c r="V79" i="60"/>
  <c r="V78" i="60"/>
  <c r="Y77" i="60"/>
  <c r="V77" i="60"/>
  <c r="Y76" i="60"/>
  <c r="G76" i="60"/>
  <c r="I76" i="60" s="1"/>
  <c r="AB75" i="60"/>
  <c r="G75" i="60"/>
  <c r="I75" i="60" s="1"/>
  <c r="AB74" i="60"/>
  <c r="Y71" i="60"/>
  <c r="Y70" i="60"/>
  <c r="Y69" i="60"/>
  <c r="Y68" i="60"/>
  <c r="Y66" i="60"/>
  <c r="X65" i="60"/>
  <c r="X64" i="60"/>
  <c r="X61" i="60"/>
  <c r="X60" i="60"/>
  <c r="I59" i="60"/>
  <c r="Y58" i="60"/>
  <c r="AA56" i="60"/>
  <c r="AA53" i="60"/>
  <c r="Z49" i="60"/>
  <c r="G49" i="60"/>
  <c r="Z48" i="60"/>
  <c r="G48" i="60"/>
  <c r="Z47" i="60"/>
  <c r="G47" i="60"/>
  <c r="X40" i="60"/>
  <c r="K40" i="60"/>
  <c r="X39" i="60"/>
  <c r="AB40" i="60" s="1"/>
  <c r="X37" i="60"/>
  <c r="E37" i="60"/>
  <c r="D37" i="60"/>
  <c r="AB36" i="60"/>
  <c r="AC36" i="60" s="1"/>
  <c r="G36" i="60"/>
  <c r="L36" i="60" s="1"/>
  <c r="AB35" i="60"/>
  <c r="AC35" i="60" s="1"/>
  <c r="G35" i="60"/>
  <c r="L35" i="60" s="1"/>
  <c r="AB34" i="60"/>
  <c r="AC34" i="60" s="1"/>
  <c r="G34" i="60"/>
  <c r="L34" i="60" s="1"/>
  <c r="AB33" i="60"/>
  <c r="AC33" i="60" s="1"/>
  <c r="G33" i="60"/>
  <c r="L33" i="60" s="1"/>
  <c r="AB32" i="60"/>
  <c r="AC32" i="60" s="1"/>
  <c r="G32" i="60"/>
  <c r="L32" i="60" s="1"/>
  <c r="AB31" i="60"/>
  <c r="AC31" i="60" s="1"/>
  <c r="G31" i="60"/>
  <c r="L31" i="60" s="1"/>
  <c r="AB30" i="60"/>
  <c r="AC30" i="60" s="1"/>
  <c r="G30" i="60"/>
  <c r="L30" i="60" s="1"/>
  <c r="AB29" i="60"/>
  <c r="AC29" i="60" s="1"/>
  <c r="G29" i="60"/>
  <c r="L29" i="60" s="1"/>
  <c r="AB28" i="60"/>
  <c r="AC28" i="60" s="1"/>
  <c r="AC37" i="60" s="1"/>
  <c r="G28" i="60"/>
  <c r="E26" i="60"/>
  <c r="D26" i="60"/>
  <c r="G25" i="60"/>
  <c r="K25" i="60" s="1"/>
  <c r="L25" i="60" s="1"/>
  <c r="G24" i="60"/>
  <c r="I23" i="60"/>
  <c r="I24" i="60" s="1"/>
  <c r="G23" i="60"/>
  <c r="G22" i="60"/>
  <c r="K22" i="60" s="1"/>
  <c r="L22" i="60" s="1"/>
  <c r="G21" i="60"/>
  <c r="I20" i="60"/>
  <c r="I21" i="60" s="1"/>
  <c r="G20" i="60"/>
  <c r="K20" i="60" s="1"/>
  <c r="L20" i="60" s="1"/>
  <c r="G19" i="60"/>
  <c r="K19" i="60" s="1"/>
  <c r="L19" i="60" s="1"/>
  <c r="G18" i="60"/>
  <c r="I17" i="60"/>
  <c r="I18" i="60" s="1"/>
  <c r="G17" i="60"/>
  <c r="G16" i="60"/>
  <c r="K16" i="60" s="1"/>
  <c r="L16" i="60" s="1"/>
  <c r="I15" i="60"/>
  <c r="G15" i="60"/>
  <c r="G14" i="60"/>
  <c r="K14" i="60" s="1"/>
  <c r="L14" i="60" s="1"/>
  <c r="I13" i="60"/>
  <c r="G13" i="60"/>
  <c r="G12" i="60"/>
  <c r="K12" i="60" s="1"/>
  <c r="L12" i="60" s="1"/>
  <c r="I11" i="60"/>
  <c r="G11" i="60"/>
  <c r="G10" i="60"/>
  <c r="K10" i="60" s="1"/>
  <c r="AB7" i="60"/>
  <c r="X47" i="60" s="1"/>
  <c r="X7" i="60"/>
  <c r="V4" i="60"/>
  <c r="B3" i="60"/>
  <c r="V2" i="60"/>
  <c r="M11" i="60" l="1"/>
  <c r="M15" i="60"/>
  <c r="K11" i="60"/>
  <c r="L11" i="60" s="1"/>
  <c r="K15" i="60"/>
  <c r="L15" i="60" s="1"/>
  <c r="K18" i="60"/>
  <c r="L18" i="60" s="1"/>
  <c r="K24" i="60"/>
  <c r="L24" i="60" s="1"/>
  <c r="G37" i="60"/>
  <c r="G26" i="60"/>
  <c r="K84" i="60" s="1"/>
  <c r="K13" i="60"/>
  <c r="C48" i="60" s="1"/>
  <c r="K48" i="60" s="1"/>
  <c r="K17" i="60"/>
  <c r="L17" i="60" s="1"/>
  <c r="K21" i="60"/>
  <c r="L21" i="60" s="1"/>
  <c r="K23" i="60"/>
  <c r="L23" i="60" s="1"/>
  <c r="L28" i="60"/>
  <c r="L37" i="60" s="1"/>
  <c r="X48" i="60"/>
  <c r="L40" i="60"/>
  <c r="L76" i="60"/>
  <c r="Z75" i="60"/>
  <c r="AC75" i="60" s="1"/>
  <c r="L13" i="60"/>
  <c r="L75" i="60"/>
  <c r="Z74" i="60"/>
  <c r="AC74" i="60" s="1"/>
  <c r="M13" i="60"/>
  <c r="X49" i="60"/>
  <c r="L10" i="60"/>
  <c r="C47" i="60"/>
  <c r="C49" i="60" l="1"/>
  <c r="K49" i="60" s="1"/>
  <c r="K26" i="60"/>
  <c r="G53" i="60" s="1"/>
  <c r="K54" i="60" s="1"/>
  <c r="G56" i="60"/>
  <c r="K57" i="60" s="1"/>
  <c r="K72" i="60" s="1"/>
  <c r="L72" i="60" s="1"/>
  <c r="L26" i="60"/>
  <c r="L44" i="60" s="1"/>
  <c r="K77" i="60"/>
  <c r="L77" i="60" s="1"/>
  <c r="K71" i="60"/>
  <c r="L71" i="60" s="1"/>
  <c r="K67" i="60"/>
  <c r="L67" i="60" s="1"/>
  <c r="K78" i="60"/>
  <c r="L78" i="60" s="1"/>
  <c r="K59" i="60"/>
  <c r="L59" i="60" s="1"/>
  <c r="K70" i="60"/>
  <c r="L70" i="60" s="1"/>
  <c r="K69" i="60"/>
  <c r="L69" i="60" s="1"/>
  <c r="X24" i="60"/>
  <c r="AB24" i="60" s="1"/>
  <c r="AC24" i="60" s="1"/>
  <c r="X21" i="60"/>
  <c r="AB21" i="60" s="1"/>
  <c r="AC21" i="60" s="1"/>
  <c r="X18" i="60"/>
  <c r="AB18" i="60" s="1"/>
  <c r="AC18" i="60" s="1"/>
  <c r="X15" i="60"/>
  <c r="AB15" i="60" s="1"/>
  <c r="AC15" i="60" s="1"/>
  <c r="X14" i="60"/>
  <c r="AB14" i="60" s="1"/>
  <c r="X10" i="60"/>
  <c r="X25" i="60"/>
  <c r="AB25" i="60" s="1"/>
  <c r="AC25" i="60" s="1"/>
  <c r="X19" i="60"/>
  <c r="AB19" i="60" s="1"/>
  <c r="AC19" i="60" s="1"/>
  <c r="X22" i="60"/>
  <c r="AB22" i="60" s="1"/>
  <c r="AC22" i="60" s="1"/>
  <c r="X13" i="60"/>
  <c r="AB13" i="60" s="1"/>
  <c r="AC13" i="60" s="1"/>
  <c r="X12" i="60"/>
  <c r="AB12" i="60" s="1"/>
  <c r="X23" i="60"/>
  <c r="AB23" i="60" s="1"/>
  <c r="AC23" i="60" s="1"/>
  <c r="X20" i="60"/>
  <c r="AB20" i="60" s="1"/>
  <c r="AC20" i="60" s="1"/>
  <c r="X17" i="60"/>
  <c r="AB17" i="60" s="1"/>
  <c r="AC17" i="60" s="1"/>
  <c r="X11" i="60"/>
  <c r="AB11" i="60" s="1"/>
  <c r="AC11" i="60" s="1"/>
  <c r="X16" i="60"/>
  <c r="AB16" i="60" s="1"/>
  <c r="AC16" i="60" s="1"/>
  <c r="C50" i="60"/>
  <c r="K47" i="60"/>
  <c r="L50" i="60" l="1"/>
  <c r="L82" i="60" s="1"/>
  <c r="K86" i="60" s="1"/>
  <c r="X26" i="60"/>
  <c r="AB10" i="60"/>
  <c r="W49" i="60"/>
  <c r="AB49" i="60" s="1"/>
  <c r="AC14" i="60"/>
  <c r="AC12" i="60"/>
  <c r="W48" i="60"/>
  <c r="AB48" i="60" s="1"/>
  <c r="X56" i="60" l="1"/>
  <c r="AB57" i="60" s="1"/>
  <c r="AC40" i="60"/>
  <c r="L86" i="60"/>
  <c r="L87" i="60" s="1"/>
  <c r="L90" i="60" s="1"/>
  <c r="L92" i="60" s="1"/>
  <c r="AB26" i="60"/>
  <c r="X53" i="60" s="1"/>
  <c r="AB54" i="60" s="1"/>
  <c r="W47" i="60"/>
  <c r="AC10" i="60"/>
  <c r="AC26" i="60" s="1"/>
  <c r="AC44" i="60" s="1"/>
  <c r="L94" i="60" l="1"/>
  <c r="AB47" i="60"/>
  <c r="AC50" i="60" s="1"/>
  <c r="W50" i="60"/>
  <c r="AB77" i="60"/>
  <c r="AC77" i="60" s="1"/>
  <c r="AB70" i="60"/>
  <c r="AC70" i="60" s="1"/>
  <c r="AB69" i="60"/>
  <c r="AC69" i="60" s="1"/>
  <c r="AB58" i="60"/>
  <c r="AC58" i="60" s="1"/>
  <c r="AB76" i="60"/>
  <c r="AC76" i="60" s="1"/>
  <c r="AB66" i="60"/>
  <c r="AC66" i="60" s="1"/>
  <c r="AB68" i="60"/>
  <c r="AC68" i="60" s="1"/>
  <c r="AB71" i="60"/>
  <c r="AC71" i="60" s="1"/>
  <c r="AC81" i="60" l="1"/>
  <c r="L84" i="60" s="1"/>
  <c r="B136" i="59"/>
  <c r="B135" i="59"/>
  <c r="V79" i="59"/>
  <c r="V78" i="59"/>
  <c r="Y77" i="59"/>
  <c r="V77" i="59"/>
  <c r="Y76" i="59"/>
  <c r="G76" i="59"/>
  <c r="I76" i="59" s="1"/>
  <c r="AB75" i="59"/>
  <c r="G75" i="59"/>
  <c r="I75" i="59" s="1"/>
  <c r="AB74" i="59"/>
  <c r="Y71" i="59"/>
  <c r="Y70" i="59"/>
  <c r="Y69" i="59"/>
  <c r="Y68" i="59"/>
  <c r="Y66" i="59"/>
  <c r="X65" i="59"/>
  <c r="X64" i="59"/>
  <c r="X61" i="59"/>
  <c r="X60" i="59"/>
  <c r="I59" i="59"/>
  <c r="Y58" i="59"/>
  <c r="AA56" i="59"/>
  <c r="AA53" i="59"/>
  <c r="Z49" i="59"/>
  <c r="G49" i="59"/>
  <c r="Z48" i="59"/>
  <c r="G48" i="59"/>
  <c r="Z47" i="59"/>
  <c r="G47" i="59"/>
  <c r="X40" i="59"/>
  <c r="K40" i="59"/>
  <c r="X39" i="59"/>
  <c r="AB40" i="59" s="1"/>
  <c r="X37" i="59"/>
  <c r="E37" i="59"/>
  <c r="D37" i="59"/>
  <c r="AB36" i="59"/>
  <c r="AC36" i="59" s="1"/>
  <c r="G36" i="59"/>
  <c r="L36" i="59" s="1"/>
  <c r="AB35" i="59"/>
  <c r="AC35" i="59" s="1"/>
  <c r="G35" i="59"/>
  <c r="L35" i="59" s="1"/>
  <c r="AB34" i="59"/>
  <c r="AC34" i="59" s="1"/>
  <c r="G34" i="59"/>
  <c r="L34" i="59" s="1"/>
  <c r="AB33" i="59"/>
  <c r="AC33" i="59" s="1"/>
  <c r="G33" i="59"/>
  <c r="L33" i="59" s="1"/>
  <c r="AB32" i="59"/>
  <c r="AC32" i="59" s="1"/>
  <c r="G32" i="59"/>
  <c r="L32" i="59" s="1"/>
  <c r="AB31" i="59"/>
  <c r="AC31" i="59" s="1"/>
  <c r="G31" i="59"/>
  <c r="L31" i="59" s="1"/>
  <c r="AB30" i="59"/>
  <c r="AC30" i="59" s="1"/>
  <c r="G30" i="59"/>
  <c r="L30" i="59" s="1"/>
  <c r="AB29" i="59"/>
  <c r="AC29" i="59" s="1"/>
  <c r="G29" i="59"/>
  <c r="L29" i="59" s="1"/>
  <c r="AB28" i="59"/>
  <c r="AC28" i="59" s="1"/>
  <c r="AC37" i="59" s="1"/>
  <c r="G28" i="59"/>
  <c r="E26" i="59"/>
  <c r="D26" i="59"/>
  <c r="G25" i="59"/>
  <c r="K25" i="59" s="1"/>
  <c r="L25" i="59" s="1"/>
  <c r="G24" i="59"/>
  <c r="I23" i="59"/>
  <c r="I24" i="59" s="1"/>
  <c r="K24" i="59" s="1"/>
  <c r="L24" i="59" s="1"/>
  <c r="G23" i="59"/>
  <c r="G22" i="59"/>
  <c r="K22" i="59" s="1"/>
  <c r="L22" i="59" s="1"/>
  <c r="G21" i="59"/>
  <c r="I20" i="59"/>
  <c r="I21" i="59" s="1"/>
  <c r="G20" i="59"/>
  <c r="K20" i="59" s="1"/>
  <c r="L20" i="59" s="1"/>
  <c r="G19" i="59"/>
  <c r="K19" i="59" s="1"/>
  <c r="L19" i="59" s="1"/>
  <c r="G18" i="59"/>
  <c r="I17" i="59"/>
  <c r="I18" i="59" s="1"/>
  <c r="K18" i="59" s="1"/>
  <c r="L18" i="59" s="1"/>
  <c r="G17" i="59"/>
  <c r="K16" i="59"/>
  <c r="L16" i="59" s="1"/>
  <c r="G16" i="59"/>
  <c r="I15" i="59"/>
  <c r="K15" i="59" s="1"/>
  <c r="L15" i="59" s="1"/>
  <c r="G15" i="59"/>
  <c r="M15" i="59" s="1"/>
  <c r="G14" i="59"/>
  <c r="K14" i="59" s="1"/>
  <c r="L14" i="59" s="1"/>
  <c r="I13" i="59"/>
  <c r="G13" i="59"/>
  <c r="G12" i="59"/>
  <c r="K12" i="59" s="1"/>
  <c r="L12" i="59" s="1"/>
  <c r="I11" i="59"/>
  <c r="K11" i="59" s="1"/>
  <c r="L11" i="59" s="1"/>
  <c r="G11" i="59"/>
  <c r="M11" i="59" s="1"/>
  <c r="G10" i="59"/>
  <c r="K10" i="59" s="1"/>
  <c r="AB7" i="59"/>
  <c r="X47" i="59" s="1"/>
  <c r="X7" i="59"/>
  <c r="V4" i="59"/>
  <c r="B3" i="59"/>
  <c r="V2" i="59"/>
  <c r="G37" i="59" l="1"/>
  <c r="G26" i="59"/>
  <c r="K84" i="59" s="1"/>
  <c r="X48" i="59"/>
  <c r="K13" i="59"/>
  <c r="K26" i="59" s="1"/>
  <c r="G53" i="59" s="1"/>
  <c r="K54" i="59" s="1"/>
  <c r="K17" i="59"/>
  <c r="L17" i="59" s="1"/>
  <c r="K21" i="59"/>
  <c r="L21" i="59" s="1"/>
  <c r="K23" i="59"/>
  <c r="L23" i="59" s="1"/>
  <c r="L28" i="59"/>
  <c r="L37" i="59" s="1"/>
  <c r="L76" i="59"/>
  <c r="Z75" i="59"/>
  <c r="AC75" i="59" s="1"/>
  <c r="L75" i="59"/>
  <c r="Z74" i="59"/>
  <c r="AC74" i="59" s="1"/>
  <c r="M13" i="59"/>
  <c r="C49" i="59"/>
  <c r="K49" i="59" s="1"/>
  <c r="X49" i="59"/>
  <c r="L10" i="59"/>
  <c r="C47" i="59"/>
  <c r="L40" i="59" l="1"/>
  <c r="L13" i="59"/>
  <c r="C48" i="59"/>
  <c r="K48" i="59" s="1"/>
  <c r="G56" i="59"/>
  <c r="K57" i="59" s="1"/>
  <c r="K77" i="59"/>
  <c r="L77" i="59" s="1"/>
  <c r="K67" i="59"/>
  <c r="L67" i="59" s="1"/>
  <c r="K70" i="59"/>
  <c r="L70" i="59" s="1"/>
  <c r="K71" i="59"/>
  <c r="L71" i="59" s="1"/>
  <c r="K78" i="59"/>
  <c r="L78" i="59" s="1"/>
  <c r="K59" i="59"/>
  <c r="L59" i="59" s="1"/>
  <c r="C50" i="59"/>
  <c r="K47" i="59"/>
  <c r="L50" i="59" s="1"/>
  <c r="K69" i="59"/>
  <c r="L69" i="59" s="1"/>
  <c r="K72" i="59"/>
  <c r="L72" i="59" s="1"/>
  <c r="L26" i="59"/>
  <c r="L44" i="59" s="1"/>
  <c r="X24" i="59"/>
  <c r="AB24" i="59" s="1"/>
  <c r="AC24" i="59" s="1"/>
  <c r="X21" i="59"/>
  <c r="AB21" i="59" s="1"/>
  <c r="AC21" i="59" s="1"/>
  <c r="X18" i="59"/>
  <c r="AB18" i="59" s="1"/>
  <c r="AC18" i="59" s="1"/>
  <c r="X15" i="59"/>
  <c r="AB15" i="59" s="1"/>
  <c r="AC15" i="59" s="1"/>
  <c r="X14" i="59"/>
  <c r="AB14" i="59" s="1"/>
  <c r="X11" i="59"/>
  <c r="AB11" i="59" s="1"/>
  <c r="AC11" i="59" s="1"/>
  <c r="X10" i="59"/>
  <c r="X25" i="59"/>
  <c r="AB25" i="59" s="1"/>
  <c r="AC25" i="59" s="1"/>
  <c r="X16" i="59"/>
  <c r="AB16" i="59" s="1"/>
  <c r="AC16" i="59" s="1"/>
  <c r="X13" i="59"/>
  <c r="AB13" i="59" s="1"/>
  <c r="AC13" i="59" s="1"/>
  <c r="X12" i="59"/>
  <c r="AB12" i="59" s="1"/>
  <c r="X19" i="59"/>
  <c r="AB19" i="59" s="1"/>
  <c r="AC19" i="59" s="1"/>
  <c r="X23" i="59"/>
  <c r="AB23" i="59" s="1"/>
  <c r="AC23" i="59" s="1"/>
  <c r="X20" i="59"/>
  <c r="AB20" i="59" s="1"/>
  <c r="AC20" i="59" s="1"/>
  <c r="X17" i="59"/>
  <c r="AB17" i="59" s="1"/>
  <c r="AC17" i="59" s="1"/>
  <c r="X22" i="59"/>
  <c r="AB22" i="59" s="1"/>
  <c r="AC22" i="59" s="1"/>
  <c r="W49" i="59" l="1"/>
  <c r="AB49" i="59" s="1"/>
  <c r="AC14" i="59"/>
  <c r="L82" i="59"/>
  <c r="AC12" i="59"/>
  <c r="W48" i="59"/>
  <c r="AB48" i="59" s="1"/>
  <c r="AB10" i="59"/>
  <c r="X26" i="59"/>
  <c r="X56" i="59" l="1"/>
  <c r="AB57" i="59" s="1"/>
  <c r="AC40" i="59"/>
  <c r="K86" i="59"/>
  <c r="AC10" i="59"/>
  <c r="AC26" i="59" s="1"/>
  <c r="AC44" i="59" s="1"/>
  <c r="AB26" i="59"/>
  <c r="X53" i="59" s="1"/>
  <c r="AB54" i="59" s="1"/>
  <c r="W47" i="59"/>
  <c r="L86" i="59" l="1"/>
  <c r="L87" i="59" s="1"/>
  <c r="L90" i="59" s="1"/>
  <c r="L92" i="59" s="1"/>
  <c r="W50" i="59"/>
  <c r="AB47" i="59"/>
  <c r="AC50" i="59" s="1"/>
  <c r="AB77" i="59"/>
  <c r="AC77" i="59" s="1"/>
  <c r="AB70" i="59"/>
  <c r="AC70" i="59" s="1"/>
  <c r="AB76" i="59"/>
  <c r="AC76" i="59" s="1"/>
  <c r="AB69" i="59"/>
  <c r="AC69" i="59" s="1"/>
  <c r="AB58" i="59"/>
  <c r="AC58" i="59" s="1"/>
  <c r="AB66" i="59"/>
  <c r="AC66" i="59" s="1"/>
  <c r="AB68" i="59"/>
  <c r="AC68" i="59" s="1"/>
  <c r="AB71" i="59"/>
  <c r="AC71" i="59" s="1"/>
  <c r="AC81" i="59" l="1"/>
  <c r="L84" i="59" s="1"/>
  <c r="L94" i="59"/>
  <c r="B136" i="58" l="1"/>
  <c r="B135" i="58"/>
  <c r="M86" i="58"/>
  <c r="V79" i="58"/>
  <c r="V78" i="58"/>
  <c r="Y77" i="58"/>
  <c r="V77" i="58"/>
  <c r="Y76" i="58"/>
  <c r="G76" i="58"/>
  <c r="I76" i="58" s="1"/>
  <c r="AB75" i="58"/>
  <c r="G75" i="58"/>
  <c r="I75" i="58" s="1"/>
  <c r="L75" i="58" s="1"/>
  <c r="AB74" i="58"/>
  <c r="Y71" i="58"/>
  <c r="Y70" i="58"/>
  <c r="Y69" i="58"/>
  <c r="Y68" i="58"/>
  <c r="Y66" i="58"/>
  <c r="X65" i="58"/>
  <c r="X64" i="58"/>
  <c r="X61" i="58"/>
  <c r="Y58" i="58" s="1"/>
  <c r="X60" i="58"/>
  <c r="I59" i="58"/>
  <c r="AA56" i="58"/>
  <c r="AA53" i="58"/>
  <c r="Z49" i="58"/>
  <c r="G49" i="58"/>
  <c r="Z48" i="58"/>
  <c r="G48" i="58"/>
  <c r="Z47" i="58"/>
  <c r="G47" i="58"/>
  <c r="X40" i="58"/>
  <c r="K40" i="58"/>
  <c r="X39" i="58"/>
  <c r="AB40" i="58" s="1"/>
  <c r="X37" i="58"/>
  <c r="E37" i="58"/>
  <c r="D37" i="58"/>
  <c r="AC36" i="58"/>
  <c r="AB36" i="58"/>
  <c r="G36" i="58"/>
  <c r="L36" i="58" s="1"/>
  <c r="AB35" i="58"/>
  <c r="AC35" i="58" s="1"/>
  <c r="G35" i="58"/>
  <c r="L35" i="58" s="1"/>
  <c r="AC34" i="58"/>
  <c r="AB34" i="58"/>
  <c r="G34" i="58"/>
  <c r="L34" i="58" s="1"/>
  <c r="AB33" i="58"/>
  <c r="AC33" i="58" s="1"/>
  <c r="G33" i="58"/>
  <c r="L33" i="58" s="1"/>
  <c r="AC32" i="58"/>
  <c r="AB32" i="58"/>
  <c r="G32" i="58"/>
  <c r="L32" i="58" s="1"/>
  <c r="AB31" i="58"/>
  <c r="AC31" i="58" s="1"/>
  <c r="G31" i="58"/>
  <c r="L31" i="58" s="1"/>
  <c r="AC30" i="58"/>
  <c r="AB30" i="58"/>
  <c r="G30" i="58"/>
  <c r="L30" i="58" s="1"/>
  <c r="AB29" i="58"/>
  <c r="AC29" i="58" s="1"/>
  <c r="G29" i="58"/>
  <c r="L29" i="58" s="1"/>
  <c r="AC28" i="58"/>
  <c r="AB28" i="58"/>
  <c r="G28" i="58"/>
  <c r="E26" i="58"/>
  <c r="D26" i="58"/>
  <c r="K25" i="58"/>
  <c r="L25" i="58" s="1"/>
  <c r="G25" i="58"/>
  <c r="G24" i="58"/>
  <c r="I23" i="58"/>
  <c r="I24" i="58" s="1"/>
  <c r="G23" i="58"/>
  <c r="G22" i="58"/>
  <c r="K22" i="58" s="1"/>
  <c r="L22" i="58" s="1"/>
  <c r="G21" i="58"/>
  <c r="I20" i="58"/>
  <c r="I21" i="58" s="1"/>
  <c r="G20" i="58"/>
  <c r="K20" i="58" s="1"/>
  <c r="L20" i="58" s="1"/>
  <c r="K19" i="58"/>
  <c r="L19" i="58" s="1"/>
  <c r="G19" i="58"/>
  <c r="G18" i="58"/>
  <c r="I17" i="58"/>
  <c r="I18" i="58" s="1"/>
  <c r="G17" i="58"/>
  <c r="G16" i="58"/>
  <c r="K16" i="58" s="1"/>
  <c r="L16" i="58" s="1"/>
  <c r="I15" i="58"/>
  <c r="G15" i="58"/>
  <c r="M15" i="58" s="1"/>
  <c r="G14" i="58"/>
  <c r="K14" i="58" s="1"/>
  <c r="I13" i="58"/>
  <c r="G13" i="58"/>
  <c r="M13" i="58" s="1"/>
  <c r="K12" i="58"/>
  <c r="L12" i="58" s="1"/>
  <c r="G12" i="58"/>
  <c r="I11" i="58"/>
  <c r="G11" i="58"/>
  <c r="M11" i="58" s="1"/>
  <c r="G10" i="58"/>
  <c r="AB7" i="58"/>
  <c r="X47" i="58" s="1"/>
  <c r="X7" i="58"/>
  <c r="V4" i="58"/>
  <c r="B3" i="58"/>
  <c r="V2" i="58"/>
  <c r="G37" i="58" l="1"/>
  <c r="K11" i="58"/>
  <c r="L11" i="58" s="1"/>
  <c r="G26" i="58"/>
  <c r="K84" i="58" s="1"/>
  <c r="K15" i="58"/>
  <c r="L15" i="58" s="1"/>
  <c r="K17" i="58"/>
  <c r="L17" i="58" s="1"/>
  <c r="K18" i="58"/>
  <c r="L18" i="58" s="1"/>
  <c r="K23" i="58"/>
  <c r="L23" i="58" s="1"/>
  <c r="K24" i="58"/>
  <c r="L24" i="58" s="1"/>
  <c r="K21" i="58"/>
  <c r="L21" i="58" s="1"/>
  <c r="AC37" i="58"/>
  <c r="X49" i="58"/>
  <c r="L76" i="58"/>
  <c r="Z75" i="58"/>
  <c r="AC75" i="58" s="1"/>
  <c r="L40" i="58"/>
  <c r="C49" i="58"/>
  <c r="K49" i="58" s="1"/>
  <c r="L14" i="58"/>
  <c r="Z74" i="58"/>
  <c r="AC74" i="58" s="1"/>
  <c r="K10" i="58"/>
  <c r="L28" i="58"/>
  <c r="L37" i="58" s="1"/>
  <c r="X48" i="58"/>
  <c r="K13" i="58"/>
  <c r="L13" i="58" s="1"/>
  <c r="G56" i="58" l="1"/>
  <c r="K57" i="58" s="1"/>
  <c r="K69" i="58" s="1"/>
  <c r="L69" i="58" s="1"/>
  <c r="C48" i="58"/>
  <c r="K48" i="58" s="1"/>
  <c r="K26" i="58"/>
  <c r="G53" i="58" s="1"/>
  <c r="K54" i="58" s="1"/>
  <c r="C47" i="58"/>
  <c r="L10" i="58"/>
  <c r="L26" i="58" s="1"/>
  <c r="L44"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X17" i="58"/>
  <c r="AB17" i="58" s="1"/>
  <c r="AC17" i="58" s="1"/>
  <c r="X23" i="58"/>
  <c r="AB23" i="58" s="1"/>
  <c r="AC23" i="58" s="1"/>
  <c r="X25" i="58"/>
  <c r="AB25" i="58" s="1"/>
  <c r="AC25" i="58" s="1"/>
  <c r="X22" i="58"/>
  <c r="AB22" i="58" s="1"/>
  <c r="AC22" i="58" s="1"/>
  <c r="X19" i="58"/>
  <c r="AB19" i="58" s="1"/>
  <c r="AC19" i="58" s="1"/>
  <c r="X16" i="58"/>
  <c r="AB16" i="58" s="1"/>
  <c r="AC16" i="58" s="1"/>
  <c r="X13" i="58"/>
  <c r="AB13" i="58" s="1"/>
  <c r="AC13" i="58" s="1"/>
  <c r="X12" i="58"/>
  <c r="AB12" i="58" s="1"/>
  <c r="K72" i="58" l="1"/>
  <c r="L72" i="58" s="1"/>
  <c r="AB10" i="58"/>
  <c r="X26" i="58"/>
  <c r="C50" i="58"/>
  <c r="K47" i="58"/>
  <c r="L50" i="58" s="1"/>
  <c r="AC12" i="58"/>
  <c r="W48" i="58"/>
  <c r="AB48" i="58" s="1"/>
  <c r="W49" i="58"/>
  <c r="AB49" i="58" s="1"/>
  <c r="AC14" i="58"/>
  <c r="K77" i="58"/>
  <c r="L77" i="58" s="1"/>
  <c r="K67" i="58"/>
  <c r="L67" i="58" s="1"/>
  <c r="K78" i="58"/>
  <c r="L78" i="58" s="1"/>
  <c r="K71" i="58"/>
  <c r="L71" i="58" s="1"/>
  <c r="K59" i="58"/>
  <c r="L59" i="58" s="1"/>
  <c r="K70" i="58"/>
  <c r="L70" i="58" s="1"/>
  <c r="L82" i="58" l="1"/>
  <c r="X56" i="58"/>
  <c r="AB57" i="58" s="1"/>
  <c r="AC40" i="58"/>
  <c r="AB26" i="58"/>
  <c r="X53" i="58" s="1"/>
  <c r="AB54" i="58" s="1"/>
  <c r="W47" i="58"/>
  <c r="AC10" i="58"/>
  <c r="AC26" i="58" s="1"/>
  <c r="AB77" i="58" l="1"/>
  <c r="AC77" i="58" s="1"/>
  <c r="AB70" i="58"/>
  <c r="AC70" i="58" s="1"/>
  <c r="AB69" i="58"/>
  <c r="AC69" i="58" s="1"/>
  <c r="AB58" i="58"/>
  <c r="AC58" i="58" s="1"/>
  <c r="AB76" i="58"/>
  <c r="AC76" i="58" s="1"/>
  <c r="AB66" i="58"/>
  <c r="AC66" i="58" s="1"/>
  <c r="AC44" i="58"/>
  <c r="AB68" i="58"/>
  <c r="AC68" i="58" s="1"/>
  <c r="AB71" i="58"/>
  <c r="AC71" i="58" s="1"/>
  <c r="AB47" i="58"/>
  <c r="AC50" i="58" s="1"/>
  <c r="W50" i="58"/>
  <c r="AC81" i="58" l="1"/>
  <c r="L84" i="58" s="1"/>
  <c r="K86" i="58" s="1"/>
  <c r="L86" i="58" s="1"/>
  <c r="L87" i="58" s="1"/>
  <c r="L90" i="58" s="1"/>
  <c r="L92" i="58" s="1"/>
  <c r="L94" i="58" l="1"/>
  <c r="B136" i="57" l="1"/>
  <c r="B135" i="57"/>
  <c r="M86" i="57"/>
  <c r="V79" i="57"/>
  <c r="V78" i="57"/>
  <c r="Y77" i="57"/>
  <c r="V77" i="57"/>
  <c r="Y76" i="57"/>
  <c r="G76" i="57"/>
  <c r="I76" i="57" s="1"/>
  <c r="AB75" i="57"/>
  <c r="G75" i="57"/>
  <c r="I75" i="57" s="1"/>
  <c r="L75" i="57" s="1"/>
  <c r="AB74" i="57"/>
  <c r="Y71" i="57"/>
  <c r="Y70" i="57"/>
  <c r="Y69" i="57"/>
  <c r="Y68" i="57"/>
  <c r="Y66" i="57"/>
  <c r="X65" i="57"/>
  <c r="X64" i="57"/>
  <c r="X61" i="57"/>
  <c r="Y58" i="57" s="1"/>
  <c r="X60" i="57"/>
  <c r="I59" i="57"/>
  <c r="AA56" i="57"/>
  <c r="AA53" i="57"/>
  <c r="Z49" i="57"/>
  <c r="G49" i="57"/>
  <c r="Z48" i="57"/>
  <c r="G48" i="57"/>
  <c r="Z47" i="57"/>
  <c r="G47" i="57"/>
  <c r="X40" i="57"/>
  <c r="K40" i="57"/>
  <c r="X39" i="57"/>
  <c r="AB40" i="57" s="1"/>
  <c r="X37" i="57"/>
  <c r="E37" i="57"/>
  <c r="D37" i="57"/>
  <c r="AB36" i="57"/>
  <c r="AC36" i="57" s="1"/>
  <c r="G36" i="57"/>
  <c r="L36" i="57" s="1"/>
  <c r="AC35" i="57"/>
  <c r="AB35" i="57"/>
  <c r="G35" i="57"/>
  <c r="L35" i="57" s="1"/>
  <c r="AB34" i="57"/>
  <c r="AC34" i="57" s="1"/>
  <c r="G34" i="57"/>
  <c r="L34" i="57" s="1"/>
  <c r="AC33" i="57"/>
  <c r="AB33" i="57"/>
  <c r="G33" i="57"/>
  <c r="L33" i="57" s="1"/>
  <c r="AB32" i="57"/>
  <c r="AC32" i="57" s="1"/>
  <c r="G32" i="57"/>
  <c r="L32" i="57" s="1"/>
  <c r="AC31" i="57"/>
  <c r="AB31" i="57"/>
  <c r="G31" i="57"/>
  <c r="L31" i="57" s="1"/>
  <c r="AB30" i="57"/>
  <c r="AC30" i="57" s="1"/>
  <c r="G30" i="57"/>
  <c r="L30" i="57" s="1"/>
  <c r="AC29" i="57"/>
  <c r="AB29" i="57"/>
  <c r="G29" i="57"/>
  <c r="L29" i="57" s="1"/>
  <c r="AB28" i="57"/>
  <c r="AC28" i="57" s="1"/>
  <c r="AC37" i="57" s="1"/>
  <c r="G28" i="57"/>
  <c r="E26" i="57"/>
  <c r="D26" i="57"/>
  <c r="G25" i="57"/>
  <c r="K25" i="57" s="1"/>
  <c r="L25" i="57" s="1"/>
  <c r="G24" i="57"/>
  <c r="I23" i="57"/>
  <c r="I24" i="57" s="1"/>
  <c r="G23" i="57"/>
  <c r="K23" i="57" s="1"/>
  <c r="L23" i="57" s="1"/>
  <c r="K22" i="57"/>
  <c r="L22" i="57" s="1"/>
  <c r="G22" i="57"/>
  <c r="G21" i="57"/>
  <c r="I20" i="57"/>
  <c r="I21" i="57" s="1"/>
  <c r="K21" i="57" s="1"/>
  <c r="L21" i="57" s="1"/>
  <c r="G20" i="57"/>
  <c r="G19" i="57"/>
  <c r="K19" i="57" s="1"/>
  <c r="L19" i="57" s="1"/>
  <c r="G18" i="57"/>
  <c r="I17" i="57"/>
  <c r="I18" i="57" s="1"/>
  <c r="K18" i="57" s="1"/>
  <c r="L18" i="57" s="1"/>
  <c r="G17" i="57"/>
  <c r="K17" i="57" s="1"/>
  <c r="L17" i="57" s="1"/>
  <c r="K16" i="57"/>
  <c r="L16" i="57" s="1"/>
  <c r="G16" i="57"/>
  <c r="I15" i="57"/>
  <c r="G15" i="57"/>
  <c r="K15" i="57" s="1"/>
  <c r="L15" i="57" s="1"/>
  <c r="G14" i="57"/>
  <c r="K14" i="57" s="1"/>
  <c r="L14" i="57" s="1"/>
  <c r="I13" i="57"/>
  <c r="G13" i="57"/>
  <c r="G12" i="57"/>
  <c r="K12" i="57" s="1"/>
  <c r="L12" i="57" s="1"/>
  <c r="I11" i="57"/>
  <c r="G11" i="57"/>
  <c r="K11" i="57" s="1"/>
  <c r="L11" i="57" s="1"/>
  <c r="G10" i="57"/>
  <c r="AB7" i="57"/>
  <c r="X47" i="57" s="1"/>
  <c r="X7" i="57"/>
  <c r="V4" i="57"/>
  <c r="B3" i="57"/>
  <c r="V2" i="57"/>
  <c r="K24" i="57" l="1"/>
  <c r="L24" i="57" s="1"/>
  <c r="K13" i="57"/>
  <c r="L13" i="57" s="1"/>
  <c r="K20" i="57"/>
  <c r="L20" i="57" s="1"/>
  <c r="X49" i="57"/>
  <c r="L76" i="57"/>
  <c r="Z75" i="57"/>
  <c r="AC75" i="57" s="1"/>
  <c r="M11" i="57"/>
  <c r="M15" i="57"/>
  <c r="C49" i="57"/>
  <c r="K49" i="57" s="1"/>
  <c r="G26" i="57"/>
  <c r="C48" i="57"/>
  <c r="K48" i="57" s="1"/>
  <c r="M13" i="57"/>
  <c r="L28" i="57"/>
  <c r="L37" i="57" s="1"/>
  <c r="G37" i="57"/>
  <c r="Z74" i="57"/>
  <c r="K10" i="57"/>
  <c r="AC74" i="57"/>
  <c r="X48" i="57"/>
  <c r="K84" i="57" l="1"/>
  <c r="L40" i="57"/>
  <c r="G56" i="57"/>
  <c r="K57" i="57" s="1"/>
  <c r="K26" i="57"/>
  <c r="G53" i="57" s="1"/>
  <c r="K54" i="57" s="1"/>
  <c r="C47" i="57"/>
  <c r="L10" i="57"/>
  <c r="L26" i="57" s="1"/>
  <c r="L44" i="57" s="1"/>
  <c r="C50" i="57" l="1"/>
  <c r="K47" i="57"/>
  <c r="L50" i="57" s="1"/>
  <c r="K77" i="57"/>
  <c r="L77" i="57" s="1"/>
  <c r="K67" i="57"/>
  <c r="L67" i="57" s="1"/>
  <c r="K78" i="57"/>
  <c r="L78" i="57" s="1"/>
  <c r="K71" i="57"/>
  <c r="L71" i="57" s="1"/>
  <c r="K59" i="57"/>
  <c r="L59" i="57" s="1"/>
  <c r="K70" i="57"/>
  <c r="L70" i="57" s="1"/>
  <c r="X24" i="57"/>
  <c r="AB24" i="57" s="1"/>
  <c r="AC24" i="57" s="1"/>
  <c r="X21" i="57"/>
  <c r="AB21" i="57" s="1"/>
  <c r="AC21" i="57" s="1"/>
  <c r="X18" i="57"/>
  <c r="AB18" i="57" s="1"/>
  <c r="AC18" i="57" s="1"/>
  <c r="X15" i="57"/>
  <c r="AB15" i="57" s="1"/>
  <c r="AC15" i="57" s="1"/>
  <c r="X14" i="57"/>
  <c r="AB14" i="57" s="1"/>
  <c r="X11" i="57"/>
  <c r="AB11" i="57" s="1"/>
  <c r="AC11" i="57" s="1"/>
  <c r="X10" i="57"/>
  <c r="X19" i="57"/>
  <c r="AB19" i="57" s="1"/>
  <c r="AC19" i="57" s="1"/>
  <c r="X16" i="57"/>
  <c r="AB16" i="57" s="1"/>
  <c r="AC16" i="57" s="1"/>
  <c r="X12" i="57"/>
  <c r="AB12" i="57" s="1"/>
  <c r="X25" i="57"/>
  <c r="AB25" i="57" s="1"/>
  <c r="AC25" i="57" s="1"/>
  <c r="X22" i="57"/>
  <c r="AB22" i="57" s="1"/>
  <c r="AC22" i="57" s="1"/>
  <c r="X13" i="57"/>
  <c r="AB13" i="57" s="1"/>
  <c r="AC13" i="57" s="1"/>
  <c r="X20" i="57"/>
  <c r="AB20" i="57" s="1"/>
  <c r="AC20" i="57" s="1"/>
  <c r="X17" i="57"/>
  <c r="AB17" i="57" s="1"/>
  <c r="AC17" i="57" s="1"/>
  <c r="X23" i="57"/>
  <c r="AB23" i="57" s="1"/>
  <c r="AC23" i="57" s="1"/>
  <c r="K69" i="57"/>
  <c r="L69" i="57" s="1"/>
  <c r="K72" i="57"/>
  <c r="L72" i="57" s="1"/>
  <c r="L82" i="57" l="1"/>
  <c r="K86" i="57" s="1"/>
  <c r="X26" i="57"/>
  <c r="AB10" i="57"/>
  <c r="AC12" i="57"/>
  <c r="W48" i="57"/>
  <c r="AB48" i="57" s="1"/>
  <c r="W49" i="57"/>
  <c r="AB49" i="57" s="1"/>
  <c r="AC14" i="57"/>
  <c r="AC10" i="57" l="1"/>
  <c r="AC26" i="57" s="1"/>
  <c r="AB26" i="57"/>
  <c r="X53" i="57" s="1"/>
  <c r="AB54" i="57" s="1"/>
  <c r="W47" i="57"/>
  <c r="X56" i="57"/>
  <c r="AB57" i="57" s="1"/>
  <c r="AC40" i="57"/>
  <c r="L86" i="57"/>
  <c r="L87" i="57" s="1"/>
  <c r="L90" i="57" s="1"/>
  <c r="L92" i="57" s="1"/>
  <c r="L94" i="57" l="1"/>
  <c r="W50" i="57"/>
  <c r="AB47" i="57"/>
  <c r="AC50" i="57" s="1"/>
  <c r="AB77" i="57"/>
  <c r="AC77" i="57" s="1"/>
  <c r="AB70" i="57"/>
  <c r="AC70" i="57" s="1"/>
  <c r="AB69" i="57"/>
  <c r="AC69" i="57" s="1"/>
  <c r="AB58" i="57"/>
  <c r="AC58" i="57" s="1"/>
  <c r="AB76" i="57"/>
  <c r="AC76" i="57" s="1"/>
  <c r="AB66" i="57"/>
  <c r="AC66" i="57" s="1"/>
  <c r="AB68" i="57"/>
  <c r="AC68" i="57" s="1"/>
  <c r="AB71" i="57"/>
  <c r="AC71" i="57" s="1"/>
  <c r="AC44" i="57"/>
  <c r="AC81" i="57" l="1"/>
  <c r="L84" i="57" s="1"/>
  <c r="B136" i="56"/>
  <c r="B135" i="56"/>
  <c r="M86" i="56"/>
  <c r="V79" i="56"/>
  <c r="V78" i="56"/>
  <c r="Y77" i="56"/>
  <c r="V77" i="56"/>
  <c r="Y76" i="56"/>
  <c r="G76" i="56"/>
  <c r="I76" i="56" s="1"/>
  <c r="AB75" i="56"/>
  <c r="G75" i="56"/>
  <c r="I75" i="56" s="1"/>
  <c r="AB74" i="56"/>
  <c r="Y71" i="56"/>
  <c r="Y70" i="56"/>
  <c r="Y69" i="56"/>
  <c r="Y68" i="56"/>
  <c r="Y66" i="56"/>
  <c r="X65" i="56"/>
  <c r="X64" i="56"/>
  <c r="X61" i="56"/>
  <c r="X60" i="56"/>
  <c r="I59" i="56"/>
  <c r="Y58" i="56"/>
  <c r="AA56" i="56"/>
  <c r="AA53" i="56"/>
  <c r="Z49" i="56"/>
  <c r="G49" i="56"/>
  <c r="Z48" i="56"/>
  <c r="G48" i="56"/>
  <c r="Z47" i="56"/>
  <c r="G47" i="56"/>
  <c r="X40" i="56"/>
  <c r="K40" i="56"/>
  <c r="X39" i="56"/>
  <c r="AB40" i="56" s="1"/>
  <c r="X37" i="56"/>
  <c r="E37" i="56"/>
  <c r="D37" i="56"/>
  <c r="AB36" i="56"/>
  <c r="AC36" i="56" s="1"/>
  <c r="G36" i="56"/>
  <c r="L36" i="56" s="1"/>
  <c r="AB35" i="56"/>
  <c r="AC35" i="56" s="1"/>
  <c r="G35" i="56"/>
  <c r="L35" i="56" s="1"/>
  <c r="AB34" i="56"/>
  <c r="AC34" i="56" s="1"/>
  <c r="G34" i="56"/>
  <c r="L34" i="56" s="1"/>
  <c r="AB33" i="56"/>
  <c r="AC33" i="56" s="1"/>
  <c r="G33" i="56"/>
  <c r="L33" i="56" s="1"/>
  <c r="AB32" i="56"/>
  <c r="AC32" i="56" s="1"/>
  <c r="G32" i="56"/>
  <c r="L32" i="56" s="1"/>
  <c r="AB31" i="56"/>
  <c r="AC31" i="56" s="1"/>
  <c r="G31" i="56"/>
  <c r="L31" i="56" s="1"/>
  <c r="AB30" i="56"/>
  <c r="AC30" i="56" s="1"/>
  <c r="G30" i="56"/>
  <c r="L30" i="56" s="1"/>
  <c r="AB29" i="56"/>
  <c r="AC29" i="56" s="1"/>
  <c r="G29" i="56"/>
  <c r="L29" i="56" s="1"/>
  <c r="AB28" i="56"/>
  <c r="AC28" i="56" s="1"/>
  <c r="AC37" i="56" s="1"/>
  <c r="G28" i="56"/>
  <c r="E26" i="56"/>
  <c r="D26" i="56"/>
  <c r="G25" i="56"/>
  <c r="K25" i="56" s="1"/>
  <c r="L25" i="56" s="1"/>
  <c r="G24" i="56"/>
  <c r="I23" i="56"/>
  <c r="I24" i="56" s="1"/>
  <c r="K24" i="56" s="1"/>
  <c r="L24" i="56" s="1"/>
  <c r="G23" i="56"/>
  <c r="G22" i="56"/>
  <c r="K22" i="56" s="1"/>
  <c r="L22" i="56" s="1"/>
  <c r="G21" i="56"/>
  <c r="I20" i="56"/>
  <c r="I21" i="56" s="1"/>
  <c r="G20" i="56"/>
  <c r="K20" i="56" s="1"/>
  <c r="L20" i="56" s="1"/>
  <c r="G19" i="56"/>
  <c r="K19" i="56" s="1"/>
  <c r="L19" i="56" s="1"/>
  <c r="G18" i="56"/>
  <c r="I17" i="56"/>
  <c r="I18" i="56" s="1"/>
  <c r="K18" i="56" s="1"/>
  <c r="L18" i="56" s="1"/>
  <c r="G17" i="56"/>
  <c r="K16" i="56"/>
  <c r="L16" i="56" s="1"/>
  <c r="G16" i="56"/>
  <c r="I15" i="56"/>
  <c r="K15" i="56" s="1"/>
  <c r="L15" i="56" s="1"/>
  <c r="G15" i="56"/>
  <c r="M15" i="56" s="1"/>
  <c r="K14" i="56"/>
  <c r="L14" i="56" s="1"/>
  <c r="G14" i="56"/>
  <c r="I13" i="56"/>
  <c r="G13" i="56"/>
  <c r="G12" i="56"/>
  <c r="K12" i="56" s="1"/>
  <c r="L12" i="56" s="1"/>
  <c r="I11" i="56"/>
  <c r="K11" i="56" s="1"/>
  <c r="L11" i="56" s="1"/>
  <c r="G11" i="56"/>
  <c r="M11" i="56" s="1"/>
  <c r="G10" i="56"/>
  <c r="K10" i="56" s="1"/>
  <c r="AB7" i="56"/>
  <c r="X47" i="56" s="1"/>
  <c r="X7" i="56"/>
  <c r="V4" i="56"/>
  <c r="B3" i="56"/>
  <c r="V2" i="56"/>
  <c r="G37" i="56" l="1"/>
  <c r="G26" i="56"/>
  <c r="K84" i="56" s="1"/>
  <c r="X48" i="56"/>
  <c r="K13" i="56"/>
  <c r="K26" i="56" s="1"/>
  <c r="G53" i="56" s="1"/>
  <c r="K54" i="56" s="1"/>
  <c r="K17" i="56"/>
  <c r="L17" i="56" s="1"/>
  <c r="K21" i="56"/>
  <c r="L21" i="56" s="1"/>
  <c r="K23" i="56"/>
  <c r="L23" i="56" s="1"/>
  <c r="L28" i="56"/>
  <c r="L37" i="56" s="1"/>
  <c r="L76" i="56"/>
  <c r="Z75" i="56"/>
  <c r="AC75" i="56" s="1"/>
  <c r="L75" i="56"/>
  <c r="Z74" i="56"/>
  <c r="AC74" i="56" s="1"/>
  <c r="M13" i="56"/>
  <c r="C49" i="56"/>
  <c r="K49" i="56" s="1"/>
  <c r="X49" i="56"/>
  <c r="L10" i="56"/>
  <c r="C47" i="56"/>
  <c r="C48" i="56" l="1"/>
  <c r="K48" i="56" s="1"/>
  <c r="L40" i="56"/>
  <c r="L13" i="56"/>
  <c r="G56" i="56"/>
  <c r="K57" i="56" s="1"/>
  <c r="K67" i="56"/>
  <c r="L67" i="56" s="1"/>
  <c r="K71" i="56"/>
  <c r="L71" i="56" s="1"/>
  <c r="K70" i="56"/>
  <c r="L70" i="56" s="1"/>
  <c r="K77" i="56"/>
  <c r="L77" i="56" s="1"/>
  <c r="K78" i="56"/>
  <c r="L78" i="56" s="1"/>
  <c r="K59" i="56"/>
  <c r="L59" i="56" s="1"/>
  <c r="C50" i="56"/>
  <c r="K47" i="56"/>
  <c r="L50" i="56" s="1"/>
  <c r="K69" i="56"/>
  <c r="L69" i="56" s="1"/>
  <c r="K72" i="56"/>
  <c r="L72" i="56" s="1"/>
  <c r="X24" i="56"/>
  <c r="AB24" i="56" s="1"/>
  <c r="AC24" i="56" s="1"/>
  <c r="X21" i="56"/>
  <c r="AB21" i="56" s="1"/>
  <c r="AC21" i="56" s="1"/>
  <c r="X18" i="56"/>
  <c r="AB18" i="56" s="1"/>
  <c r="AC18" i="56" s="1"/>
  <c r="X15" i="56"/>
  <c r="AB15" i="56" s="1"/>
  <c r="AC15" i="56" s="1"/>
  <c r="X14" i="56"/>
  <c r="AB14" i="56" s="1"/>
  <c r="X10" i="56"/>
  <c r="X22" i="56"/>
  <c r="AB22" i="56" s="1"/>
  <c r="AC22" i="56" s="1"/>
  <c r="X19" i="56"/>
  <c r="AB19" i="56" s="1"/>
  <c r="AC19" i="56" s="1"/>
  <c r="X16" i="56"/>
  <c r="AB16" i="56" s="1"/>
  <c r="AC16" i="56" s="1"/>
  <c r="X12" i="56"/>
  <c r="AB12" i="56" s="1"/>
  <c r="X13" i="56"/>
  <c r="AB13" i="56" s="1"/>
  <c r="AC13" i="56" s="1"/>
  <c r="X23" i="56"/>
  <c r="AB23" i="56" s="1"/>
  <c r="AC23" i="56" s="1"/>
  <c r="X20" i="56"/>
  <c r="AB20" i="56" s="1"/>
  <c r="AC20" i="56" s="1"/>
  <c r="X17" i="56"/>
  <c r="AB17" i="56" s="1"/>
  <c r="AC17" i="56" s="1"/>
  <c r="X11" i="56"/>
  <c r="AB11" i="56" s="1"/>
  <c r="AC11" i="56" s="1"/>
  <c r="X25" i="56"/>
  <c r="AB25" i="56" s="1"/>
  <c r="AC25" i="56" s="1"/>
  <c r="L26" i="56"/>
  <c r="L44" i="56" s="1"/>
  <c r="L82" i="56" l="1"/>
  <c r="W48" i="56"/>
  <c r="AB48" i="56" s="1"/>
  <c r="AC12" i="56"/>
  <c r="X26" i="56"/>
  <c r="AB10" i="56"/>
  <c r="W49" i="56"/>
  <c r="AB49" i="56" s="1"/>
  <c r="AC14" i="56"/>
  <c r="X56" i="56" l="1"/>
  <c r="AB57" i="56" s="1"/>
  <c r="AC40" i="56"/>
  <c r="W47" i="56"/>
  <c r="AB26" i="56"/>
  <c r="X53" i="56" s="1"/>
  <c r="AB54" i="56" s="1"/>
  <c r="AC10" i="56"/>
  <c r="AC26" i="56" s="1"/>
  <c r="AC44" i="56" s="1"/>
  <c r="K86" i="56"/>
  <c r="L86" i="56" l="1"/>
  <c r="L87" i="56" s="1"/>
  <c r="L90" i="56" s="1"/>
  <c r="L92" i="56" s="1"/>
  <c r="W50" i="56"/>
  <c r="AB47" i="56"/>
  <c r="AC50" i="56" s="1"/>
  <c r="AB77" i="56"/>
  <c r="AC77" i="56" s="1"/>
  <c r="AB70" i="56"/>
  <c r="AC70" i="56" s="1"/>
  <c r="AB69" i="56"/>
  <c r="AC69" i="56" s="1"/>
  <c r="AB58" i="56"/>
  <c r="AC58" i="56" s="1"/>
  <c r="AB76" i="56"/>
  <c r="AC76" i="56" s="1"/>
  <c r="AB66" i="56"/>
  <c r="AC66" i="56" s="1"/>
  <c r="AB68" i="56"/>
  <c r="AC68" i="56" s="1"/>
  <c r="AB71" i="56"/>
  <c r="AC71" i="56" s="1"/>
  <c r="AC81" i="56" l="1"/>
  <c r="L84" i="56" s="1"/>
  <c r="L94" i="56"/>
  <c r="B136" i="55" l="1"/>
  <c r="B135" i="55"/>
  <c r="M86" i="55"/>
  <c r="V79" i="55"/>
  <c r="V78" i="55"/>
  <c r="Y77" i="55"/>
  <c r="V77" i="55"/>
  <c r="Y76" i="55"/>
  <c r="G76" i="55"/>
  <c r="I76" i="55" s="1"/>
  <c r="AB75" i="55"/>
  <c r="G75" i="55"/>
  <c r="I75" i="55" s="1"/>
  <c r="L75" i="55" s="1"/>
  <c r="AB74" i="55"/>
  <c r="Y71" i="55"/>
  <c r="Y70" i="55"/>
  <c r="Y69" i="55"/>
  <c r="Y68" i="55"/>
  <c r="Y66" i="55"/>
  <c r="X65" i="55"/>
  <c r="X64" i="55"/>
  <c r="X61" i="55"/>
  <c r="Y58" i="55" s="1"/>
  <c r="X60" i="55"/>
  <c r="I59" i="55"/>
  <c r="AA56" i="55"/>
  <c r="AA53" i="55"/>
  <c r="Z49" i="55"/>
  <c r="G49" i="55"/>
  <c r="Z48" i="55"/>
  <c r="G48" i="55"/>
  <c r="Z47" i="55"/>
  <c r="G47" i="55"/>
  <c r="X40" i="55"/>
  <c r="K40" i="55"/>
  <c r="X39" i="55"/>
  <c r="AB40" i="55" s="1"/>
  <c r="X37" i="55"/>
  <c r="E37" i="55"/>
  <c r="D37" i="55"/>
  <c r="AB36" i="55"/>
  <c r="AC36" i="55" s="1"/>
  <c r="G36" i="55"/>
  <c r="L36" i="55" s="1"/>
  <c r="AC35" i="55"/>
  <c r="AB35" i="55"/>
  <c r="G35" i="55"/>
  <c r="L35" i="55" s="1"/>
  <c r="AB34" i="55"/>
  <c r="AC34" i="55" s="1"/>
  <c r="G34" i="55"/>
  <c r="L34" i="55" s="1"/>
  <c r="AC33" i="55"/>
  <c r="AB33" i="55"/>
  <c r="G33" i="55"/>
  <c r="L33" i="55" s="1"/>
  <c r="AB32" i="55"/>
  <c r="AC32" i="55" s="1"/>
  <c r="G32" i="55"/>
  <c r="L32" i="55" s="1"/>
  <c r="AC31" i="55"/>
  <c r="AB31" i="55"/>
  <c r="G31" i="55"/>
  <c r="L31" i="55" s="1"/>
  <c r="AB30" i="55"/>
  <c r="AC30" i="55" s="1"/>
  <c r="G30" i="55"/>
  <c r="L30" i="55" s="1"/>
  <c r="AC29" i="55"/>
  <c r="AB29" i="55"/>
  <c r="G29" i="55"/>
  <c r="L29" i="55" s="1"/>
  <c r="AB28" i="55"/>
  <c r="AC28" i="55" s="1"/>
  <c r="AC37" i="55" s="1"/>
  <c r="G28" i="55"/>
  <c r="E26" i="55"/>
  <c r="D26" i="55"/>
  <c r="G25" i="55"/>
  <c r="K25" i="55" s="1"/>
  <c r="L25" i="55" s="1"/>
  <c r="G24" i="55"/>
  <c r="I23" i="55"/>
  <c r="I24" i="55" s="1"/>
  <c r="K24" i="55" s="1"/>
  <c r="L24" i="55" s="1"/>
  <c r="G23" i="55"/>
  <c r="K23" i="55" s="1"/>
  <c r="L23" i="55" s="1"/>
  <c r="G22" i="55"/>
  <c r="K22" i="55" s="1"/>
  <c r="L22" i="55" s="1"/>
  <c r="G21" i="55"/>
  <c r="I20" i="55"/>
  <c r="I21" i="55" s="1"/>
  <c r="K21" i="55" s="1"/>
  <c r="L21" i="55" s="1"/>
  <c r="G20" i="55"/>
  <c r="G19" i="55"/>
  <c r="K19" i="55" s="1"/>
  <c r="L19" i="55" s="1"/>
  <c r="G18" i="55"/>
  <c r="I17" i="55"/>
  <c r="I18" i="55" s="1"/>
  <c r="K18" i="55" s="1"/>
  <c r="L18" i="55" s="1"/>
  <c r="G17" i="55"/>
  <c r="K17" i="55" s="1"/>
  <c r="L17" i="55" s="1"/>
  <c r="K16" i="55"/>
  <c r="L16" i="55" s="1"/>
  <c r="G16" i="55"/>
  <c r="I15" i="55"/>
  <c r="G15" i="55"/>
  <c r="M15" i="55" s="1"/>
  <c r="G14" i="55"/>
  <c r="K14" i="55" s="1"/>
  <c r="L14" i="55" s="1"/>
  <c r="I13" i="55"/>
  <c r="G13" i="55"/>
  <c r="G12" i="55"/>
  <c r="K12" i="55" s="1"/>
  <c r="L12" i="55" s="1"/>
  <c r="I11" i="55"/>
  <c r="G11" i="55"/>
  <c r="M11" i="55" s="1"/>
  <c r="G10" i="55"/>
  <c r="AB7" i="55"/>
  <c r="X47" i="55" s="1"/>
  <c r="X7" i="55"/>
  <c r="V4" i="55"/>
  <c r="B3" i="55"/>
  <c r="V2" i="55"/>
  <c r="K11" i="55" l="1"/>
  <c r="L11" i="55" s="1"/>
  <c r="K13" i="55"/>
  <c r="L13" i="55" s="1"/>
  <c r="K20" i="55"/>
  <c r="L20" i="55" s="1"/>
  <c r="K15" i="55"/>
  <c r="L15" i="55" s="1"/>
  <c r="X49" i="55"/>
  <c r="G26" i="55"/>
  <c r="K10" i="55"/>
  <c r="L76" i="55"/>
  <c r="Z75" i="55"/>
  <c r="AC75" i="55" s="1"/>
  <c r="C49" i="55"/>
  <c r="K49" i="55" s="1"/>
  <c r="C48" i="55"/>
  <c r="K48" i="55" s="1"/>
  <c r="M13" i="55"/>
  <c r="L28" i="55"/>
  <c r="L37" i="55" s="1"/>
  <c r="G37" i="55"/>
  <c r="Z74" i="55"/>
  <c r="AC74" i="55" s="1"/>
  <c r="X48" i="55"/>
  <c r="K26" i="55" l="1"/>
  <c r="G53" i="55" s="1"/>
  <c r="K54" i="55" s="1"/>
  <c r="C47" i="55"/>
  <c r="L10" i="55"/>
  <c r="L26" i="55" s="1"/>
  <c r="K84" i="55"/>
  <c r="G56" i="55"/>
  <c r="K57" i="55" s="1"/>
  <c r="L40" i="55"/>
  <c r="K69" i="55" l="1"/>
  <c r="L69" i="55" s="1"/>
  <c r="K72" i="55"/>
  <c r="L72" i="55" s="1"/>
  <c r="L44" i="55"/>
  <c r="C50" i="55"/>
  <c r="K47" i="55"/>
  <c r="L50" i="55" s="1"/>
  <c r="X24" i="55"/>
  <c r="AB24" i="55" s="1"/>
  <c r="AC24" i="55" s="1"/>
  <c r="X21" i="55"/>
  <c r="AB21" i="55" s="1"/>
  <c r="AC21" i="55" s="1"/>
  <c r="X18" i="55"/>
  <c r="AB18" i="55" s="1"/>
  <c r="AC18" i="55" s="1"/>
  <c r="X15" i="55"/>
  <c r="AB15" i="55" s="1"/>
  <c r="AC15" i="55" s="1"/>
  <c r="X14" i="55"/>
  <c r="AB14" i="55" s="1"/>
  <c r="X11" i="55"/>
  <c r="AB11" i="55" s="1"/>
  <c r="AC11" i="55" s="1"/>
  <c r="X10" i="55"/>
  <c r="X22" i="55"/>
  <c r="AB22" i="55" s="1"/>
  <c r="AC22" i="55" s="1"/>
  <c r="X16" i="55"/>
  <c r="AB16" i="55" s="1"/>
  <c r="AC16" i="55" s="1"/>
  <c r="X25" i="55"/>
  <c r="AB25" i="55" s="1"/>
  <c r="AC25" i="55" s="1"/>
  <c r="X19" i="55"/>
  <c r="AB19" i="55" s="1"/>
  <c r="AC19" i="55" s="1"/>
  <c r="X13" i="55"/>
  <c r="AB13" i="55" s="1"/>
  <c r="AC13" i="55" s="1"/>
  <c r="X12" i="55"/>
  <c r="AB12" i="55" s="1"/>
  <c r="X17" i="55"/>
  <c r="AB17" i="55" s="1"/>
  <c r="AC17" i="55" s="1"/>
  <c r="X23" i="55"/>
  <c r="AB23" i="55" s="1"/>
  <c r="AC23" i="55" s="1"/>
  <c r="X20" i="55"/>
  <c r="AB20" i="55" s="1"/>
  <c r="AC20" i="55" s="1"/>
  <c r="K77" i="55"/>
  <c r="L77" i="55" s="1"/>
  <c r="K67" i="55"/>
  <c r="L67" i="55" s="1"/>
  <c r="K78" i="55"/>
  <c r="L78" i="55" s="1"/>
  <c r="K71" i="55"/>
  <c r="L71" i="55" s="1"/>
  <c r="K59" i="55"/>
  <c r="L59" i="55" s="1"/>
  <c r="K70" i="55"/>
  <c r="L70" i="55" s="1"/>
  <c r="AC12" i="55" l="1"/>
  <c r="W48" i="55"/>
  <c r="AB48" i="55" s="1"/>
  <c r="L82" i="55"/>
  <c r="W49" i="55"/>
  <c r="AB49" i="55" s="1"/>
  <c r="AC14" i="55"/>
  <c r="X26" i="55"/>
  <c r="AB10" i="55"/>
  <c r="K86" i="55" l="1"/>
  <c r="X56" i="55"/>
  <c r="AB57" i="55" s="1"/>
  <c r="AC40" i="55"/>
  <c r="AC10" i="55"/>
  <c r="AC26" i="55" s="1"/>
  <c r="AB26" i="55"/>
  <c r="X53" i="55" s="1"/>
  <c r="AB54" i="55" s="1"/>
  <c r="W47" i="55"/>
  <c r="AC44" i="55" l="1"/>
  <c r="W50" i="55"/>
  <c r="AB47" i="55"/>
  <c r="AC50" i="55" s="1"/>
  <c r="AB77" i="55"/>
  <c r="AC77" i="55" s="1"/>
  <c r="AB70" i="55"/>
  <c r="AC70" i="55" s="1"/>
  <c r="AB69" i="55"/>
  <c r="AC69" i="55" s="1"/>
  <c r="AB58" i="55"/>
  <c r="AC58" i="55" s="1"/>
  <c r="AB76" i="55"/>
  <c r="AC76" i="55" s="1"/>
  <c r="AB66" i="55"/>
  <c r="AC66" i="55" s="1"/>
  <c r="AB68" i="55"/>
  <c r="AC68" i="55" s="1"/>
  <c r="AB71" i="55"/>
  <c r="AC71" i="55" s="1"/>
  <c r="L86" i="55"/>
  <c r="L87" i="55" s="1"/>
  <c r="L90" i="55" s="1"/>
  <c r="L92" i="55" s="1"/>
  <c r="AC81" i="55" l="1"/>
  <c r="L84" i="55" s="1"/>
  <c r="L94" i="55"/>
  <c r="B136" i="54"/>
  <c r="B135" i="54"/>
  <c r="M86" i="54"/>
  <c r="V79" i="54"/>
  <c r="V78" i="54"/>
  <c r="Y77" i="54"/>
  <c r="V77" i="54"/>
  <c r="Y76" i="54"/>
  <c r="G76" i="54"/>
  <c r="I76" i="54" s="1"/>
  <c r="AB75" i="54"/>
  <c r="I75" i="54"/>
  <c r="Z74" i="54" s="1"/>
  <c r="G75" i="54"/>
  <c r="AB74" i="54"/>
  <c r="AC74" i="54" s="1"/>
  <c r="Y71" i="54"/>
  <c r="Y70" i="54"/>
  <c r="Y69" i="54"/>
  <c r="Y68" i="54"/>
  <c r="Y66" i="54"/>
  <c r="X65" i="54"/>
  <c r="X64" i="54"/>
  <c r="X61" i="54"/>
  <c r="Y58" i="54" s="1"/>
  <c r="X60" i="54"/>
  <c r="I59" i="54"/>
  <c r="AA56" i="54"/>
  <c r="AA53" i="54"/>
  <c r="Z49" i="54"/>
  <c r="G49" i="54"/>
  <c r="Z48" i="54"/>
  <c r="G48" i="54"/>
  <c r="Z47" i="54"/>
  <c r="G47" i="54"/>
  <c r="X40" i="54"/>
  <c r="K40" i="54"/>
  <c r="X39" i="54"/>
  <c r="AB40" i="54" s="1"/>
  <c r="X37" i="54"/>
  <c r="E37" i="54"/>
  <c r="D37" i="54"/>
  <c r="AC36" i="54"/>
  <c r="AB36" i="54"/>
  <c r="G36" i="54"/>
  <c r="L36" i="54" s="1"/>
  <c r="AB35" i="54"/>
  <c r="AC35" i="54" s="1"/>
  <c r="G35" i="54"/>
  <c r="L35" i="54" s="1"/>
  <c r="AC34" i="54"/>
  <c r="AB34" i="54"/>
  <c r="G34" i="54"/>
  <c r="L34" i="54" s="1"/>
  <c r="AB33" i="54"/>
  <c r="AC33" i="54" s="1"/>
  <c r="G33" i="54"/>
  <c r="L33" i="54" s="1"/>
  <c r="AC32" i="54"/>
  <c r="AB32" i="54"/>
  <c r="G32" i="54"/>
  <c r="L32" i="54" s="1"/>
  <c r="AB31" i="54"/>
  <c r="AC31" i="54" s="1"/>
  <c r="G31" i="54"/>
  <c r="L31" i="54" s="1"/>
  <c r="AC30" i="54"/>
  <c r="AB30" i="54"/>
  <c r="G30" i="54"/>
  <c r="L30" i="54" s="1"/>
  <c r="AB29" i="54"/>
  <c r="AC29" i="54" s="1"/>
  <c r="G29" i="54"/>
  <c r="L29" i="54" s="1"/>
  <c r="AC28" i="54"/>
  <c r="AB28" i="54"/>
  <c r="G28" i="54"/>
  <c r="G37" i="54" s="1"/>
  <c r="E26" i="54"/>
  <c r="D26" i="54"/>
  <c r="K25" i="54"/>
  <c r="L25" i="54" s="1"/>
  <c r="G25" i="54"/>
  <c r="G24" i="54"/>
  <c r="I23" i="54"/>
  <c r="I24" i="54" s="1"/>
  <c r="G23" i="54"/>
  <c r="G22" i="54"/>
  <c r="K22" i="54" s="1"/>
  <c r="L22" i="54" s="1"/>
  <c r="G21" i="54"/>
  <c r="I20" i="54"/>
  <c r="I21" i="54" s="1"/>
  <c r="G20" i="54"/>
  <c r="K20" i="54" s="1"/>
  <c r="L20" i="54" s="1"/>
  <c r="K19" i="54"/>
  <c r="L19" i="54" s="1"/>
  <c r="G19" i="54"/>
  <c r="G18" i="54"/>
  <c r="I17" i="54"/>
  <c r="I18" i="54" s="1"/>
  <c r="G17" i="54"/>
  <c r="G16" i="54"/>
  <c r="K16" i="54" s="1"/>
  <c r="L16" i="54" s="1"/>
  <c r="I15" i="54"/>
  <c r="G15" i="54"/>
  <c r="M15" i="54" s="1"/>
  <c r="G14" i="54"/>
  <c r="K14" i="54" s="1"/>
  <c r="I13" i="54"/>
  <c r="G13" i="54"/>
  <c r="M13" i="54" s="1"/>
  <c r="G12" i="54"/>
  <c r="K12" i="54" s="1"/>
  <c r="L12" i="54" s="1"/>
  <c r="I11" i="54"/>
  <c r="G11" i="54"/>
  <c r="M11" i="54" s="1"/>
  <c r="G10" i="54"/>
  <c r="AB7" i="54"/>
  <c r="X47" i="54" s="1"/>
  <c r="X7" i="54"/>
  <c r="V4" i="54"/>
  <c r="B3" i="54"/>
  <c r="V2" i="54"/>
  <c r="G26" i="54" l="1"/>
  <c r="L40" i="54" s="1"/>
  <c r="K15" i="54"/>
  <c r="L15" i="54" s="1"/>
  <c r="K17" i="54"/>
  <c r="L17" i="54" s="1"/>
  <c r="K18" i="54"/>
  <c r="L18" i="54" s="1"/>
  <c r="K23" i="54"/>
  <c r="L23" i="54" s="1"/>
  <c r="K24" i="54"/>
  <c r="L24" i="54" s="1"/>
  <c r="K11" i="54"/>
  <c r="L11" i="54" s="1"/>
  <c r="K21" i="54"/>
  <c r="L21" i="54" s="1"/>
  <c r="AC37" i="54"/>
  <c r="X49" i="54"/>
  <c r="L76" i="54"/>
  <c r="Z75" i="54"/>
  <c r="AC75" i="54" s="1"/>
  <c r="K84" i="54"/>
  <c r="C49" i="54"/>
  <c r="K49" i="54" s="1"/>
  <c r="L14" i="54"/>
  <c r="K10" i="54"/>
  <c r="L28" i="54"/>
  <c r="L37" i="54" s="1"/>
  <c r="X48" i="54"/>
  <c r="L75" i="54"/>
  <c r="K13" i="54"/>
  <c r="L13" i="54" s="1"/>
  <c r="G56" i="54" l="1"/>
  <c r="K57" i="54" s="1"/>
  <c r="K26" i="54"/>
  <c r="G53" i="54" s="1"/>
  <c r="K54" i="54" s="1"/>
  <c r="C47" i="54"/>
  <c r="L10" i="54"/>
  <c r="L26" i="54" s="1"/>
  <c r="L44" i="54" s="1"/>
  <c r="K69" i="54"/>
  <c r="L69" i="54" s="1"/>
  <c r="K72" i="54"/>
  <c r="L72" i="54" s="1"/>
  <c r="X24" i="54"/>
  <c r="AB24" i="54" s="1"/>
  <c r="AC24" i="54" s="1"/>
  <c r="X21" i="54"/>
  <c r="AB21" i="54" s="1"/>
  <c r="AC21" i="54" s="1"/>
  <c r="X18" i="54"/>
  <c r="AB18" i="54" s="1"/>
  <c r="AC18" i="54" s="1"/>
  <c r="X15" i="54"/>
  <c r="AB15" i="54" s="1"/>
  <c r="AC15" i="54" s="1"/>
  <c r="X14" i="54"/>
  <c r="AB14" i="54" s="1"/>
  <c r="X11" i="54"/>
  <c r="AB11" i="54" s="1"/>
  <c r="AC11" i="54" s="1"/>
  <c r="X10" i="54"/>
  <c r="X17" i="54"/>
  <c r="AB17" i="54" s="1"/>
  <c r="AC17" i="54" s="1"/>
  <c r="X23" i="54"/>
  <c r="AB23" i="54" s="1"/>
  <c r="AC23" i="54" s="1"/>
  <c r="X20" i="54"/>
  <c r="AB20" i="54" s="1"/>
  <c r="AC20" i="54" s="1"/>
  <c r="X25" i="54"/>
  <c r="AB25" i="54" s="1"/>
  <c r="AC25" i="54" s="1"/>
  <c r="X22" i="54"/>
  <c r="AB22" i="54" s="1"/>
  <c r="AC22" i="54" s="1"/>
  <c r="X19" i="54"/>
  <c r="AB19" i="54" s="1"/>
  <c r="AC19" i="54" s="1"/>
  <c r="X16" i="54"/>
  <c r="AB16" i="54" s="1"/>
  <c r="AC16" i="54" s="1"/>
  <c r="X13" i="54"/>
  <c r="AB13" i="54" s="1"/>
  <c r="AC13" i="54" s="1"/>
  <c r="X12" i="54"/>
  <c r="AB12" i="54" s="1"/>
  <c r="C48" i="54"/>
  <c r="K48" i="54" s="1"/>
  <c r="AC12" i="54" l="1"/>
  <c r="W48" i="54"/>
  <c r="AB48" i="54" s="1"/>
  <c r="W49" i="54"/>
  <c r="AB49" i="54" s="1"/>
  <c r="AC14" i="54"/>
  <c r="C50" i="54"/>
  <c r="K47" i="54"/>
  <c r="L50" i="54" s="1"/>
  <c r="AB10" i="54"/>
  <c r="X26" i="54"/>
  <c r="K77" i="54"/>
  <c r="L77" i="54" s="1"/>
  <c r="K67" i="54"/>
  <c r="L67" i="54" s="1"/>
  <c r="K70" i="54"/>
  <c r="L70" i="54" s="1"/>
  <c r="K78" i="54"/>
  <c r="L78" i="54" s="1"/>
  <c r="K71" i="54"/>
  <c r="L71" i="54" s="1"/>
  <c r="K59" i="54"/>
  <c r="L59" i="54" s="1"/>
  <c r="L82" i="54" l="1"/>
  <c r="K86" i="54" s="1"/>
  <c r="X56" i="54"/>
  <c r="AB57" i="54" s="1"/>
  <c r="AC40" i="54"/>
  <c r="AB26" i="54"/>
  <c r="X53" i="54" s="1"/>
  <c r="AB54" i="54" s="1"/>
  <c r="W47" i="54"/>
  <c r="AC10" i="54"/>
  <c r="AC26" i="54" s="1"/>
  <c r="AC44" i="54" l="1"/>
  <c r="AB71" i="54"/>
  <c r="AC71" i="54" s="1"/>
  <c r="AB68" i="54"/>
  <c r="AC68" i="54" s="1"/>
  <c r="AB47" i="54"/>
  <c r="AC50" i="54" s="1"/>
  <c r="W50" i="54"/>
  <c r="AB77" i="54"/>
  <c r="AC77" i="54" s="1"/>
  <c r="AB70" i="54"/>
  <c r="AC70" i="54" s="1"/>
  <c r="AB69" i="54"/>
  <c r="AC69" i="54" s="1"/>
  <c r="AB58" i="54"/>
  <c r="AC58" i="54" s="1"/>
  <c r="AB66" i="54"/>
  <c r="AC66" i="54" s="1"/>
  <c r="AB76" i="54"/>
  <c r="AC76" i="54" s="1"/>
  <c r="L86" i="54"/>
  <c r="L87" i="54" s="1"/>
  <c r="L90" i="54" s="1"/>
  <c r="L92" i="54" s="1"/>
  <c r="L94" i="54" l="1"/>
  <c r="AC81" i="54"/>
  <c r="L84" i="54" s="1"/>
  <c r="B136" i="53"/>
  <c r="B135" i="53"/>
  <c r="V79" i="53"/>
  <c r="V78" i="53"/>
  <c r="Y77" i="53"/>
  <c r="V77" i="53"/>
  <c r="Y76" i="53"/>
  <c r="G76" i="53"/>
  <c r="I76" i="53" s="1"/>
  <c r="AB75" i="53"/>
  <c r="G75" i="53"/>
  <c r="I75" i="53" s="1"/>
  <c r="AB74" i="53"/>
  <c r="Y71" i="53"/>
  <c r="Y70" i="53"/>
  <c r="Y69" i="53"/>
  <c r="Y68" i="53"/>
  <c r="Y66" i="53"/>
  <c r="X65" i="53"/>
  <c r="Y58" i="53" s="1"/>
  <c r="X64" i="53"/>
  <c r="X61" i="53"/>
  <c r="X60" i="53"/>
  <c r="I59" i="53"/>
  <c r="AA56" i="53"/>
  <c r="AA53" i="53"/>
  <c r="Z49" i="53"/>
  <c r="G49" i="53"/>
  <c r="Z48" i="53"/>
  <c r="G48" i="53"/>
  <c r="Z47" i="53"/>
  <c r="G47" i="53"/>
  <c r="X40" i="53"/>
  <c r="K40" i="53"/>
  <c r="X39" i="53"/>
  <c r="X37" i="53"/>
  <c r="E37" i="53"/>
  <c r="D37" i="53"/>
  <c r="AB36" i="53"/>
  <c r="AC36" i="53" s="1"/>
  <c r="G36" i="53"/>
  <c r="L36" i="53" s="1"/>
  <c r="AB35" i="53"/>
  <c r="AC35" i="53" s="1"/>
  <c r="L35" i="53"/>
  <c r="G35" i="53"/>
  <c r="AB34" i="53"/>
  <c r="AC34" i="53" s="1"/>
  <c r="G34" i="53"/>
  <c r="L34" i="53" s="1"/>
  <c r="AB33" i="53"/>
  <c r="AC33" i="53" s="1"/>
  <c r="G33" i="53"/>
  <c r="L33" i="53" s="1"/>
  <c r="AB32" i="53"/>
  <c r="AC32" i="53" s="1"/>
  <c r="G32" i="53"/>
  <c r="L32" i="53" s="1"/>
  <c r="AB31" i="53"/>
  <c r="AC31" i="53" s="1"/>
  <c r="G31" i="53"/>
  <c r="L31" i="53" s="1"/>
  <c r="AB30" i="53"/>
  <c r="AC30" i="53" s="1"/>
  <c r="G30" i="53"/>
  <c r="L30" i="53" s="1"/>
  <c r="AB29" i="53"/>
  <c r="AC29" i="53" s="1"/>
  <c r="G29" i="53"/>
  <c r="L29" i="53" s="1"/>
  <c r="AB28" i="53"/>
  <c r="AC28" i="53" s="1"/>
  <c r="AC37" i="53" s="1"/>
  <c r="G28" i="53"/>
  <c r="E26" i="53"/>
  <c r="D26" i="53"/>
  <c r="G25" i="53"/>
  <c r="K25" i="53" s="1"/>
  <c r="L25" i="53" s="1"/>
  <c r="G24" i="53"/>
  <c r="I23" i="53"/>
  <c r="I24" i="53" s="1"/>
  <c r="K24" i="53" s="1"/>
  <c r="L24" i="53" s="1"/>
  <c r="G23" i="53"/>
  <c r="K23" i="53" s="1"/>
  <c r="L23" i="53" s="1"/>
  <c r="G22" i="53"/>
  <c r="K22" i="53" s="1"/>
  <c r="L22" i="53" s="1"/>
  <c r="G21" i="53"/>
  <c r="I20" i="53"/>
  <c r="I21" i="53" s="1"/>
  <c r="K21" i="53" s="1"/>
  <c r="L21" i="53" s="1"/>
  <c r="G20" i="53"/>
  <c r="L19" i="53"/>
  <c r="G19" i="53"/>
  <c r="K19" i="53" s="1"/>
  <c r="G18" i="53"/>
  <c r="I17" i="53"/>
  <c r="I18" i="53" s="1"/>
  <c r="G17" i="53"/>
  <c r="G16" i="53"/>
  <c r="K16" i="53" s="1"/>
  <c r="L16" i="53" s="1"/>
  <c r="I15" i="53"/>
  <c r="G15" i="53"/>
  <c r="K15" i="53" s="1"/>
  <c r="L15" i="53" s="1"/>
  <c r="G14" i="53"/>
  <c r="K14" i="53" s="1"/>
  <c r="I13" i="53"/>
  <c r="G13" i="53"/>
  <c r="G12" i="53"/>
  <c r="K12" i="53" s="1"/>
  <c r="L12" i="53" s="1"/>
  <c r="I11" i="53"/>
  <c r="G11" i="53"/>
  <c r="M11" i="53" s="1"/>
  <c r="G10" i="53"/>
  <c r="AB7" i="53"/>
  <c r="X48" i="53" s="1"/>
  <c r="X7" i="53"/>
  <c r="V4" i="53"/>
  <c r="B3" i="53"/>
  <c r="V2" i="53"/>
  <c r="L75" i="53" l="1"/>
  <c r="Z74" i="53"/>
  <c r="X47" i="53"/>
  <c r="X49" i="53"/>
  <c r="K11" i="53"/>
  <c r="L11" i="53" s="1"/>
  <c r="K13" i="53"/>
  <c r="L13" i="53" s="1"/>
  <c r="M13" i="53"/>
  <c r="K18" i="53"/>
  <c r="L18" i="53" s="1"/>
  <c r="K20" i="53"/>
  <c r="L20" i="53" s="1"/>
  <c r="C49" i="53"/>
  <c r="K49" i="53" s="1"/>
  <c r="M15" i="53"/>
  <c r="G26" i="53"/>
  <c r="L14" i="53"/>
  <c r="K17" i="53"/>
  <c r="L17" i="53" s="1"/>
  <c r="AB40" i="53"/>
  <c r="C48" i="53"/>
  <c r="K48" i="53" s="1"/>
  <c r="AC74" i="53"/>
  <c r="K10" i="53"/>
  <c r="G37" i="53"/>
  <c r="L28" i="53"/>
  <c r="L37" i="53" s="1"/>
  <c r="L76" i="53"/>
  <c r="Z75" i="53"/>
  <c r="AC75" i="53" s="1"/>
  <c r="K26" i="53" l="1"/>
  <c r="G53" i="53" s="1"/>
  <c r="K54" i="53" s="1"/>
  <c r="C47" i="53"/>
  <c r="L10" i="53"/>
  <c r="L26" i="53" s="1"/>
  <c r="K84" i="53"/>
  <c r="L40" i="53"/>
  <c r="G56" i="53"/>
  <c r="K57" i="53" s="1"/>
  <c r="L44" i="53" l="1"/>
  <c r="K69" i="53"/>
  <c r="L69" i="53" s="1"/>
  <c r="K72" i="53"/>
  <c r="L72" i="53" s="1"/>
  <c r="C50" i="53"/>
  <c r="K47" i="53"/>
  <c r="L50" i="53" s="1"/>
  <c r="K77" i="53"/>
  <c r="L77" i="53" s="1"/>
  <c r="K67" i="53"/>
  <c r="L67" i="53" s="1"/>
  <c r="K78" i="53"/>
  <c r="L78" i="53" s="1"/>
  <c r="K71" i="53"/>
  <c r="L71" i="53" s="1"/>
  <c r="K70" i="53"/>
  <c r="L70" i="53" s="1"/>
  <c r="K59" i="53"/>
  <c r="L59" i="53" s="1"/>
  <c r="X24" i="53"/>
  <c r="AB24" i="53" s="1"/>
  <c r="AC24" i="53" s="1"/>
  <c r="X21" i="53"/>
  <c r="AB21" i="53" s="1"/>
  <c r="AC21" i="53" s="1"/>
  <c r="X18" i="53"/>
  <c r="AB18" i="53" s="1"/>
  <c r="AC18" i="53" s="1"/>
  <c r="X15" i="53"/>
  <c r="AB15" i="53" s="1"/>
  <c r="AC15" i="53" s="1"/>
  <c r="X14" i="53"/>
  <c r="AB14" i="53" s="1"/>
  <c r="X11" i="53"/>
  <c r="AB11" i="53" s="1"/>
  <c r="AC11" i="53" s="1"/>
  <c r="X10" i="53"/>
  <c r="X12" i="53"/>
  <c r="AB12" i="53" s="1"/>
  <c r="X17" i="53"/>
  <c r="AB17" i="53" s="1"/>
  <c r="AC17" i="53" s="1"/>
  <c r="X25" i="53"/>
  <c r="AB25" i="53" s="1"/>
  <c r="AC25" i="53" s="1"/>
  <c r="X22" i="53"/>
  <c r="AB22" i="53" s="1"/>
  <c r="AC22" i="53" s="1"/>
  <c r="X19" i="53"/>
  <c r="AB19" i="53" s="1"/>
  <c r="AC19" i="53" s="1"/>
  <c r="X16" i="53"/>
  <c r="AB16" i="53" s="1"/>
  <c r="AC16" i="53" s="1"/>
  <c r="X13" i="53"/>
  <c r="AB13" i="53" s="1"/>
  <c r="AC13" i="53" s="1"/>
  <c r="X23" i="53"/>
  <c r="AB23" i="53" s="1"/>
  <c r="AC23" i="53" s="1"/>
  <c r="X20" i="53"/>
  <c r="AB20" i="53" s="1"/>
  <c r="AC20" i="53" s="1"/>
  <c r="L82" i="53" l="1"/>
  <c r="K86" i="53" s="1"/>
  <c r="AC12" i="53"/>
  <c r="W48" i="53"/>
  <c r="AB48" i="53" s="1"/>
  <c r="W49" i="53"/>
  <c r="AB49" i="53" s="1"/>
  <c r="AC14" i="53"/>
  <c r="X26" i="53"/>
  <c r="AB10" i="53"/>
  <c r="AB26" i="53" l="1"/>
  <c r="X53" i="53" s="1"/>
  <c r="AB54" i="53" s="1"/>
  <c r="W47" i="53"/>
  <c r="AC10" i="53"/>
  <c r="AC26" i="53" s="1"/>
  <c r="X56" i="53"/>
  <c r="AB57" i="53" s="1"/>
  <c r="AC40" i="53"/>
  <c r="L86" i="53"/>
  <c r="L87" i="53" s="1"/>
  <c r="L90" i="53" s="1"/>
  <c r="L92" i="53" s="1"/>
  <c r="AC44" i="53" l="1"/>
  <c r="AB71" i="53"/>
  <c r="AC71" i="53" s="1"/>
  <c r="AB68" i="53"/>
  <c r="AC68" i="53" s="1"/>
  <c r="L94" i="53"/>
  <c r="W50" i="53"/>
  <c r="AB47" i="53"/>
  <c r="AC50" i="53" s="1"/>
  <c r="AB77" i="53"/>
  <c r="AC77" i="53" s="1"/>
  <c r="AB70" i="53"/>
  <c r="AC70" i="53" s="1"/>
  <c r="AB69" i="53"/>
  <c r="AC69" i="53" s="1"/>
  <c r="AB58" i="53"/>
  <c r="AC58" i="53" s="1"/>
  <c r="AB66" i="53"/>
  <c r="AC66" i="53" s="1"/>
  <c r="AB76" i="53"/>
  <c r="AC76" i="53" s="1"/>
  <c r="AC81" i="53" l="1"/>
  <c r="L84" i="53" s="1"/>
  <c r="B136" i="52"/>
  <c r="B135" i="52"/>
  <c r="M86" i="52"/>
  <c r="V79" i="52"/>
  <c r="V78" i="52"/>
  <c r="Y77" i="52"/>
  <c r="V77" i="52"/>
  <c r="Y76" i="52"/>
  <c r="G76" i="52"/>
  <c r="I76" i="52" s="1"/>
  <c r="AB75" i="52"/>
  <c r="G75" i="52"/>
  <c r="I75" i="52" s="1"/>
  <c r="L75" i="52" s="1"/>
  <c r="AB74" i="52"/>
  <c r="Y71" i="52"/>
  <c r="Y70" i="52"/>
  <c r="Y69" i="52"/>
  <c r="Y68" i="52"/>
  <c r="Y66" i="52"/>
  <c r="X65" i="52"/>
  <c r="X64" i="52"/>
  <c r="X61" i="52"/>
  <c r="X60" i="52"/>
  <c r="I59" i="52"/>
  <c r="AA56" i="52"/>
  <c r="AA53" i="52"/>
  <c r="Z49" i="52"/>
  <c r="G49" i="52"/>
  <c r="Z48" i="52"/>
  <c r="G48" i="52"/>
  <c r="Z47" i="52"/>
  <c r="G47" i="52"/>
  <c r="X40" i="52"/>
  <c r="K40" i="52"/>
  <c r="X39" i="52"/>
  <c r="AB40" i="52" s="1"/>
  <c r="X37" i="52"/>
  <c r="E37" i="52"/>
  <c r="D37" i="52"/>
  <c r="AB36" i="52"/>
  <c r="AC36" i="52" s="1"/>
  <c r="G36" i="52"/>
  <c r="L36" i="52" s="1"/>
  <c r="AB35" i="52"/>
  <c r="AC35" i="52" s="1"/>
  <c r="G35" i="52"/>
  <c r="L35" i="52" s="1"/>
  <c r="AB34" i="52"/>
  <c r="AC34" i="52" s="1"/>
  <c r="G34" i="52"/>
  <c r="L34" i="52" s="1"/>
  <c r="AB33" i="52"/>
  <c r="AC33" i="52" s="1"/>
  <c r="G33" i="52"/>
  <c r="L33" i="52" s="1"/>
  <c r="AB32" i="52"/>
  <c r="AC32" i="52" s="1"/>
  <c r="G32" i="52"/>
  <c r="L32" i="52" s="1"/>
  <c r="AB31" i="52"/>
  <c r="AC31" i="52" s="1"/>
  <c r="G31" i="52"/>
  <c r="L31" i="52" s="1"/>
  <c r="AB30" i="52"/>
  <c r="AC30" i="52" s="1"/>
  <c r="G30" i="52"/>
  <c r="L30" i="52" s="1"/>
  <c r="AB29" i="52"/>
  <c r="AC29" i="52" s="1"/>
  <c r="G29" i="52"/>
  <c r="L29" i="52" s="1"/>
  <c r="AB28" i="52"/>
  <c r="AC28" i="52" s="1"/>
  <c r="AC37" i="52" s="1"/>
  <c r="G28" i="52"/>
  <c r="E26" i="52"/>
  <c r="D26" i="52"/>
  <c r="G25" i="52"/>
  <c r="K25" i="52" s="1"/>
  <c r="L25" i="52" s="1"/>
  <c r="G24" i="52"/>
  <c r="I23" i="52"/>
  <c r="I24" i="52" s="1"/>
  <c r="G23" i="52"/>
  <c r="K23" i="52" s="1"/>
  <c r="L23" i="52" s="1"/>
  <c r="G22" i="52"/>
  <c r="K22" i="52" s="1"/>
  <c r="L22" i="52" s="1"/>
  <c r="G21" i="52"/>
  <c r="I20" i="52"/>
  <c r="I21" i="52" s="1"/>
  <c r="G20" i="52"/>
  <c r="G19" i="52"/>
  <c r="K19" i="52" s="1"/>
  <c r="L19" i="52" s="1"/>
  <c r="G18" i="52"/>
  <c r="I17" i="52"/>
  <c r="I18" i="52" s="1"/>
  <c r="G17" i="52"/>
  <c r="K17" i="52" s="1"/>
  <c r="L17" i="52" s="1"/>
  <c r="K16" i="52"/>
  <c r="L16" i="52" s="1"/>
  <c r="G16" i="52"/>
  <c r="I15" i="52"/>
  <c r="G15" i="52"/>
  <c r="M15" i="52" s="1"/>
  <c r="G14" i="52"/>
  <c r="K14" i="52" s="1"/>
  <c r="I13" i="52"/>
  <c r="G13" i="52"/>
  <c r="M13" i="52" s="1"/>
  <c r="G12" i="52"/>
  <c r="K12" i="52" s="1"/>
  <c r="L12" i="52" s="1"/>
  <c r="I11" i="52"/>
  <c r="G11" i="52"/>
  <c r="M11" i="52" s="1"/>
  <c r="G10" i="52"/>
  <c r="AB7" i="52"/>
  <c r="X47" i="52" s="1"/>
  <c r="X7" i="52"/>
  <c r="V4" i="52"/>
  <c r="B3" i="52"/>
  <c r="V2" i="52"/>
  <c r="G37" i="52" l="1"/>
  <c r="G26" i="52"/>
  <c r="G56" i="52" s="1"/>
  <c r="K57" i="52" s="1"/>
  <c r="K15" i="52"/>
  <c r="L15" i="52" s="1"/>
  <c r="K18" i="52"/>
  <c r="L18" i="52" s="1"/>
  <c r="K24" i="52"/>
  <c r="L24" i="52" s="1"/>
  <c r="K11" i="52"/>
  <c r="L11" i="52" s="1"/>
  <c r="K20" i="52"/>
  <c r="L20" i="52" s="1"/>
  <c r="K21" i="52"/>
  <c r="L21" i="52" s="1"/>
  <c r="X49" i="52"/>
  <c r="Y58" i="52"/>
  <c r="Z74" i="52"/>
  <c r="AC74" i="52" s="1"/>
  <c r="K84" i="52"/>
  <c r="L76" i="52"/>
  <c r="Z75" i="52"/>
  <c r="AC75" i="52" s="1"/>
  <c r="L14" i="52"/>
  <c r="C49" i="52"/>
  <c r="K49" i="52" s="1"/>
  <c r="K10" i="52"/>
  <c r="L28" i="52"/>
  <c r="L37" i="52" s="1"/>
  <c r="X48" i="52"/>
  <c r="K13" i="52"/>
  <c r="L13" i="52" s="1"/>
  <c r="L40" i="52" l="1"/>
  <c r="X24" i="52"/>
  <c r="AB24" i="52" s="1"/>
  <c r="AC24" i="52" s="1"/>
  <c r="X21" i="52"/>
  <c r="AB21" i="52" s="1"/>
  <c r="AC21" i="52" s="1"/>
  <c r="X18" i="52"/>
  <c r="AB18" i="52" s="1"/>
  <c r="AC18" i="52" s="1"/>
  <c r="X15" i="52"/>
  <c r="AB15" i="52" s="1"/>
  <c r="AC15" i="52" s="1"/>
  <c r="X14" i="52"/>
  <c r="AB14" i="52" s="1"/>
  <c r="X11" i="52"/>
  <c r="AB11" i="52" s="1"/>
  <c r="AC11" i="52" s="1"/>
  <c r="X10" i="52"/>
  <c r="X20" i="52"/>
  <c r="AB20" i="52" s="1"/>
  <c r="AC20" i="52" s="1"/>
  <c r="X17" i="52"/>
  <c r="AB17" i="52" s="1"/>
  <c r="AC17" i="52" s="1"/>
  <c r="X25" i="52"/>
  <c r="AB25" i="52" s="1"/>
  <c r="AC25" i="52" s="1"/>
  <c r="X22" i="52"/>
  <c r="AB22" i="52" s="1"/>
  <c r="AC22" i="52" s="1"/>
  <c r="X19" i="52"/>
  <c r="AB19" i="52" s="1"/>
  <c r="AC19" i="52" s="1"/>
  <c r="X16" i="52"/>
  <c r="AB16" i="52" s="1"/>
  <c r="AC16" i="52" s="1"/>
  <c r="X13" i="52"/>
  <c r="AB13" i="52" s="1"/>
  <c r="AC13" i="52" s="1"/>
  <c r="X12" i="52"/>
  <c r="AB12" i="52" s="1"/>
  <c r="X23" i="52"/>
  <c r="AB23" i="52" s="1"/>
  <c r="AC23" i="52" s="1"/>
  <c r="K26" i="52"/>
  <c r="G53" i="52" s="1"/>
  <c r="K54" i="52" s="1"/>
  <c r="C47" i="52"/>
  <c r="L10" i="52"/>
  <c r="L26" i="52" s="1"/>
  <c r="L44" i="52" s="1"/>
  <c r="C48" i="52"/>
  <c r="K48" i="52" s="1"/>
  <c r="K69" i="52"/>
  <c r="L69" i="52" s="1"/>
  <c r="K72" i="52"/>
  <c r="L72" i="52" s="1"/>
  <c r="K77" i="52" l="1"/>
  <c r="L77" i="52" s="1"/>
  <c r="K67" i="52"/>
  <c r="L67" i="52" s="1"/>
  <c r="K78" i="52"/>
  <c r="L78" i="52" s="1"/>
  <c r="K71" i="52"/>
  <c r="L71" i="52" s="1"/>
  <c r="K59" i="52"/>
  <c r="L59" i="52" s="1"/>
  <c r="K70" i="52"/>
  <c r="L70" i="52" s="1"/>
  <c r="C50" i="52"/>
  <c r="K47" i="52"/>
  <c r="L50" i="52" s="1"/>
  <c r="L82" i="52" s="1"/>
  <c r="AB10" i="52"/>
  <c r="X26" i="52"/>
  <c r="W49" i="52"/>
  <c r="AB49" i="52" s="1"/>
  <c r="AC14" i="52"/>
  <c r="AC12" i="52"/>
  <c r="W48" i="52"/>
  <c r="AB48" i="52" s="1"/>
  <c r="K86" i="52" l="1"/>
  <c r="X56" i="52"/>
  <c r="AB57" i="52" s="1"/>
  <c r="AC40" i="52"/>
  <c r="AB26" i="52"/>
  <c r="X53" i="52" s="1"/>
  <c r="AB54" i="52" s="1"/>
  <c r="W47" i="52"/>
  <c r="AC10" i="52"/>
  <c r="AC26" i="52" s="1"/>
  <c r="AC44" i="52" s="1"/>
  <c r="AB47" i="52" l="1"/>
  <c r="AC50" i="52" s="1"/>
  <c r="W50" i="52"/>
  <c r="AB77" i="52"/>
  <c r="AC77" i="52" s="1"/>
  <c r="AB70" i="52"/>
  <c r="AC70" i="52" s="1"/>
  <c r="AB69" i="52"/>
  <c r="AC69" i="52" s="1"/>
  <c r="AB58" i="52"/>
  <c r="AC58" i="52" s="1"/>
  <c r="AB66" i="52"/>
  <c r="AC66" i="52" s="1"/>
  <c r="AB76" i="52"/>
  <c r="AC76" i="52" s="1"/>
  <c r="L86" i="52"/>
  <c r="L87" i="52" s="1"/>
  <c r="L90" i="52" s="1"/>
  <c r="L92" i="52" s="1"/>
  <c r="AB68" i="52"/>
  <c r="AC68" i="52" s="1"/>
  <c r="AB71" i="52"/>
  <c r="AC71" i="52" s="1"/>
  <c r="L94" i="52" l="1"/>
  <c r="AC81" i="52"/>
  <c r="L84" i="52" s="1"/>
  <c r="B136" i="51"/>
  <c r="B135" i="51"/>
  <c r="M86" i="51"/>
  <c r="V79" i="51"/>
  <c r="V78" i="51"/>
  <c r="Y77" i="51"/>
  <c r="V77" i="51"/>
  <c r="Y76" i="51"/>
  <c r="G76" i="51"/>
  <c r="I76" i="51" s="1"/>
  <c r="AB75" i="51"/>
  <c r="G75" i="51"/>
  <c r="I75" i="51" s="1"/>
  <c r="L75" i="51" s="1"/>
  <c r="AB74" i="51"/>
  <c r="Y71" i="51"/>
  <c r="Y70" i="51"/>
  <c r="Y69" i="51"/>
  <c r="Y68" i="51"/>
  <c r="Y66" i="51"/>
  <c r="X65" i="51"/>
  <c r="X64" i="51"/>
  <c r="X61" i="51"/>
  <c r="Y58" i="51" s="1"/>
  <c r="X60" i="51"/>
  <c r="I59" i="51"/>
  <c r="AA56" i="51"/>
  <c r="AA53" i="51"/>
  <c r="Z49" i="51"/>
  <c r="G49" i="51"/>
  <c r="Z48" i="51"/>
  <c r="G48" i="51"/>
  <c r="Z47" i="51"/>
  <c r="G47" i="51"/>
  <c r="X40" i="51"/>
  <c r="K40" i="51"/>
  <c r="X39" i="51"/>
  <c r="AB40" i="51" s="1"/>
  <c r="X37" i="51"/>
  <c r="E37" i="51"/>
  <c r="D37" i="51"/>
  <c r="AB36" i="51"/>
  <c r="AC36" i="51" s="1"/>
  <c r="G36" i="51"/>
  <c r="L36" i="51" s="1"/>
  <c r="AC35" i="51"/>
  <c r="AB35" i="51"/>
  <c r="G35" i="51"/>
  <c r="L35" i="51" s="1"/>
  <c r="AB34" i="51"/>
  <c r="AC34" i="51" s="1"/>
  <c r="G34" i="51"/>
  <c r="L34" i="51" s="1"/>
  <c r="AC33" i="51"/>
  <c r="AB33" i="51"/>
  <c r="G33" i="51"/>
  <c r="L33" i="51" s="1"/>
  <c r="AB32" i="51"/>
  <c r="AC32" i="51" s="1"/>
  <c r="G32" i="51"/>
  <c r="L32" i="51" s="1"/>
  <c r="AC31" i="51"/>
  <c r="AB31" i="51"/>
  <c r="G31" i="51"/>
  <c r="L31" i="51" s="1"/>
  <c r="AB30" i="51"/>
  <c r="AC30" i="51" s="1"/>
  <c r="G30" i="51"/>
  <c r="L30" i="51" s="1"/>
  <c r="AC29" i="51"/>
  <c r="AB29" i="51"/>
  <c r="G29" i="51"/>
  <c r="L29" i="51" s="1"/>
  <c r="AB28" i="51"/>
  <c r="AC28" i="51" s="1"/>
  <c r="AC37" i="51" s="1"/>
  <c r="G28" i="51"/>
  <c r="E26" i="51"/>
  <c r="D26" i="51"/>
  <c r="G25" i="51"/>
  <c r="K25" i="51" s="1"/>
  <c r="L25" i="51" s="1"/>
  <c r="G24" i="51"/>
  <c r="I23" i="51"/>
  <c r="I24" i="51" s="1"/>
  <c r="K24" i="51" s="1"/>
  <c r="L24" i="51" s="1"/>
  <c r="G23" i="51"/>
  <c r="K23" i="51" s="1"/>
  <c r="L23" i="51" s="1"/>
  <c r="K22" i="51"/>
  <c r="L22" i="51" s="1"/>
  <c r="G22" i="51"/>
  <c r="G21" i="51"/>
  <c r="I20" i="51"/>
  <c r="I21" i="51" s="1"/>
  <c r="K21" i="51" s="1"/>
  <c r="L21" i="51" s="1"/>
  <c r="G20" i="51"/>
  <c r="G19" i="51"/>
  <c r="K19" i="51" s="1"/>
  <c r="L19" i="51" s="1"/>
  <c r="G18" i="51"/>
  <c r="I17" i="51"/>
  <c r="I18" i="51" s="1"/>
  <c r="K18" i="51" s="1"/>
  <c r="L18" i="51" s="1"/>
  <c r="G17" i="51"/>
  <c r="K17" i="51" s="1"/>
  <c r="L17" i="51" s="1"/>
  <c r="K16" i="51"/>
  <c r="L16" i="51" s="1"/>
  <c r="G16" i="51"/>
  <c r="I15" i="51"/>
  <c r="G15" i="51"/>
  <c r="K15" i="51" s="1"/>
  <c r="L15" i="51" s="1"/>
  <c r="G14" i="51"/>
  <c r="K14" i="51" s="1"/>
  <c r="L14" i="51" s="1"/>
  <c r="I13" i="51"/>
  <c r="G13" i="51"/>
  <c r="G12" i="51"/>
  <c r="K12" i="51" s="1"/>
  <c r="L12" i="51" s="1"/>
  <c r="I11" i="51"/>
  <c r="G11" i="51"/>
  <c r="K11" i="51" s="1"/>
  <c r="L11" i="51" s="1"/>
  <c r="G10" i="51"/>
  <c r="AB7" i="51"/>
  <c r="X47" i="51" s="1"/>
  <c r="X7" i="51"/>
  <c r="V4" i="51"/>
  <c r="B3" i="51"/>
  <c r="V2" i="51"/>
  <c r="X49" i="51" l="1"/>
  <c r="K13" i="51"/>
  <c r="K20" i="51"/>
  <c r="L20" i="51" s="1"/>
  <c r="G26" i="51"/>
  <c r="K10" i="51"/>
  <c r="L13" i="51"/>
  <c r="C48" i="51"/>
  <c r="K48" i="51" s="1"/>
  <c r="L76" i="51"/>
  <c r="Z75" i="51"/>
  <c r="AC75" i="51" s="1"/>
  <c r="M11" i="51"/>
  <c r="M15" i="51"/>
  <c r="C49" i="51"/>
  <c r="K49" i="51" s="1"/>
  <c r="M13" i="51"/>
  <c r="L28" i="51"/>
  <c r="L37" i="51" s="1"/>
  <c r="G37" i="51"/>
  <c r="Z74" i="51"/>
  <c r="AC74" i="51" s="1"/>
  <c r="X48" i="51"/>
  <c r="K26" i="51" l="1"/>
  <c r="G53" i="51" s="1"/>
  <c r="K54" i="51" s="1"/>
  <c r="C47" i="51"/>
  <c r="L10" i="51"/>
  <c r="L26" i="51" s="1"/>
  <c r="K84" i="51"/>
  <c r="G56" i="51"/>
  <c r="K57" i="51" s="1"/>
  <c r="L40" i="51"/>
  <c r="L44" i="51" l="1"/>
  <c r="K69" i="51"/>
  <c r="L69" i="51" s="1"/>
  <c r="K72" i="51"/>
  <c r="L72" i="51" s="1"/>
  <c r="C50" i="51"/>
  <c r="K47" i="51"/>
  <c r="L50" i="51" s="1"/>
  <c r="K77" i="51"/>
  <c r="L77" i="51" s="1"/>
  <c r="K67" i="51"/>
  <c r="L67" i="51" s="1"/>
  <c r="K78" i="51"/>
  <c r="L78" i="51" s="1"/>
  <c r="K71" i="51"/>
  <c r="L71" i="51" s="1"/>
  <c r="K59" i="51"/>
  <c r="L59" i="51" s="1"/>
  <c r="K70" i="51"/>
  <c r="L70" i="51" s="1"/>
  <c r="X24" i="51"/>
  <c r="AB24" i="51" s="1"/>
  <c r="AC24" i="51" s="1"/>
  <c r="X21" i="51"/>
  <c r="AB21" i="51" s="1"/>
  <c r="AC21" i="51" s="1"/>
  <c r="X18" i="51"/>
  <c r="AB18" i="51" s="1"/>
  <c r="AC18" i="51" s="1"/>
  <c r="X15" i="51"/>
  <c r="AB15" i="51" s="1"/>
  <c r="AC15" i="51" s="1"/>
  <c r="X14" i="51"/>
  <c r="AB14" i="51" s="1"/>
  <c r="X11" i="51"/>
  <c r="AB11" i="51" s="1"/>
  <c r="AC11" i="51" s="1"/>
  <c r="X10" i="51"/>
  <c r="X22" i="51"/>
  <c r="AB22" i="51" s="1"/>
  <c r="AC22" i="51" s="1"/>
  <c r="X16" i="51"/>
  <c r="AB16" i="51" s="1"/>
  <c r="AC16" i="51" s="1"/>
  <c r="X25" i="51"/>
  <c r="AB25" i="51" s="1"/>
  <c r="AC25" i="51" s="1"/>
  <c r="X19" i="51"/>
  <c r="AB19" i="51" s="1"/>
  <c r="AC19" i="51" s="1"/>
  <c r="X13" i="51"/>
  <c r="AB13" i="51" s="1"/>
  <c r="AC13" i="51" s="1"/>
  <c r="X12" i="51"/>
  <c r="AB12" i="51" s="1"/>
  <c r="X17" i="51"/>
  <c r="AB17" i="51" s="1"/>
  <c r="AC17" i="51" s="1"/>
  <c r="X23" i="51"/>
  <c r="AB23" i="51" s="1"/>
  <c r="AC23" i="51" s="1"/>
  <c r="X20" i="51"/>
  <c r="AB20" i="51" s="1"/>
  <c r="AC20" i="51" s="1"/>
  <c r="W49" i="51" l="1"/>
  <c r="AB49" i="51" s="1"/>
  <c r="AC14" i="51"/>
  <c r="X26" i="51"/>
  <c r="AB10" i="51"/>
  <c r="AC12" i="51"/>
  <c r="W48" i="51"/>
  <c r="AB48" i="51" s="1"/>
  <c r="L82" i="51"/>
  <c r="AB26" i="51" l="1"/>
  <c r="X53" i="51" s="1"/>
  <c r="AB54" i="51" s="1"/>
  <c r="W47" i="51"/>
  <c r="AC10" i="51"/>
  <c r="AC26" i="51" s="1"/>
  <c r="X56" i="51"/>
  <c r="AB57" i="51" s="1"/>
  <c r="AC40" i="51"/>
  <c r="AC44" i="51" l="1"/>
  <c r="W50" i="51"/>
  <c r="AB47" i="51"/>
  <c r="AC50" i="51" s="1"/>
  <c r="AB68" i="51"/>
  <c r="AC68" i="51" s="1"/>
  <c r="AB71" i="51"/>
  <c r="AC71" i="51" s="1"/>
  <c r="AB77" i="51"/>
  <c r="AC77" i="51" s="1"/>
  <c r="AB70" i="51"/>
  <c r="AC70" i="51" s="1"/>
  <c r="AB69" i="51"/>
  <c r="AC69" i="51" s="1"/>
  <c r="AB58" i="51"/>
  <c r="AC58" i="51" s="1"/>
  <c r="AB76" i="51"/>
  <c r="AC76" i="51" s="1"/>
  <c r="AB66" i="51"/>
  <c r="AC66" i="51" s="1"/>
  <c r="AC81" i="51" l="1"/>
  <c r="L84" i="51" s="1"/>
  <c r="K86" i="51" s="1"/>
  <c r="L86" i="51" l="1"/>
  <c r="L87" i="51" s="1"/>
  <c r="L90" i="51" s="1"/>
  <c r="L92" i="51" s="1"/>
  <c r="L94" i="51" l="1"/>
  <c r="B136" i="50" l="1"/>
  <c r="B135" i="50"/>
  <c r="M86" i="50"/>
  <c r="V79" i="50"/>
  <c r="V78" i="50"/>
  <c r="Y77" i="50"/>
  <c r="V77" i="50"/>
  <c r="Y76" i="50"/>
  <c r="G76" i="50"/>
  <c r="I76" i="50" s="1"/>
  <c r="AB75" i="50"/>
  <c r="G75" i="50"/>
  <c r="I75" i="50" s="1"/>
  <c r="AB74" i="50"/>
  <c r="Y71" i="50"/>
  <c r="Y70" i="50"/>
  <c r="Y69" i="50"/>
  <c r="Y68" i="50"/>
  <c r="Y66" i="50"/>
  <c r="X65" i="50"/>
  <c r="Y58" i="50" s="1"/>
  <c r="X64" i="50"/>
  <c r="X61" i="50"/>
  <c r="X60" i="50"/>
  <c r="I59" i="50"/>
  <c r="AA56" i="50"/>
  <c r="AA53" i="50"/>
  <c r="Z49" i="50"/>
  <c r="G49" i="50"/>
  <c r="Z48" i="50"/>
  <c r="G48" i="50"/>
  <c r="Z47" i="50"/>
  <c r="G47" i="50"/>
  <c r="X40" i="50"/>
  <c r="K40" i="50"/>
  <c r="X39" i="50"/>
  <c r="X37" i="50"/>
  <c r="E37" i="50"/>
  <c r="D37" i="50"/>
  <c r="AB36" i="50"/>
  <c r="AC36" i="50" s="1"/>
  <c r="G36" i="50"/>
  <c r="L36" i="50" s="1"/>
  <c r="AB35" i="50"/>
  <c r="AC35" i="50" s="1"/>
  <c r="G35" i="50"/>
  <c r="L35" i="50" s="1"/>
  <c r="AB34" i="50"/>
  <c r="AC34" i="50" s="1"/>
  <c r="G34" i="50"/>
  <c r="L34" i="50" s="1"/>
  <c r="AB33" i="50"/>
  <c r="AC33" i="50" s="1"/>
  <c r="G33" i="50"/>
  <c r="L33" i="50" s="1"/>
  <c r="AB32" i="50"/>
  <c r="AC32" i="50" s="1"/>
  <c r="G32" i="50"/>
  <c r="L32" i="50" s="1"/>
  <c r="AB31" i="50"/>
  <c r="AC31" i="50" s="1"/>
  <c r="G31" i="50"/>
  <c r="L31" i="50" s="1"/>
  <c r="AB30" i="50"/>
  <c r="AC30" i="50" s="1"/>
  <c r="G30" i="50"/>
  <c r="L30" i="50" s="1"/>
  <c r="AB29" i="50"/>
  <c r="AC29" i="50" s="1"/>
  <c r="G29" i="50"/>
  <c r="L29" i="50" s="1"/>
  <c r="AB28" i="50"/>
  <c r="AC28" i="50" s="1"/>
  <c r="AC37" i="50" s="1"/>
  <c r="G28" i="50"/>
  <c r="E26" i="50"/>
  <c r="D26" i="50"/>
  <c r="G25" i="50"/>
  <c r="K25" i="50" s="1"/>
  <c r="L25" i="50" s="1"/>
  <c r="G24" i="50"/>
  <c r="I23" i="50"/>
  <c r="I24" i="50" s="1"/>
  <c r="G23" i="50"/>
  <c r="K23" i="50" s="1"/>
  <c r="L23" i="50" s="1"/>
  <c r="L22" i="50"/>
  <c r="G22" i="50"/>
  <c r="K22" i="50" s="1"/>
  <c r="G21" i="50"/>
  <c r="I20" i="50"/>
  <c r="I21" i="50" s="1"/>
  <c r="G20" i="50"/>
  <c r="K20" i="50" s="1"/>
  <c r="L20" i="50" s="1"/>
  <c r="G19" i="50"/>
  <c r="K19" i="50" s="1"/>
  <c r="L19" i="50" s="1"/>
  <c r="G18" i="50"/>
  <c r="I17" i="50"/>
  <c r="I18" i="50" s="1"/>
  <c r="K18" i="50" s="1"/>
  <c r="L18" i="50" s="1"/>
  <c r="G17" i="50"/>
  <c r="L16" i="50"/>
  <c r="G16" i="50"/>
  <c r="K16" i="50" s="1"/>
  <c r="I15" i="50"/>
  <c r="G15" i="50"/>
  <c r="K14" i="50"/>
  <c r="G14" i="50"/>
  <c r="I13" i="50"/>
  <c r="G13" i="50"/>
  <c r="K13" i="50" s="1"/>
  <c r="L13" i="50" s="1"/>
  <c r="G12" i="50"/>
  <c r="K12" i="50" s="1"/>
  <c r="L12" i="50" s="1"/>
  <c r="I11" i="50"/>
  <c r="G11" i="50"/>
  <c r="M11" i="50" s="1"/>
  <c r="G10" i="50"/>
  <c r="AB7" i="50"/>
  <c r="X48" i="50" s="1"/>
  <c r="X7" i="50"/>
  <c r="V4" i="50"/>
  <c r="B3" i="50"/>
  <c r="V2" i="50"/>
  <c r="K24" i="50" l="1"/>
  <c r="L24" i="50" s="1"/>
  <c r="L75" i="50"/>
  <c r="Z74" i="50"/>
  <c r="K15" i="50"/>
  <c r="L15" i="50" s="1"/>
  <c r="K21" i="50"/>
  <c r="L21" i="50" s="1"/>
  <c r="X47" i="50"/>
  <c r="X49" i="50"/>
  <c r="K11" i="50"/>
  <c r="L11" i="50" s="1"/>
  <c r="M13" i="50"/>
  <c r="M15" i="50"/>
  <c r="G26" i="50"/>
  <c r="L14" i="50"/>
  <c r="K17" i="50"/>
  <c r="L17" i="50" s="1"/>
  <c r="AB40" i="50"/>
  <c r="AC74" i="50"/>
  <c r="K10" i="50"/>
  <c r="G37" i="50"/>
  <c r="L28" i="50"/>
  <c r="L37" i="50" s="1"/>
  <c r="L76" i="50"/>
  <c r="Z75" i="50"/>
  <c r="AC75" i="50" s="1"/>
  <c r="C49" i="50" l="1"/>
  <c r="K49" i="50" s="1"/>
  <c r="K26" i="50"/>
  <c r="G53" i="50" s="1"/>
  <c r="K54" i="50" s="1"/>
  <c r="C47" i="50"/>
  <c r="L10" i="50"/>
  <c r="L26" i="50" s="1"/>
  <c r="C48" i="50"/>
  <c r="K48" i="50" s="1"/>
  <c r="K84" i="50"/>
  <c r="L40" i="50"/>
  <c r="G56" i="50"/>
  <c r="K57" i="50" s="1"/>
  <c r="L44" i="50" l="1"/>
  <c r="C50" i="50"/>
  <c r="K47" i="50"/>
  <c r="L50" i="50" s="1"/>
  <c r="X24" i="50"/>
  <c r="AB24" i="50" s="1"/>
  <c r="AC24" i="50" s="1"/>
  <c r="X21" i="50"/>
  <c r="AB21" i="50" s="1"/>
  <c r="AC21" i="50" s="1"/>
  <c r="X18" i="50"/>
  <c r="AB18" i="50" s="1"/>
  <c r="AC18" i="50" s="1"/>
  <c r="X15" i="50"/>
  <c r="AB15" i="50" s="1"/>
  <c r="AC15" i="50" s="1"/>
  <c r="X14" i="50"/>
  <c r="AB14" i="50" s="1"/>
  <c r="X11" i="50"/>
  <c r="AB11" i="50" s="1"/>
  <c r="AC11" i="50" s="1"/>
  <c r="X10" i="50"/>
  <c r="X12" i="50"/>
  <c r="AB12" i="50" s="1"/>
  <c r="X17" i="50"/>
  <c r="AB17" i="50" s="1"/>
  <c r="AC17" i="50" s="1"/>
  <c r="X25" i="50"/>
  <c r="AB25" i="50" s="1"/>
  <c r="AC25" i="50" s="1"/>
  <c r="X22" i="50"/>
  <c r="AB22" i="50" s="1"/>
  <c r="AC22" i="50" s="1"/>
  <c r="X19" i="50"/>
  <c r="AB19" i="50" s="1"/>
  <c r="AC19" i="50" s="1"/>
  <c r="X16" i="50"/>
  <c r="AB16" i="50" s="1"/>
  <c r="AC16" i="50" s="1"/>
  <c r="X13" i="50"/>
  <c r="AB13" i="50" s="1"/>
  <c r="AC13" i="50" s="1"/>
  <c r="X23" i="50"/>
  <c r="AB23" i="50" s="1"/>
  <c r="AC23" i="50" s="1"/>
  <c r="X20" i="50"/>
  <c r="AB20" i="50" s="1"/>
  <c r="AC20" i="50" s="1"/>
  <c r="K77" i="50"/>
  <c r="L77" i="50" s="1"/>
  <c r="K67" i="50"/>
  <c r="L67" i="50" s="1"/>
  <c r="K78" i="50"/>
  <c r="L78" i="50" s="1"/>
  <c r="K71" i="50"/>
  <c r="L71" i="50" s="1"/>
  <c r="K70" i="50"/>
  <c r="L70" i="50" s="1"/>
  <c r="K59" i="50"/>
  <c r="L59" i="50" s="1"/>
  <c r="K69" i="50"/>
  <c r="L69" i="50" s="1"/>
  <c r="K72" i="50"/>
  <c r="L72" i="50" s="1"/>
  <c r="AC12" i="50" l="1"/>
  <c r="W48" i="50"/>
  <c r="AB48" i="50" s="1"/>
  <c r="W49" i="50"/>
  <c r="AB49" i="50" s="1"/>
  <c r="AC14" i="50"/>
  <c r="X26" i="50"/>
  <c r="AB10" i="50"/>
  <c r="L82" i="50"/>
  <c r="K86" i="50" l="1"/>
  <c r="AB26" i="50"/>
  <c r="X53" i="50" s="1"/>
  <c r="AB54" i="50" s="1"/>
  <c r="W47" i="50"/>
  <c r="AC10" i="50"/>
  <c r="AC26" i="50" s="1"/>
  <c r="X56" i="50"/>
  <c r="AB57" i="50" s="1"/>
  <c r="AC40" i="50"/>
  <c r="AC44" i="50" l="1"/>
  <c r="L86" i="50"/>
  <c r="L87" i="50" s="1"/>
  <c r="L90" i="50" s="1"/>
  <c r="L92" i="50" s="1"/>
  <c r="AB77" i="50"/>
  <c r="AC77" i="50" s="1"/>
  <c r="AB70" i="50"/>
  <c r="AC70" i="50" s="1"/>
  <c r="AB69" i="50"/>
  <c r="AC69" i="50" s="1"/>
  <c r="AB58" i="50"/>
  <c r="AC58" i="50" s="1"/>
  <c r="AB66" i="50"/>
  <c r="AC66" i="50" s="1"/>
  <c r="AB76" i="50"/>
  <c r="AC76" i="50" s="1"/>
  <c r="AB71" i="50"/>
  <c r="AC71" i="50" s="1"/>
  <c r="AB68" i="50"/>
  <c r="AC68" i="50" s="1"/>
  <c r="W50" i="50"/>
  <c r="AB47" i="50"/>
  <c r="AC50" i="50" s="1"/>
  <c r="AC81" i="50" l="1"/>
  <c r="L84" i="50" s="1"/>
  <c r="L94" i="50"/>
  <c r="B136" i="49" l="1"/>
  <c r="B135" i="49"/>
  <c r="M86" i="49"/>
  <c r="V79" i="49"/>
  <c r="V78" i="49"/>
  <c r="Y77" i="49"/>
  <c r="V77" i="49"/>
  <c r="Y76" i="49"/>
  <c r="G76" i="49"/>
  <c r="I76" i="49" s="1"/>
  <c r="AB75" i="49"/>
  <c r="G75" i="49"/>
  <c r="I75" i="49" s="1"/>
  <c r="L75" i="49" s="1"/>
  <c r="AB74" i="49"/>
  <c r="Y71" i="49"/>
  <c r="Y70" i="49"/>
  <c r="Y69" i="49"/>
  <c r="Y68" i="49"/>
  <c r="Y66" i="49"/>
  <c r="X65" i="49"/>
  <c r="X64" i="49"/>
  <c r="X61" i="49"/>
  <c r="Y58" i="49" s="1"/>
  <c r="X60" i="49"/>
  <c r="I59" i="49"/>
  <c r="AA56" i="49"/>
  <c r="AA53" i="49"/>
  <c r="Z49" i="49"/>
  <c r="G49" i="49"/>
  <c r="Z48" i="49"/>
  <c r="G48" i="49"/>
  <c r="Z47" i="49"/>
  <c r="G47" i="49"/>
  <c r="X40" i="49"/>
  <c r="K40" i="49"/>
  <c r="X39" i="49"/>
  <c r="AB40" i="49" s="1"/>
  <c r="X37" i="49"/>
  <c r="E37" i="49"/>
  <c r="D37" i="49"/>
  <c r="AB36" i="49"/>
  <c r="AC36" i="49" s="1"/>
  <c r="G36" i="49"/>
  <c r="L36" i="49" s="1"/>
  <c r="AB35" i="49"/>
  <c r="AC35" i="49" s="1"/>
  <c r="G35" i="49"/>
  <c r="L35" i="49" s="1"/>
  <c r="AB34" i="49"/>
  <c r="AC34" i="49" s="1"/>
  <c r="G34" i="49"/>
  <c r="L34" i="49" s="1"/>
  <c r="AB33" i="49"/>
  <c r="AC33" i="49" s="1"/>
  <c r="G33" i="49"/>
  <c r="L33" i="49" s="1"/>
  <c r="AB32" i="49"/>
  <c r="AC32" i="49" s="1"/>
  <c r="G32" i="49"/>
  <c r="L32" i="49" s="1"/>
  <c r="AB31" i="49"/>
  <c r="AC31" i="49" s="1"/>
  <c r="G31" i="49"/>
  <c r="L31" i="49" s="1"/>
  <c r="AB30" i="49"/>
  <c r="AC30" i="49" s="1"/>
  <c r="G30" i="49"/>
  <c r="L30" i="49" s="1"/>
  <c r="AB29" i="49"/>
  <c r="AC29" i="49" s="1"/>
  <c r="G29" i="49"/>
  <c r="L29" i="49" s="1"/>
  <c r="AB28" i="49"/>
  <c r="AC28" i="49" s="1"/>
  <c r="AC37" i="49" s="1"/>
  <c r="G28" i="49"/>
  <c r="E26" i="49"/>
  <c r="D26" i="49"/>
  <c r="G25" i="49"/>
  <c r="K25" i="49" s="1"/>
  <c r="L25" i="49" s="1"/>
  <c r="G24" i="49"/>
  <c r="I23" i="49"/>
  <c r="I24" i="49" s="1"/>
  <c r="G23" i="49"/>
  <c r="K23" i="49" s="1"/>
  <c r="L23" i="49" s="1"/>
  <c r="K22" i="49"/>
  <c r="L22" i="49" s="1"/>
  <c r="G22" i="49"/>
  <c r="G21" i="49"/>
  <c r="I20" i="49"/>
  <c r="I21" i="49" s="1"/>
  <c r="G20" i="49"/>
  <c r="G19" i="49"/>
  <c r="K19" i="49" s="1"/>
  <c r="L19" i="49" s="1"/>
  <c r="G18" i="49"/>
  <c r="I17" i="49"/>
  <c r="I18" i="49" s="1"/>
  <c r="G17" i="49"/>
  <c r="K17" i="49" s="1"/>
  <c r="L17" i="49" s="1"/>
  <c r="K16" i="49"/>
  <c r="L16" i="49" s="1"/>
  <c r="G16" i="49"/>
  <c r="I15" i="49"/>
  <c r="G15" i="49"/>
  <c r="G14" i="49"/>
  <c r="K14" i="49" s="1"/>
  <c r="I13" i="49"/>
  <c r="G13" i="49"/>
  <c r="G12" i="49"/>
  <c r="K12" i="49" s="1"/>
  <c r="I11" i="49"/>
  <c r="G11" i="49"/>
  <c r="M11" i="49" s="1"/>
  <c r="G10" i="49"/>
  <c r="G26" i="49" s="1"/>
  <c r="AB7" i="49"/>
  <c r="X47" i="49" s="1"/>
  <c r="X7" i="49"/>
  <c r="V4" i="49"/>
  <c r="B3" i="49"/>
  <c r="V2" i="49"/>
  <c r="G37" i="49" l="1"/>
  <c r="M15" i="49"/>
  <c r="L12" i="49"/>
  <c r="K11" i="49"/>
  <c r="L11" i="49" s="1"/>
  <c r="K13" i="49"/>
  <c r="L13" i="49" s="1"/>
  <c r="K20" i="49"/>
  <c r="L20" i="49" s="1"/>
  <c r="K21" i="49"/>
  <c r="L21" i="49" s="1"/>
  <c r="K15" i="49"/>
  <c r="L15" i="49" s="1"/>
  <c r="K18" i="49"/>
  <c r="L18" i="49" s="1"/>
  <c r="K24" i="49"/>
  <c r="L24" i="49" s="1"/>
  <c r="L14" i="49"/>
  <c r="L76" i="49"/>
  <c r="Z75" i="49"/>
  <c r="AC75" i="49" s="1"/>
  <c r="K84" i="49"/>
  <c r="G56" i="49"/>
  <c r="K57" i="49" s="1"/>
  <c r="L40" i="49"/>
  <c r="Z74" i="49"/>
  <c r="AC74" i="49" s="1"/>
  <c r="K10" i="49"/>
  <c r="L28" i="49"/>
  <c r="L37" i="49" s="1"/>
  <c r="X48" i="49"/>
  <c r="M13" i="49"/>
  <c r="X49" i="49"/>
  <c r="C49" i="49" l="1"/>
  <c r="K49" i="49" s="1"/>
  <c r="C48" i="49"/>
  <c r="K48" i="49" s="1"/>
  <c r="K26" i="49"/>
  <c r="G53" i="49" s="1"/>
  <c r="K54" i="49" s="1"/>
  <c r="C47" i="49"/>
  <c r="L10" i="49"/>
  <c r="L26" i="49" s="1"/>
  <c r="L44" i="49" s="1"/>
  <c r="K69" i="49"/>
  <c r="L69" i="49" s="1"/>
  <c r="K72" i="49"/>
  <c r="L72" i="49" s="1"/>
  <c r="X24" i="49"/>
  <c r="AB24" i="49" s="1"/>
  <c r="AC24" i="49" s="1"/>
  <c r="X21" i="49"/>
  <c r="AB21" i="49" s="1"/>
  <c r="AC21" i="49" s="1"/>
  <c r="X18" i="49"/>
  <c r="AB18" i="49" s="1"/>
  <c r="AC18" i="49" s="1"/>
  <c r="X15" i="49"/>
  <c r="AB15" i="49" s="1"/>
  <c r="AC15" i="49" s="1"/>
  <c r="X14" i="49"/>
  <c r="AB14" i="49" s="1"/>
  <c r="X11" i="49"/>
  <c r="AB11" i="49" s="1"/>
  <c r="AC11" i="49" s="1"/>
  <c r="X10" i="49"/>
  <c r="X17" i="49"/>
  <c r="AB17" i="49" s="1"/>
  <c r="AC17"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W49" i="49" l="1"/>
  <c r="AB49" i="49" s="1"/>
  <c r="AC14" i="49"/>
  <c r="C50" i="49"/>
  <c r="K47" i="49"/>
  <c r="L50" i="49" s="1"/>
  <c r="K77" i="49"/>
  <c r="L77" i="49" s="1"/>
  <c r="K67" i="49"/>
  <c r="L67" i="49" s="1"/>
  <c r="K78" i="49"/>
  <c r="L78" i="49" s="1"/>
  <c r="K71" i="49"/>
  <c r="L71" i="49" s="1"/>
  <c r="K59" i="49"/>
  <c r="L59" i="49" s="1"/>
  <c r="K70" i="49"/>
  <c r="L70" i="49" s="1"/>
  <c r="AC12" i="49"/>
  <c r="W48" i="49"/>
  <c r="AB48" i="49" s="1"/>
  <c r="X26" i="49"/>
  <c r="AB10" i="49"/>
  <c r="L82" i="49" l="1"/>
  <c r="X56" i="49"/>
  <c r="AB57" i="49" s="1"/>
  <c r="AC40" i="49"/>
  <c r="AB26" i="49"/>
  <c r="X53" i="49" s="1"/>
  <c r="AB54" i="49" s="1"/>
  <c r="W47" i="49"/>
  <c r="AC10" i="49"/>
  <c r="AC26" i="49" s="1"/>
  <c r="AC44" i="49" s="1"/>
  <c r="AB77" i="49" l="1"/>
  <c r="AC77" i="49" s="1"/>
  <c r="AB70" i="49"/>
  <c r="AC70" i="49" s="1"/>
  <c r="AB69" i="49"/>
  <c r="AC69" i="49" s="1"/>
  <c r="AB58" i="49"/>
  <c r="AC58" i="49" s="1"/>
  <c r="AB76" i="49"/>
  <c r="AC76" i="49" s="1"/>
  <c r="AB66" i="49"/>
  <c r="AC66" i="49" s="1"/>
  <c r="AB68" i="49"/>
  <c r="AC68" i="49" s="1"/>
  <c r="AB71" i="49"/>
  <c r="AC71" i="49" s="1"/>
  <c r="AB47" i="49"/>
  <c r="AC50" i="49" s="1"/>
  <c r="W50" i="49"/>
  <c r="AC81" i="49" l="1"/>
  <c r="L84" i="49" s="1"/>
  <c r="K86" i="49" s="1"/>
  <c r="L86" i="49" s="1"/>
  <c r="L87" i="49" s="1"/>
  <c r="L90" i="49" s="1"/>
  <c r="L92" i="49" s="1"/>
  <c r="L94" i="49" l="1"/>
  <c r="B136" i="48" l="1"/>
  <c r="B135" i="48"/>
  <c r="M86" i="48"/>
  <c r="V79" i="48"/>
  <c r="V78" i="48"/>
  <c r="Y77" i="48"/>
  <c r="V77" i="48"/>
  <c r="Y76" i="48"/>
  <c r="G76" i="48"/>
  <c r="I76" i="48" s="1"/>
  <c r="AB75" i="48"/>
  <c r="G75" i="48"/>
  <c r="I75" i="48" s="1"/>
  <c r="AB74" i="48"/>
  <c r="Y71" i="48"/>
  <c r="Y70" i="48"/>
  <c r="Y69" i="48"/>
  <c r="Y68" i="48"/>
  <c r="Y66" i="48"/>
  <c r="X65" i="48"/>
  <c r="X64" i="48"/>
  <c r="X61" i="48"/>
  <c r="X60" i="48"/>
  <c r="I59" i="48"/>
  <c r="Y58" i="48"/>
  <c r="AA56" i="48"/>
  <c r="AA53" i="48"/>
  <c r="Z49" i="48"/>
  <c r="G49" i="48"/>
  <c r="Z48" i="48"/>
  <c r="G48" i="48"/>
  <c r="Z47" i="48"/>
  <c r="G47" i="48"/>
  <c r="X40" i="48"/>
  <c r="K40" i="48"/>
  <c r="X39" i="48"/>
  <c r="AB40" i="48" s="1"/>
  <c r="X37" i="48"/>
  <c r="E37" i="48"/>
  <c r="D37" i="48"/>
  <c r="AB36" i="48"/>
  <c r="AC36" i="48" s="1"/>
  <c r="G36" i="48"/>
  <c r="L36" i="48" s="1"/>
  <c r="AB35" i="48"/>
  <c r="AC35" i="48" s="1"/>
  <c r="G35" i="48"/>
  <c r="L35" i="48" s="1"/>
  <c r="AB34" i="48"/>
  <c r="AC34" i="48" s="1"/>
  <c r="G34" i="48"/>
  <c r="L34" i="48" s="1"/>
  <c r="AB33" i="48"/>
  <c r="AC33" i="48" s="1"/>
  <c r="G33" i="48"/>
  <c r="L33" i="48" s="1"/>
  <c r="AB32" i="48"/>
  <c r="AC32" i="48" s="1"/>
  <c r="G32" i="48"/>
  <c r="L32" i="48" s="1"/>
  <c r="AB31" i="48"/>
  <c r="AC31" i="48" s="1"/>
  <c r="G31" i="48"/>
  <c r="L31" i="48" s="1"/>
  <c r="AB30" i="48"/>
  <c r="AC30" i="48" s="1"/>
  <c r="G30" i="48"/>
  <c r="L30" i="48" s="1"/>
  <c r="AB29" i="48"/>
  <c r="AC29" i="48" s="1"/>
  <c r="G29" i="48"/>
  <c r="L29" i="48" s="1"/>
  <c r="AB28" i="48"/>
  <c r="AC28" i="48" s="1"/>
  <c r="AC37" i="48" s="1"/>
  <c r="G28" i="48"/>
  <c r="E26" i="48"/>
  <c r="D26" i="48"/>
  <c r="G25" i="48"/>
  <c r="K25" i="48" s="1"/>
  <c r="L25" i="48" s="1"/>
  <c r="G24" i="48"/>
  <c r="I23" i="48"/>
  <c r="I24" i="48" s="1"/>
  <c r="G23" i="48"/>
  <c r="G22" i="48"/>
  <c r="K22" i="48" s="1"/>
  <c r="L22" i="48" s="1"/>
  <c r="G21" i="48"/>
  <c r="I20" i="48"/>
  <c r="I21" i="48" s="1"/>
  <c r="G20" i="48"/>
  <c r="K20" i="48" s="1"/>
  <c r="L20" i="48" s="1"/>
  <c r="G19" i="48"/>
  <c r="K19" i="48" s="1"/>
  <c r="L19" i="48" s="1"/>
  <c r="G18" i="48"/>
  <c r="I17" i="48"/>
  <c r="I18" i="48" s="1"/>
  <c r="G17" i="48"/>
  <c r="G16" i="48"/>
  <c r="K16" i="48" s="1"/>
  <c r="L16" i="48" s="1"/>
  <c r="I15" i="48"/>
  <c r="G15" i="48"/>
  <c r="G14" i="48"/>
  <c r="K14" i="48" s="1"/>
  <c r="L14" i="48" s="1"/>
  <c r="I13" i="48"/>
  <c r="G13" i="48"/>
  <c r="G12" i="48"/>
  <c r="K12" i="48" s="1"/>
  <c r="L12" i="48" s="1"/>
  <c r="I11" i="48"/>
  <c r="G11" i="48"/>
  <c r="G10" i="48"/>
  <c r="K10" i="48" s="1"/>
  <c r="AB7" i="48"/>
  <c r="X47" i="48" s="1"/>
  <c r="X7" i="48"/>
  <c r="V4" i="48"/>
  <c r="B3" i="48"/>
  <c r="V2" i="48"/>
  <c r="M11" i="48" l="1"/>
  <c r="M15" i="48"/>
  <c r="K24" i="48"/>
  <c r="L24" i="48" s="1"/>
  <c r="G37" i="48"/>
  <c r="K11" i="48"/>
  <c r="L11" i="48" s="1"/>
  <c r="K15" i="48"/>
  <c r="L15" i="48" s="1"/>
  <c r="K18" i="48"/>
  <c r="L18" i="48" s="1"/>
  <c r="G26" i="48"/>
  <c r="K84" i="48" s="1"/>
  <c r="K13" i="48"/>
  <c r="K17" i="48"/>
  <c r="L17" i="48" s="1"/>
  <c r="K21" i="48"/>
  <c r="L21" i="48" s="1"/>
  <c r="K23" i="48"/>
  <c r="L23" i="48" s="1"/>
  <c r="L28" i="48"/>
  <c r="L37" i="48" s="1"/>
  <c r="X48" i="48"/>
  <c r="L76" i="48"/>
  <c r="Z75" i="48"/>
  <c r="AC75" i="48"/>
  <c r="L13" i="48"/>
  <c r="Z74" i="48"/>
  <c r="AC74" i="48" s="1"/>
  <c r="L75" i="48"/>
  <c r="M13" i="48"/>
  <c r="X49" i="48"/>
  <c r="L10" i="48"/>
  <c r="C47" i="48"/>
  <c r="C49" i="48" l="1"/>
  <c r="K49" i="48" s="1"/>
  <c r="C48" i="48"/>
  <c r="K48" i="48" s="1"/>
  <c r="G56" i="48"/>
  <c r="K57" i="48" s="1"/>
  <c r="K69" i="48" s="1"/>
  <c r="L69" i="48" s="1"/>
  <c r="L40" i="48"/>
  <c r="K26" i="48"/>
  <c r="G53" i="48" s="1"/>
  <c r="K54" i="48" s="1"/>
  <c r="K78" i="48" s="1"/>
  <c r="L78" i="48" s="1"/>
  <c r="C50" i="48"/>
  <c r="K47" i="48"/>
  <c r="L50" i="48" s="1"/>
  <c r="L26" i="48"/>
  <c r="L44" i="48" s="1"/>
  <c r="X24" i="48"/>
  <c r="AB24" i="48" s="1"/>
  <c r="AC24" i="48" s="1"/>
  <c r="X21" i="48"/>
  <c r="AB21" i="48" s="1"/>
  <c r="AC21" i="48" s="1"/>
  <c r="X18" i="48"/>
  <c r="AB18" i="48" s="1"/>
  <c r="AC18" i="48" s="1"/>
  <c r="X15" i="48"/>
  <c r="AB15" i="48" s="1"/>
  <c r="AC15" i="48" s="1"/>
  <c r="X14" i="48"/>
  <c r="AB14" i="48" s="1"/>
  <c r="X11" i="48"/>
  <c r="AB11" i="48" s="1"/>
  <c r="AC11" i="48" s="1"/>
  <c r="X10" i="48"/>
  <c r="X25" i="48"/>
  <c r="AB25" i="48" s="1"/>
  <c r="AC25" i="48" s="1"/>
  <c r="X19" i="48"/>
  <c r="AB19" i="48" s="1"/>
  <c r="AC19" i="48" s="1"/>
  <c r="X13" i="48"/>
  <c r="AB13" i="48" s="1"/>
  <c r="AC13" i="48" s="1"/>
  <c r="X12" i="48"/>
  <c r="AB12" i="48" s="1"/>
  <c r="X16" i="48"/>
  <c r="AB16" i="48" s="1"/>
  <c r="AC16" i="48" s="1"/>
  <c r="X23" i="48"/>
  <c r="AB23" i="48" s="1"/>
  <c r="AC23" i="48" s="1"/>
  <c r="X20" i="48"/>
  <c r="AB20" i="48" s="1"/>
  <c r="AC20" i="48" s="1"/>
  <c r="X17" i="48"/>
  <c r="AB17" i="48" s="1"/>
  <c r="AC17" i="48" s="1"/>
  <c r="X22" i="48"/>
  <c r="AB22" i="48" s="1"/>
  <c r="AC22" i="48" s="1"/>
  <c r="K72" i="48" l="1"/>
  <c r="L72" i="48" s="1"/>
  <c r="K71" i="48"/>
  <c r="L71" i="48" s="1"/>
  <c r="K59" i="48"/>
  <c r="L59" i="48" s="1"/>
  <c r="K67" i="48"/>
  <c r="L67" i="48" s="1"/>
  <c r="K70" i="48"/>
  <c r="L70" i="48" s="1"/>
  <c r="K77" i="48"/>
  <c r="L77" i="48" s="1"/>
  <c r="L82" i="48" s="1"/>
  <c r="W49" i="48"/>
  <c r="AB49" i="48" s="1"/>
  <c r="AC14" i="48"/>
  <c r="AC12" i="48"/>
  <c r="W48" i="48"/>
  <c r="AB48" i="48" s="1"/>
  <c r="X26" i="48"/>
  <c r="AB10" i="48"/>
  <c r="W47" i="48" l="1"/>
  <c r="AC10" i="48"/>
  <c r="AC26" i="48" s="1"/>
  <c r="AB26" i="48"/>
  <c r="X53" i="48" s="1"/>
  <c r="AB54" i="48" s="1"/>
  <c r="X56" i="48"/>
  <c r="AB57" i="48" s="1"/>
  <c r="AC40" i="48"/>
  <c r="AB77" i="48" l="1"/>
  <c r="AC77" i="48" s="1"/>
  <c r="AB70" i="48"/>
  <c r="AC70" i="48" s="1"/>
  <c r="AB69" i="48"/>
  <c r="AC69" i="48" s="1"/>
  <c r="AB58" i="48"/>
  <c r="AC58" i="48" s="1"/>
  <c r="AB66" i="48"/>
  <c r="AC66" i="48" s="1"/>
  <c r="AB76" i="48"/>
  <c r="AC76" i="48" s="1"/>
  <c r="AC44" i="48"/>
  <c r="AB68" i="48"/>
  <c r="AC68" i="48" s="1"/>
  <c r="AB71" i="48"/>
  <c r="AC71" i="48" s="1"/>
  <c r="AB47" i="48"/>
  <c r="AC50" i="48" s="1"/>
  <c r="W50" i="48"/>
  <c r="AC81" i="48" l="1"/>
  <c r="L84" i="48" s="1"/>
  <c r="K86" i="48" s="1"/>
  <c r="L86" i="48" l="1"/>
  <c r="L87" i="48" s="1"/>
  <c r="L90" i="48" s="1"/>
  <c r="L92" i="48" s="1"/>
  <c r="A1" i="87" s="1"/>
  <c r="L94" i="48" l="1"/>
  <c r="B136" i="47" l="1"/>
  <c r="B135" i="47"/>
  <c r="M86" i="47"/>
  <c r="V79" i="47"/>
  <c r="V78" i="47"/>
  <c r="Y77" i="47"/>
  <c r="V77" i="47"/>
  <c r="Y76" i="47"/>
  <c r="I76" i="47"/>
  <c r="L76" i="47" s="1"/>
  <c r="G76" i="47"/>
  <c r="AB75" i="47"/>
  <c r="I75" i="47"/>
  <c r="L75" i="47" s="1"/>
  <c r="G75" i="47"/>
  <c r="AB74" i="47"/>
  <c r="Z74" i="47"/>
  <c r="AC74" i="47" s="1"/>
  <c r="Y71" i="47"/>
  <c r="Y70" i="47"/>
  <c r="Y69" i="47"/>
  <c r="Y68" i="47"/>
  <c r="Y66" i="47"/>
  <c r="X65" i="47"/>
  <c r="X64" i="47"/>
  <c r="X61" i="47"/>
  <c r="X60" i="47"/>
  <c r="I59" i="47"/>
  <c r="AA56" i="47"/>
  <c r="AA53" i="47"/>
  <c r="Z49" i="47"/>
  <c r="G49" i="47"/>
  <c r="Z48" i="47"/>
  <c r="G48" i="47"/>
  <c r="Z47" i="47"/>
  <c r="G47" i="47"/>
  <c r="X40" i="47"/>
  <c r="K40" i="47"/>
  <c r="X39" i="47"/>
  <c r="AB40" i="47" s="1"/>
  <c r="X37" i="47"/>
  <c r="E37" i="47"/>
  <c r="D37" i="47"/>
  <c r="AB36" i="47"/>
  <c r="AC36" i="47" s="1"/>
  <c r="G36" i="47"/>
  <c r="L36" i="47" s="1"/>
  <c r="AB35" i="47"/>
  <c r="AC35" i="47" s="1"/>
  <c r="G35" i="47"/>
  <c r="L35" i="47" s="1"/>
  <c r="AB34" i="47"/>
  <c r="AC34" i="47" s="1"/>
  <c r="G34" i="47"/>
  <c r="L34" i="47" s="1"/>
  <c r="AB33" i="47"/>
  <c r="AC33" i="47" s="1"/>
  <c r="G33" i="47"/>
  <c r="L33" i="47" s="1"/>
  <c r="AB32" i="47"/>
  <c r="AC32" i="47" s="1"/>
  <c r="G32" i="47"/>
  <c r="L32" i="47" s="1"/>
  <c r="AB31" i="47"/>
  <c r="AC31" i="47" s="1"/>
  <c r="G31" i="47"/>
  <c r="L31" i="47" s="1"/>
  <c r="AB30" i="47"/>
  <c r="AC30" i="47" s="1"/>
  <c r="G30" i="47"/>
  <c r="L30" i="47" s="1"/>
  <c r="AB29" i="47"/>
  <c r="AC29" i="47" s="1"/>
  <c r="G29" i="47"/>
  <c r="L29" i="47" s="1"/>
  <c r="AB28" i="47"/>
  <c r="AC28" i="47" s="1"/>
  <c r="AC37" i="47" s="1"/>
  <c r="G28" i="47"/>
  <c r="L28" i="47" s="1"/>
  <c r="E26" i="47"/>
  <c r="D26" i="47"/>
  <c r="G25" i="47"/>
  <c r="K25" i="47" s="1"/>
  <c r="L25" i="47" s="1"/>
  <c r="I24" i="47"/>
  <c r="G24" i="47"/>
  <c r="I23" i="47"/>
  <c r="G23" i="47"/>
  <c r="K23" i="47" s="1"/>
  <c r="L23" i="47" s="1"/>
  <c r="G22" i="47"/>
  <c r="K22" i="47" s="1"/>
  <c r="L22" i="47" s="1"/>
  <c r="I21" i="47"/>
  <c r="G21" i="47"/>
  <c r="I20" i="47"/>
  <c r="G20" i="47"/>
  <c r="K20" i="47" s="1"/>
  <c r="L20" i="47" s="1"/>
  <c r="G19" i="47"/>
  <c r="K19" i="47" s="1"/>
  <c r="L19" i="47" s="1"/>
  <c r="G18" i="47"/>
  <c r="I17" i="47"/>
  <c r="I18" i="47" s="1"/>
  <c r="G17" i="47"/>
  <c r="K17" i="47" s="1"/>
  <c r="L17" i="47" s="1"/>
  <c r="G16" i="47"/>
  <c r="K16" i="47" s="1"/>
  <c r="L16" i="47" s="1"/>
  <c r="I15" i="47"/>
  <c r="G15" i="47"/>
  <c r="M15" i="47" s="1"/>
  <c r="G14" i="47"/>
  <c r="K14" i="47" s="1"/>
  <c r="I13" i="47"/>
  <c r="G13" i="47"/>
  <c r="M13" i="47" s="1"/>
  <c r="G12" i="47"/>
  <c r="K12" i="47" s="1"/>
  <c r="L12" i="47" s="1"/>
  <c r="I11" i="47"/>
  <c r="G11" i="47"/>
  <c r="G10" i="47"/>
  <c r="AB7" i="47"/>
  <c r="X48" i="47" s="1"/>
  <c r="X7" i="47"/>
  <c r="V4" i="47"/>
  <c r="B3" i="47"/>
  <c r="V2" i="47"/>
  <c r="M11" i="47" l="1"/>
  <c r="L37" i="47"/>
  <c r="K18" i="47"/>
  <c r="L18" i="47" s="1"/>
  <c r="G37" i="47"/>
  <c r="X47" i="47"/>
  <c r="Z75" i="47"/>
  <c r="AC75" i="47" s="1"/>
  <c r="K21" i="47"/>
  <c r="L21" i="47" s="1"/>
  <c r="K24" i="47"/>
  <c r="L24" i="47" s="1"/>
  <c r="X49" i="47"/>
  <c r="Y58" i="47"/>
  <c r="G26" i="47"/>
  <c r="K10" i="47"/>
  <c r="K11" i="47"/>
  <c r="L11" i="47" s="1"/>
  <c r="K13" i="47"/>
  <c r="L13" i="47" s="1"/>
  <c r="L14" i="47"/>
  <c r="K15" i="47"/>
  <c r="L15" i="47" s="1"/>
  <c r="C48" i="47" l="1"/>
  <c r="K48" i="47" s="1"/>
  <c r="C49" i="47"/>
  <c r="K49" i="47" s="1"/>
  <c r="K26" i="47"/>
  <c r="G53" i="47" s="1"/>
  <c r="K54" i="47" s="1"/>
  <c r="C47" i="47"/>
  <c r="L10" i="47"/>
  <c r="L26" i="47" s="1"/>
  <c r="K84" i="47"/>
  <c r="G56" i="47"/>
  <c r="K57" i="47" s="1"/>
  <c r="L40" i="47"/>
  <c r="L44" i="47" l="1"/>
  <c r="K69" i="47"/>
  <c r="L69" i="47" s="1"/>
  <c r="K72" i="47"/>
  <c r="L72" i="47" s="1"/>
  <c r="C50" i="47"/>
  <c r="K47" i="47"/>
  <c r="K77" i="47"/>
  <c r="L77" i="47" s="1"/>
  <c r="K67" i="47"/>
  <c r="L67" i="47" s="1"/>
  <c r="K78" i="47"/>
  <c r="L78" i="47" s="1"/>
  <c r="K71" i="47"/>
  <c r="L71" i="47" s="1"/>
  <c r="K59" i="47"/>
  <c r="L59" i="47" s="1"/>
  <c r="K70" i="47"/>
  <c r="L70" i="47" s="1"/>
  <c r="X24" i="47"/>
  <c r="AB24" i="47" s="1"/>
  <c r="AC24" i="47" s="1"/>
  <c r="X21" i="47"/>
  <c r="AB21" i="47" s="1"/>
  <c r="AC21" i="47" s="1"/>
  <c r="X18" i="47"/>
  <c r="AB18" i="47" s="1"/>
  <c r="AC18" i="47" s="1"/>
  <c r="X15" i="47"/>
  <c r="AB15" i="47" s="1"/>
  <c r="AC15" i="47" s="1"/>
  <c r="X14" i="47"/>
  <c r="AB14" i="47" s="1"/>
  <c r="X11" i="47"/>
  <c r="AB11" i="47" s="1"/>
  <c r="AC11" i="47" s="1"/>
  <c r="X10" i="47"/>
  <c r="X25" i="47"/>
  <c r="AB25" i="47" s="1"/>
  <c r="AC25" i="47" s="1"/>
  <c r="X22" i="47"/>
  <c r="AB22" i="47" s="1"/>
  <c r="AC22" i="47" s="1"/>
  <c r="X19" i="47"/>
  <c r="AB19" i="47" s="1"/>
  <c r="AC19" i="47" s="1"/>
  <c r="X16" i="47"/>
  <c r="AB16" i="47" s="1"/>
  <c r="AC16" i="47" s="1"/>
  <c r="X13" i="47"/>
  <c r="AB13" i="47" s="1"/>
  <c r="AC13" i="47" s="1"/>
  <c r="X12" i="47"/>
  <c r="AB12" i="47" s="1"/>
  <c r="X23" i="47"/>
  <c r="AB23" i="47" s="1"/>
  <c r="AC23" i="47" s="1"/>
  <c r="X20" i="47"/>
  <c r="AB20" i="47" s="1"/>
  <c r="AC20" i="47" s="1"/>
  <c r="X17" i="47"/>
  <c r="AB17" i="47" s="1"/>
  <c r="AC17" i="47" s="1"/>
  <c r="L50" i="47"/>
  <c r="W49" i="47" l="1"/>
  <c r="AB49" i="47" s="1"/>
  <c r="AC14" i="47"/>
  <c r="X26" i="47"/>
  <c r="AB10" i="47"/>
  <c r="AC12" i="47"/>
  <c r="W48" i="47"/>
  <c r="AB48" i="47" s="1"/>
  <c r="L82" i="47"/>
  <c r="AB26" i="47" l="1"/>
  <c r="X53" i="47" s="1"/>
  <c r="AB54" i="47" s="1"/>
  <c r="W47" i="47"/>
  <c r="AC10" i="47"/>
  <c r="AC26" i="47" s="1"/>
  <c r="K86" i="47"/>
  <c r="X56" i="47"/>
  <c r="AB57" i="47" s="1"/>
  <c r="AC40" i="47"/>
  <c r="AC44" i="47" l="1"/>
  <c r="AB68" i="47"/>
  <c r="AC68" i="47" s="1"/>
  <c r="AB71" i="47"/>
  <c r="AC71" i="47" s="1"/>
  <c r="W50" i="47"/>
  <c r="AB47" i="47"/>
  <c r="AC50" i="47" s="1"/>
  <c r="L86" i="47"/>
  <c r="L87" i="47" s="1"/>
  <c r="L90" i="47" s="1"/>
  <c r="L92" i="47" s="1"/>
  <c r="AB77" i="47"/>
  <c r="AC77" i="47" s="1"/>
  <c r="AB70" i="47"/>
  <c r="AC70" i="47" s="1"/>
  <c r="AB69" i="47"/>
  <c r="AC69" i="47" s="1"/>
  <c r="AB58" i="47"/>
  <c r="AC58" i="47" s="1"/>
  <c r="AB76" i="47"/>
  <c r="AC76" i="47" s="1"/>
  <c r="AB66" i="47"/>
  <c r="AC66" i="47" s="1"/>
  <c r="L94" i="47" l="1"/>
  <c r="AC81" i="47"/>
  <c r="L84" i="47" s="1"/>
  <c r="B136" i="46" l="1"/>
  <c r="B135" i="46"/>
  <c r="V79" i="46"/>
  <c r="V78" i="46"/>
  <c r="Y77" i="46"/>
  <c r="V77" i="46"/>
  <c r="Y76" i="46"/>
  <c r="G76" i="46"/>
  <c r="I76" i="46" s="1"/>
  <c r="L76" i="46" s="1"/>
  <c r="AB75" i="46"/>
  <c r="G75" i="46"/>
  <c r="I75" i="46" s="1"/>
  <c r="AB74" i="46"/>
  <c r="Y71" i="46"/>
  <c r="Y70" i="46"/>
  <c r="Y69" i="46"/>
  <c r="Y68" i="46"/>
  <c r="Y66" i="46"/>
  <c r="X65" i="46"/>
  <c r="X64" i="46"/>
  <c r="X61" i="46"/>
  <c r="X60" i="46"/>
  <c r="I59" i="46"/>
  <c r="AA56" i="46"/>
  <c r="AA53" i="46"/>
  <c r="Z49" i="46"/>
  <c r="G49" i="46"/>
  <c r="Z48" i="46"/>
  <c r="G48" i="46"/>
  <c r="Z47" i="46"/>
  <c r="G47" i="46"/>
  <c r="X40" i="46"/>
  <c r="K40" i="46"/>
  <c r="X39" i="46"/>
  <c r="AB40" i="46" s="1"/>
  <c r="X37" i="46"/>
  <c r="E37" i="46"/>
  <c r="D37" i="46"/>
  <c r="AB36" i="46"/>
  <c r="AC36" i="46" s="1"/>
  <c r="G36" i="46"/>
  <c r="L36" i="46" s="1"/>
  <c r="AB35" i="46"/>
  <c r="AC35" i="46" s="1"/>
  <c r="G35" i="46"/>
  <c r="L35" i="46" s="1"/>
  <c r="AB34" i="46"/>
  <c r="AC34" i="46" s="1"/>
  <c r="G34" i="46"/>
  <c r="L34" i="46" s="1"/>
  <c r="AB33" i="46"/>
  <c r="AC33" i="46" s="1"/>
  <c r="G33" i="46"/>
  <c r="L33" i="46" s="1"/>
  <c r="AB32" i="46"/>
  <c r="AC32" i="46" s="1"/>
  <c r="G32" i="46"/>
  <c r="L32" i="46" s="1"/>
  <c r="AB31" i="46"/>
  <c r="AC31" i="46" s="1"/>
  <c r="G31" i="46"/>
  <c r="L31" i="46" s="1"/>
  <c r="AB30" i="46"/>
  <c r="AC30" i="46" s="1"/>
  <c r="G30" i="46"/>
  <c r="L30" i="46" s="1"/>
  <c r="AB29" i="46"/>
  <c r="AC29" i="46" s="1"/>
  <c r="G29" i="46"/>
  <c r="L29" i="46" s="1"/>
  <c r="AB28" i="46"/>
  <c r="AC28" i="46" s="1"/>
  <c r="AC37" i="46" s="1"/>
  <c r="G28" i="46"/>
  <c r="L28" i="46" s="1"/>
  <c r="E26" i="46"/>
  <c r="D26" i="46"/>
  <c r="G25" i="46"/>
  <c r="K25" i="46" s="1"/>
  <c r="L25" i="46" s="1"/>
  <c r="G24" i="46"/>
  <c r="I23" i="46"/>
  <c r="I24" i="46" s="1"/>
  <c r="G23" i="46"/>
  <c r="K23" i="46" s="1"/>
  <c r="L23" i="46" s="1"/>
  <c r="G22" i="46"/>
  <c r="K22" i="46" s="1"/>
  <c r="L22" i="46" s="1"/>
  <c r="G21" i="46"/>
  <c r="I20" i="46"/>
  <c r="I21" i="46" s="1"/>
  <c r="G20" i="46"/>
  <c r="K20" i="46" s="1"/>
  <c r="L20" i="46" s="1"/>
  <c r="G19" i="46"/>
  <c r="K19" i="46" s="1"/>
  <c r="L19" i="46" s="1"/>
  <c r="G18" i="46"/>
  <c r="I17" i="46"/>
  <c r="I18" i="46" s="1"/>
  <c r="G17" i="46"/>
  <c r="K17" i="46" s="1"/>
  <c r="L17" i="46" s="1"/>
  <c r="G16" i="46"/>
  <c r="K16" i="46" s="1"/>
  <c r="L16" i="46" s="1"/>
  <c r="I15" i="46"/>
  <c r="G15" i="46"/>
  <c r="K15" i="46" s="1"/>
  <c r="L15" i="46" s="1"/>
  <c r="G14" i="46"/>
  <c r="K14" i="46" s="1"/>
  <c r="I13" i="46"/>
  <c r="G13" i="46"/>
  <c r="M13" i="46" s="1"/>
  <c r="G12" i="46"/>
  <c r="K12" i="46" s="1"/>
  <c r="I11" i="46"/>
  <c r="G11" i="46"/>
  <c r="G10" i="46"/>
  <c r="K10" i="46" s="1"/>
  <c r="AB7" i="46"/>
  <c r="X48" i="46" s="1"/>
  <c r="X7" i="46"/>
  <c r="V4" i="46"/>
  <c r="B3" i="46"/>
  <c r="V2" i="46"/>
  <c r="M11" i="46" l="1"/>
  <c r="K18" i="46"/>
  <c r="L18" i="46" s="1"/>
  <c r="K21" i="46"/>
  <c r="L21" i="46" s="1"/>
  <c r="K24" i="46"/>
  <c r="L24" i="46" s="1"/>
  <c r="K13" i="46"/>
  <c r="L13" i="46" s="1"/>
  <c r="G37" i="46"/>
  <c r="X47" i="46"/>
  <c r="Y58" i="46"/>
  <c r="L10" i="46"/>
  <c r="C48" i="46"/>
  <c r="K48" i="46" s="1"/>
  <c r="L12" i="46"/>
  <c r="L14" i="46"/>
  <c r="C49" i="46"/>
  <c r="K49" i="46" s="1"/>
  <c r="L37" i="46"/>
  <c r="L75" i="46"/>
  <c r="Z74" i="46"/>
  <c r="AC74" i="46" s="1"/>
  <c r="G26" i="46"/>
  <c r="Z75" i="46"/>
  <c r="AC75" i="46" s="1"/>
  <c r="X49" i="46"/>
  <c r="M15" i="46"/>
  <c r="K11" i="46"/>
  <c r="L11" i="46" s="1"/>
  <c r="K84" i="46" l="1"/>
  <c r="G56" i="46"/>
  <c r="K57" i="46" s="1"/>
  <c r="C47" i="46"/>
  <c r="L26" i="46"/>
  <c r="L40" i="46"/>
  <c r="K26" i="46"/>
  <c r="G53" i="46" s="1"/>
  <c r="K54" i="46" s="1"/>
  <c r="K77" i="46" l="1"/>
  <c r="L77" i="46" s="1"/>
  <c r="K78" i="46"/>
  <c r="L78" i="46" s="1"/>
  <c r="K71" i="46"/>
  <c r="L71" i="46" s="1"/>
  <c r="K59" i="46"/>
  <c r="L59" i="46" s="1"/>
  <c r="K70" i="46"/>
  <c r="L70" i="46" s="1"/>
  <c r="K67" i="46"/>
  <c r="L67" i="46" s="1"/>
  <c r="L44" i="46"/>
  <c r="K69" i="46"/>
  <c r="L69" i="46" s="1"/>
  <c r="K72" i="46"/>
  <c r="L72" i="46" s="1"/>
  <c r="C50" i="46"/>
  <c r="K47" i="46"/>
  <c r="L50" i="46" s="1"/>
  <c r="X24" i="46"/>
  <c r="AB24" i="46" s="1"/>
  <c r="AC24" i="46" s="1"/>
  <c r="X21" i="46"/>
  <c r="AB21" i="46" s="1"/>
  <c r="AC21" i="46" s="1"/>
  <c r="X18" i="46"/>
  <c r="AB18" i="46" s="1"/>
  <c r="AC18" i="46" s="1"/>
  <c r="X15" i="46"/>
  <c r="AB15" i="46" s="1"/>
  <c r="AC15" i="46" s="1"/>
  <c r="X14" i="46"/>
  <c r="AB14" i="46" s="1"/>
  <c r="X11" i="46"/>
  <c r="AB11" i="46" s="1"/>
  <c r="AC11" i="46" s="1"/>
  <c r="X10" i="46"/>
  <c r="X25" i="46"/>
  <c r="AB25" i="46" s="1"/>
  <c r="AC25" i="46" s="1"/>
  <c r="X22" i="46"/>
  <c r="AB22" i="46" s="1"/>
  <c r="AC22" i="46" s="1"/>
  <c r="X19" i="46"/>
  <c r="AB19" i="46" s="1"/>
  <c r="AC19" i="46" s="1"/>
  <c r="X16" i="46"/>
  <c r="AB16" i="46" s="1"/>
  <c r="AC16" i="46" s="1"/>
  <c r="X13" i="46"/>
  <c r="AB13" i="46" s="1"/>
  <c r="AC13" i="46" s="1"/>
  <c r="X12" i="46"/>
  <c r="AB12" i="46" s="1"/>
  <c r="X20" i="46"/>
  <c r="AB20" i="46" s="1"/>
  <c r="AC20" i="46" s="1"/>
  <c r="X23" i="46"/>
  <c r="AB23" i="46" s="1"/>
  <c r="AC23" i="46" s="1"/>
  <c r="X17" i="46"/>
  <c r="AB17" i="46" s="1"/>
  <c r="AC17" i="46" s="1"/>
  <c r="W49" i="46" l="1"/>
  <c r="AB49" i="46" s="1"/>
  <c r="AC14" i="46"/>
  <c r="X26" i="46"/>
  <c r="AB10" i="46"/>
  <c r="L82" i="46"/>
  <c r="AC12" i="46"/>
  <c r="W48" i="46"/>
  <c r="AB48" i="46" s="1"/>
  <c r="W47" i="46" l="1"/>
  <c r="AC10" i="46"/>
  <c r="AC26" i="46" s="1"/>
  <c r="AB26" i="46"/>
  <c r="X53" i="46" s="1"/>
  <c r="AB54" i="46" s="1"/>
  <c r="X56" i="46"/>
  <c r="AB57" i="46" s="1"/>
  <c r="AC40" i="46"/>
  <c r="K86" i="46"/>
  <c r="AC44" i="46" l="1"/>
  <c r="AB68" i="46"/>
  <c r="AC68" i="46" s="1"/>
  <c r="AB71" i="46"/>
  <c r="AC71" i="46" s="1"/>
  <c r="L86" i="46"/>
  <c r="L87" i="46" s="1"/>
  <c r="L90" i="46" s="1"/>
  <c r="L92" i="46" s="1"/>
  <c r="AB77" i="46"/>
  <c r="AC77" i="46" s="1"/>
  <c r="AB70" i="46"/>
  <c r="AC70" i="46" s="1"/>
  <c r="AB76" i="46"/>
  <c r="AC76" i="46" s="1"/>
  <c r="AB69" i="46"/>
  <c r="AC69" i="46" s="1"/>
  <c r="AB58" i="46"/>
  <c r="AC58" i="46" s="1"/>
  <c r="AB66" i="46"/>
  <c r="AC66" i="46" s="1"/>
  <c r="W50" i="46"/>
  <c r="AB47" i="46"/>
  <c r="AC50" i="46" s="1"/>
  <c r="AC81" i="46" l="1"/>
  <c r="L84" i="46" s="1"/>
  <c r="L94" i="46"/>
  <c r="B136" i="45"/>
  <c r="B135" i="45"/>
  <c r="M86" i="45"/>
  <c r="V79" i="45"/>
  <c r="V78" i="45"/>
  <c r="Y77" i="45"/>
  <c r="V77" i="45"/>
  <c r="Y76" i="45"/>
  <c r="G76" i="45"/>
  <c r="I76" i="45" s="1"/>
  <c r="AB75" i="45"/>
  <c r="G75" i="45"/>
  <c r="I75" i="45" s="1"/>
  <c r="L75" i="45" s="1"/>
  <c r="AB74" i="45"/>
  <c r="Y71" i="45"/>
  <c r="Y70" i="45"/>
  <c r="Y69" i="45"/>
  <c r="Y68" i="45"/>
  <c r="Y66" i="45"/>
  <c r="X65" i="45"/>
  <c r="X64" i="45"/>
  <c r="X61" i="45"/>
  <c r="X60" i="45"/>
  <c r="I59" i="45"/>
  <c r="AA56" i="45"/>
  <c r="AA53" i="45"/>
  <c r="Z49" i="45"/>
  <c r="G49" i="45"/>
  <c r="Z48" i="45"/>
  <c r="G48" i="45"/>
  <c r="Z47" i="45"/>
  <c r="G47" i="45"/>
  <c r="X40" i="45"/>
  <c r="K40" i="45"/>
  <c r="X39" i="45"/>
  <c r="AB40" i="45" s="1"/>
  <c r="X37" i="45"/>
  <c r="E37" i="45"/>
  <c r="D37" i="45"/>
  <c r="AC36" i="45"/>
  <c r="AB36" i="45"/>
  <c r="G36" i="45"/>
  <c r="L36" i="45" s="1"/>
  <c r="AB35" i="45"/>
  <c r="AC35" i="45" s="1"/>
  <c r="G35" i="45"/>
  <c r="L35" i="45" s="1"/>
  <c r="AC34" i="45"/>
  <c r="AB34" i="45"/>
  <c r="G34" i="45"/>
  <c r="L34" i="45" s="1"/>
  <c r="AB33" i="45"/>
  <c r="AC33" i="45" s="1"/>
  <c r="G33" i="45"/>
  <c r="L33" i="45" s="1"/>
  <c r="AC32" i="45"/>
  <c r="AB32" i="45"/>
  <c r="G32" i="45"/>
  <c r="L32" i="45" s="1"/>
  <c r="AB31" i="45"/>
  <c r="AC31" i="45" s="1"/>
  <c r="G31" i="45"/>
  <c r="L31" i="45" s="1"/>
  <c r="AC30" i="45"/>
  <c r="AB30" i="45"/>
  <c r="G30" i="45"/>
  <c r="L30" i="45" s="1"/>
  <c r="AB29" i="45"/>
  <c r="AC29" i="45" s="1"/>
  <c r="G29" i="45"/>
  <c r="L29" i="45" s="1"/>
  <c r="AC28" i="45"/>
  <c r="AC37" i="45" s="1"/>
  <c r="AB28" i="45"/>
  <c r="G28" i="45"/>
  <c r="E26" i="45"/>
  <c r="D26" i="45"/>
  <c r="K25" i="45"/>
  <c r="L25" i="45" s="1"/>
  <c r="G25" i="45"/>
  <c r="G24" i="45"/>
  <c r="I23" i="45"/>
  <c r="I24" i="45" s="1"/>
  <c r="K24" i="45" s="1"/>
  <c r="L24" i="45" s="1"/>
  <c r="G23" i="45"/>
  <c r="G22" i="45"/>
  <c r="K22" i="45" s="1"/>
  <c r="L22" i="45" s="1"/>
  <c r="G21" i="45"/>
  <c r="I20" i="45"/>
  <c r="I21" i="45" s="1"/>
  <c r="K21" i="45" s="1"/>
  <c r="L21" i="45" s="1"/>
  <c r="G20" i="45"/>
  <c r="K20" i="45" s="1"/>
  <c r="L20" i="45" s="1"/>
  <c r="G19" i="45"/>
  <c r="K19" i="45" s="1"/>
  <c r="L19" i="45" s="1"/>
  <c r="G18" i="45"/>
  <c r="I17" i="45"/>
  <c r="I18" i="45" s="1"/>
  <c r="K18" i="45" s="1"/>
  <c r="L18" i="45" s="1"/>
  <c r="G17" i="45"/>
  <c r="G16" i="45"/>
  <c r="K16" i="45" s="1"/>
  <c r="L16" i="45" s="1"/>
  <c r="I15" i="45"/>
  <c r="G15" i="45"/>
  <c r="K15" i="45" s="1"/>
  <c r="L15" i="45" s="1"/>
  <c r="G14" i="45"/>
  <c r="K14" i="45" s="1"/>
  <c r="L14" i="45" s="1"/>
  <c r="I13" i="45"/>
  <c r="G13" i="45"/>
  <c r="G12" i="45"/>
  <c r="K12" i="45" s="1"/>
  <c r="L12" i="45" s="1"/>
  <c r="I11" i="45"/>
  <c r="G11" i="45"/>
  <c r="K11" i="45" s="1"/>
  <c r="L11" i="45" s="1"/>
  <c r="G10" i="45"/>
  <c r="AB7" i="45"/>
  <c r="X47" i="45" s="1"/>
  <c r="X7" i="45"/>
  <c r="V4" i="45"/>
  <c r="B3" i="45"/>
  <c r="V2" i="45"/>
  <c r="K13" i="45" l="1"/>
  <c r="M13" i="45"/>
  <c r="K17" i="45"/>
  <c r="L17" i="45" s="1"/>
  <c r="K23" i="45"/>
  <c r="L23" i="45" s="1"/>
  <c r="X49" i="45"/>
  <c r="Y58" i="45"/>
  <c r="Z74" i="45"/>
  <c r="AC74" i="45" s="1"/>
  <c r="L28" i="45"/>
  <c r="L37" i="45" s="1"/>
  <c r="G37" i="45"/>
  <c r="L13" i="45"/>
  <c r="L76" i="45"/>
  <c r="Z75" i="45"/>
  <c r="AC75" i="45" s="1"/>
  <c r="G26" i="45"/>
  <c r="K10" i="45"/>
  <c r="M11" i="45"/>
  <c r="M15" i="45"/>
  <c r="C49" i="45"/>
  <c r="K49" i="45" s="1"/>
  <c r="X48" i="45"/>
  <c r="C48" i="45" l="1"/>
  <c r="K48" i="45" s="1"/>
  <c r="K84" i="45"/>
  <c r="L40" i="45"/>
  <c r="G56" i="45"/>
  <c r="K57" i="45" s="1"/>
  <c r="K26" i="45"/>
  <c r="G53" i="45" s="1"/>
  <c r="K54" i="45" s="1"/>
  <c r="C47" i="45"/>
  <c r="L10" i="45"/>
  <c r="L26" i="45" s="1"/>
  <c r="L44" i="45" s="1"/>
  <c r="K69" i="45" l="1"/>
  <c r="L69" i="45" s="1"/>
  <c r="K72" i="45"/>
  <c r="L72" i="45" s="1"/>
  <c r="C50" i="45"/>
  <c r="K47" i="45"/>
  <c r="L50" i="45" s="1"/>
  <c r="K77" i="45"/>
  <c r="L77" i="45" s="1"/>
  <c r="K67" i="45"/>
  <c r="L67" i="45" s="1"/>
  <c r="K78" i="45"/>
  <c r="L78" i="45" s="1"/>
  <c r="K71" i="45"/>
  <c r="L71" i="45" s="1"/>
  <c r="K59" i="45"/>
  <c r="L59" i="45" s="1"/>
  <c r="K70" i="45"/>
  <c r="L70" i="45" s="1"/>
  <c r="X24" i="45"/>
  <c r="AB24" i="45" s="1"/>
  <c r="AC24" i="45" s="1"/>
  <c r="X21" i="45"/>
  <c r="AB21" i="45" s="1"/>
  <c r="AC21" i="45" s="1"/>
  <c r="X18" i="45"/>
  <c r="AB18" i="45" s="1"/>
  <c r="AC18" i="45" s="1"/>
  <c r="X15" i="45"/>
  <c r="AB15" i="45" s="1"/>
  <c r="AC15" i="45" s="1"/>
  <c r="X14" i="45"/>
  <c r="AB14" i="45" s="1"/>
  <c r="X11" i="45"/>
  <c r="AB11" i="45" s="1"/>
  <c r="AC11" i="45" s="1"/>
  <c r="X10" i="45"/>
  <c r="X22" i="45"/>
  <c r="AB22" i="45" s="1"/>
  <c r="AC22" i="45" s="1"/>
  <c r="X16" i="45"/>
  <c r="AB16" i="45" s="1"/>
  <c r="AC16" i="45" s="1"/>
  <c r="X25" i="45"/>
  <c r="AB25" i="45" s="1"/>
  <c r="AC25" i="45" s="1"/>
  <c r="X19" i="45"/>
  <c r="AB19" i="45" s="1"/>
  <c r="AC19" i="45" s="1"/>
  <c r="X13" i="45"/>
  <c r="AB13" i="45" s="1"/>
  <c r="AC13" i="45" s="1"/>
  <c r="X12" i="45"/>
  <c r="AB12" i="45" s="1"/>
  <c r="X23" i="45"/>
  <c r="AB23" i="45" s="1"/>
  <c r="AC23" i="45" s="1"/>
  <c r="X20" i="45"/>
  <c r="AB20" i="45" s="1"/>
  <c r="AC20" i="45" s="1"/>
  <c r="X17" i="45"/>
  <c r="AB17" i="45" s="1"/>
  <c r="AC17" i="45" s="1"/>
  <c r="L82" i="45" l="1"/>
  <c r="W49" i="45"/>
  <c r="AB49" i="45" s="1"/>
  <c r="AC14" i="45"/>
  <c r="X26" i="45"/>
  <c r="AB10" i="45"/>
  <c r="AC12" i="45"/>
  <c r="W48" i="45"/>
  <c r="AB48" i="45" s="1"/>
  <c r="X56" i="45" l="1"/>
  <c r="AB57" i="45" s="1"/>
  <c r="AC40" i="45"/>
  <c r="AC10" i="45"/>
  <c r="AC26" i="45" s="1"/>
  <c r="AB26" i="45"/>
  <c r="X53" i="45" s="1"/>
  <c r="AB54" i="45" s="1"/>
  <c r="W47" i="45"/>
  <c r="AC44" i="45" l="1"/>
  <c r="W50" i="45"/>
  <c r="AB47" i="45"/>
  <c r="AC50" i="45" s="1"/>
  <c r="AB77" i="45"/>
  <c r="AC77" i="45" s="1"/>
  <c r="AB70" i="45"/>
  <c r="AC70" i="45" s="1"/>
  <c r="AB69" i="45"/>
  <c r="AC69" i="45" s="1"/>
  <c r="AB58" i="45"/>
  <c r="AC58" i="45" s="1"/>
  <c r="AB76" i="45"/>
  <c r="AC76" i="45" s="1"/>
  <c r="AB66" i="45"/>
  <c r="AC66" i="45" s="1"/>
  <c r="AB68" i="45"/>
  <c r="AC68" i="45" s="1"/>
  <c r="AB71" i="45"/>
  <c r="AC71" i="45" s="1"/>
  <c r="AC81" i="45" l="1"/>
  <c r="L84" i="45" s="1"/>
  <c r="K86" i="45" s="1"/>
  <c r="L86" i="45" s="1"/>
  <c r="L87" i="45" s="1"/>
  <c r="L90" i="45" s="1"/>
  <c r="L92" i="45" s="1"/>
  <c r="L94" i="45" l="1"/>
  <c r="B136" i="44" l="1"/>
  <c r="B135" i="44"/>
  <c r="M86" i="44"/>
  <c r="V79" i="44"/>
  <c r="V78" i="44"/>
  <c r="Y77" i="44"/>
  <c r="V77" i="44"/>
  <c r="Y76" i="44"/>
  <c r="G76" i="44"/>
  <c r="I76" i="44" s="1"/>
  <c r="AB75" i="44"/>
  <c r="G75" i="44"/>
  <c r="I75" i="44" s="1"/>
  <c r="AB74" i="44"/>
  <c r="Y71" i="44"/>
  <c r="Y70" i="44"/>
  <c r="Y69" i="44"/>
  <c r="Y68" i="44"/>
  <c r="Y66" i="44"/>
  <c r="X65" i="44"/>
  <c r="X64" i="44"/>
  <c r="X61" i="44"/>
  <c r="X60" i="44"/>
  <c r="I59" i="44"/>
  <c r="AA56" i="44"/>
  <c r="AA53" i="44"/>
  <c r="Z49" i="44"/>
  <c r="G49" i="44"/>
  <c r="Z48" i="44"/>
  <c r="G48" i="44"/>
  <c r="Z47" i="44"/>
  <c r="G47" i="44"/>
  <c r="X40" i="44"/>
  <c r="K40" i="44"/>
  <c r="X39" i="44"/>
  <c r="AB40" i="44" s="1"/>
  <c r="X37" i="44"/>
  <c r="E37" i="44"/>
  <c r="D37" i="44"/>
  <c r="AC36" i="44"/>
  <c r="AB36" i="44"/>
  <c r="G36" i="44"/>
  <c r="L36" i="44" s="1"/>
  <c r="AC35" i="44"/>
  <c r="AB35" i="44"/>
  <c r="L35" i="44"/>
  <c r="G35" i="44"/>
  <c r="AC34" i="44"/>
  <c r="AB34" i="44"/>
  <c r="L34" i="44"/>
  <c r="G34" i="44"/>
  <c r="AC33" i="44"/>
  <c r="AB33" i="44"/>
  <c r="L33" i="44"/>
  <c r="G33" i="44"/>
  <c r="AC32" i="44"/>
  <c r="AB32" i="44"/>
  <c r="L32" i="44"/>
  <c r="G32" i="44"/>
  <c r="AC31" i="44"/>
  <c r="AB31" i="44"/>
  <c r="G31" i="44"/>
  <c r="L31" i="44" s="1"/>
  <c r="AC30" i="44"/>
  <c r="AB30" i="44"/>
  <c r="G30" i="44"/>
  <c r="L30" i="44" s="1"/>
  <c r="AC29" i="44"/>
  <c r="AB29" i="44"/>
  <c r="L29" i="44"/>
  <c r="G29" i="44"/>
  <c r="AC28" i="44"/>
  <c r="AC37" i="44" s="1"/>
  <c r="AB28" i="44"/>
  <c r="G28" i="44"/>
  <c r="L28" i="44" s="1"/>
  <c r="E26" i="44"/>
  <c r="D26" i="44"/>
  <c r="K25" i="44"/>
  <c r="L25" i="44" s="1"/>
  <c r="G25" i="44"/>
  <c r="G24" i="44"/>
  <c r="I23" i="44"/>
  <c r="I24" i="44" s="1"/>
  <c r="G23" i="44"/>
  <c r="K23" i="44" s="1"/>
  <c r="L23" i="44" s="1"/>
  <c r="G22" i="44"/>
  <c r="K22" i="44" s="1"/>
  <c r="L22" i="44" s="1"/>
  <c r="G21" i="44"/>
  <c r="I20" i="44"/>
  <c r="I21" i="44" s="1"/>
  <c r="K21" i="44" s="1"/>
  <c r="L21" i="44" s="1"/>
  <c r="G20" i="44"/>
  <c r="K19" i="44"/>
  <c r="L19" i="44" s="1"/>
  <c r="G19" i="44"/>
  <c r="G18" i="44"/>
  <c r="I17" i="44"/>
  <c r="I18" i="44" s="1"/>
  <c r="G17" i="44"/>
  <c r="K17" i="44" s="1"/>
  <c r="L17" i="44" s="1"/>
  <c r="G16" i="44"/>
  <c r="K16" i="44" s="1"/>
  <c r="L16" i="44" s="1"/>
  <c r="I15" i="44"/>
  <c r="G15" i="44"/>
  <c r="M15" i="44" s="1"/>
  <c r="G14" i="44"/>
  <c r="K14" i="44" s="1"/>
  <c r="L14" i="44" s="1"/>
  <c r="I13" i="44"/>
  <c r="G13" i="44"/>
  <c r="K13" i="44" s="1"/>
  <c r="G12" i="44"/>
  <c r="K12" i="44" s="1"/>
  <c r="L12" i="44" s="1"/>
  <c r="I11" i="44"/>
  <c r="G11" i="44"/>
  <c r="G10" i="44"/>
  <c r="AB7" i="44"/>
  <c r="X47" i="44" s="1"/>
  <c r="X7" i="44"/>
  <c r="V4" i="44"/>
  <c r="B3" i="44"/>
  <c r="V2" i="44"/>
  <c r="M11" i="44" l="1"/>
  <c r="G37" i="44"/>
  <c r="G26" i="44"/>
  <c r="G56" i="44" s="1"/>
  <c r="K57" i="44" s="1"/>
  <c r="K10" i="44"/>
  <c r="K11" i="44"/>
  <c r="L11" i="44" s="1"/>
  <c r="K15" i="44"/>
  <c r="L15" i="44" s="1"/>
  <c r="K18" i="44"/>
  <c r="L18" i="44" s="1"/>
  <c r="K20" i="44"/>
  <c r="L20" i="44" s="1"/>
  <c r="K24" i="44"/>
  <c r="L24" i="44" s="1"/>
  <c r="X48" i="44"/>
  <c r="L37" i="44"/>
  <c r="Y58" i="44"/>
  <c r="L76" i="44"/>
  <c r="Z75" i="44"/>
  <c r="AC75" i="44" s="1"/>
  <c r="K26" i="44"/>
  <c r="G53" i="44" s="1"/>
  <c r="K54" i="44" s="1"/>
  <c r="L13" i="44"/>
  <c r="C48" i="44"/>
  <c r="K48" i="44" s="1"/>
  <c r="Z74" i="44"/>
  <c r="AC74" i="44" s="1"/>
  <c r="L75" i="44"/>
  <c r="M13" i="44"/>
  <c r="C49" i="44"/>
  <c r="K49" i="44" s="1"/>
  <c r="X49" i="44"/>
  <c r="L10" i="44"/>
  <c r="C47" i="44"/>
  <c r="K84" i="44" l="1"/>
  <c r="X24" i="44" s="1"/>
  <c r="AB24" i="44" s="1"/>
  <c r="AC24" i="44" s="1"/>
  <c r="L40" i="44"/>
  <c r="L26" i="44"/>
  <c r="L44" i="44" s="1"/>
  <c r="C50" i="44"/>
  <c r="K47" i="44"/>
  <c r="K69" i="44"/>
  <c r="L69" i="44" s="1"/>
  <c r="K72" i="44"/>
  <c r="L72" i="44" s="1"/>
  <c r="X21" i="44"/>
  <c r="AB21" i="44" s="1"/>
  <c r="AC21" i="44" s="1"/>
  <c r="X18" i="44"/>
  <c r="AB18" i="44" s="1"/>
  <c r="AC18" i="44" s="1"/>
  <c r="X15" i="44"/>
  <c r="AB15" i="44" s="1"/>
  <c r="AC15" i="44" s="1"/>
  <c r="X14" i="44"/>
  <c r="AB14" i="44" s="1"/>
  <c r="X10" i="44"/>
  <c r="X22" i="44"/>
  <c r="AB22" i="44" s="1"/>
  <c r="AC22" i="44" s="1"/>
  <c r="X19" i="44"/>
  <c r="AB19" i="44" s="1"/>
  <c r="AC19" i="44" s="1"/>
  <c r="X16" i="44"/>
  <c r="AB16" i="44" s="1"/>
  <c r="AC16" i="44" s="1"/>
  <c r="X25" i="44"/>
  <c r="AB25" i="44" s="1"/>
  <c r="AC25" i="44" s="1"/>
  <c r="X23" i="44"/>
  <c r="AB23" i="44" s="1"/>
  <c r="AC23" i="44" s="1"/>
  <c r="X20" i="44"/>
  <c r="AB20" i="44" s="1"/>
  <c r="AC20" i="44" s="1"/>
  <c r="X17" i="44"/>
  <c r="AB17" i="44" s="1"/>
  <c r="AC17" i="44" s="1"/>
  <c r="X11" i="44"/>
  <c r="AB11" i="44" s="1"/>
  <c r="AC11" i="44" s="1"/>
  <c r="X13" i="44"/>
  <c r="AB13" i="44" s="1"/>
  <c r="AC13" i="44" s="1"/>
  <c r="X12" i="44"/>
  <c r="AB12" i="44" s="1"/>
  <c r="L50" i="44"/>
  <c r="K77" i="44"/>
  <c r="L77" i="44" s="1"/>
  <c r="K71" i="44"/>
  <c r="L71" i="44" s="1"/>
  <c r="K59" i="44"/>
  <c r="L59" i="44" s="1"/>
  <c r="K67" i="44"/>
  <c r="L67" i="44" s="1"/>
  <c r="K78" i="44"/>
  <c r="L78" i="44" s="1"/>
  <c r="K70" i="44"/>
  <c r="L70" i="44" s="1"/>
  <c r="L82" i="44" l="1"/>
  <c r="K86" i="44" s="1"/>
  <c r="X26" i="44"/>
  <c r="AB10" i="44"/>
  <c r="W48" i="44"/>
  <c r="AB48" i="44" s="1"/>
  <c r="AC12" i="44"/>
  <c r="W49" i="44"/>
  <c r="AB49" i="44" s="1"/>
  <c r="AC14" i="44"/>
  <c r="W47" i="44" l="1"/>
  <c r="AB26" i="44"/>
  <c r="X53" i="44" s="1"/>
  <c r="AB54" i="44" s="1"/>
  <c r="AC10" i="44"/>
  <c r="AC26" i="44" s="1"/>
  <c r="X56" i="44"/>
  <c r="AB57" i="44" s="1"/>
  <c r="AC40" i="44"/>
  <c r="L86" i="44"/>
  <c r="L87" i="44" s="1"/>
  <c r="L90" i="44" s="1"/>
  <c r="L92" i="44" s="1"/>
  <c r="L94" i="44" l="1"/>
  <c r="AC44" i="44"/>
  <c r="AB77" i="44"/>
  <c r="AC77" i="44" s="1"/>
  <c r="AB70" i="44"/>
  <c r="AC70" i="44" s="1"/>
  <c r="AB76" i="44"/>
  <c r="AC76" i="44" s="1"/>
  <c r="AB69" i="44"/>
  <c r="AC69" i="44" s="1"/>
  <c r="AB58" i="44"/>
  <c r="AC58" i="44" s="1"/>
  <c r="AB66" i="44"/>
  <c r="AC66" i="44" s="1"/>
  <c r="AB68" i="44"/>
  <c r="AC68" i="44" s="1"/>
  <c r="AB71" i="44"/>
  <c r="AC71" i="44" s="1"/>
  <c r="W50" i="44"/>
  <c r="AB47" i="44"/>
  <c r="AC50" i="44" s="1"/>
  <c r="AC81" i="44" l="1"/>
  <c r="L84" i="44" s="1"/>
  <c r="B136" i="43" l="1"/>
  <c r="B135" i="43"/>
  <c r="M86" i="43"/>
  <c r="V79" i="43"/>
  <c r="V78" i="43"/>
  <c r="Y77" i="43"/>
  <c r="V77" i="43"/>
  <c r="Y76" i="43"/>
  <c r="G76" i="43"/>
  <c r="I76" i="43" s="1"/>
  <c r="AB75" i="43"/>
  <c r="G75" i="43"/>
  <c r="I75" i="43" s="1"/>
  <c r="AB74" i="43"/>
  <c r="Y71" i="43"/>
  <c r="Y70" i="43"/>
  <c r="Y69" i="43"/>
  <c r="Y68" i="43"/>
  <c r="Y66" i="43"/>
  <c r="X65" i="43"/>
  <c r="X64" i="43"/>
  <c r="X61" i="43"/>
  <c r="X60" i="43"/>
  <c r="I59" i="43"/>
  <c r="Y58" i="43"/>
  <c r="AA56" i="43"/>
  <c r="AA53" i="43"/>
  <c r="Z49" i="43"/>
  <c r="G49" i="43"/>
  <c r="Z48" i="43"/>
  <c r="G48" i="43"/>
  <c r="Z47" i="43"/>
  <c r="G47" i="43"/>
  <c r="X40" i="43"/>
  <c r="K40" i="43"/>
  <c r="X39" i="43"/>
  <c r="AB40" i="43" s="1"/>
  <c r="X37" i="43"/>
  <c r="E37" i="43"/>
  <c r="D37" i="43"/>
  <c r="AB36" i="43"/>
  <c r="AC36" i="43" s="1"/>
  <c r="G36" i="43"/>
  <c r="L36" i="43" s="1"/>
  <c r="AB35" i="43"/>
  <c r="AC35" i="43" s="1"/>
  <c r="G35" i="43"/>
  <c r="L35" i="43" s="1"/>
  <c r="AB34" i="43"/>
  <c r="AC34" i="43" s="1"/>
  <c r="G34" i="43"/>
  <c r="L34" i="43" s="1"/>
  <c r="AB33" i="43"/>
  <c r="AC33" i="43" s="1"/>
  <c r="G33" i="43"/>
  <c r="L33" i="43" s="1"/>
  <c r="AB32" i="43"/>
  <c r="AC32" i="43" s="1"/>
  <c r="G32" i="43"/>
  <c r="L32" i="43" s="1"/>
  <c r="AB31" i="43"/>
  <c r="AC31" i="43" s="1"/>
  <c r="G31" i="43"/>
  <c r="L31" i="43" s="1"/>
  <c r="AB30" i="43"/>
  <c r="AC30" i="43" s="1"/>
  <c r="G30" i="43"/>
  <c r="L30" i="43" s="1"/>
  <c r="AB29" i="43"/>
  <c r="AC29" i="43" s="1"/>
  <c r="G29" i="43"/>
  <c r="L29" i="43" s="1"/>
  <c r="AB28" i="43"/>
  <c r="AC28" i="43" s="1"/>
  <c r="AC37" i="43" s="1"/>
  <c r="G28" i="43"/>
  <c r="E26" i="43"/>
  <c r="D26" i="43"/>
  <c r="G25" i="43"/>
  <c r="K25" i="43" s="1"/>
  <c r="L25" i="43" s="1"/>
  <c r="G24" i="43"/>
  <c r="I23" i="43"/>
  <c r="I24" i="43" s="1"/>
  <c r="K24" i="43" s="1"/>
  <c r="L24" i="43" s="1"/>
  <c r="G23" i="43"/>
  <c r="G22" i="43"/>
  <c r="K22" i="43" s="1"/>
  <c r="L22" i="43" s="1"/>
  <c r="G21" i="43"/>
  <c r="I20" i="43"/>
  <c r="I21" i="43" s="1"/>
  <c r="G20" i="43"/>
  <c r="K20" i="43" s="1"/>
  <c r="L20" i="43" s="1"/>
  <c r="G19" i="43"/>
  <c r="K19" i="43" s="1"/>
  <c r="L19" i="43" s="1"/>
  <c r="G18" i="43"/>
  <c r="I17" i="43"/>
  <c r="I18" i="43" s="1"/>
  <c r="K18" i="43" s="1"/>
  <c r="L18" i="43" s="1"/>
  <c r="G17" i="43"/>
  <c r="K16" i="43"/>
  <c r="L16" i="43" s="1"/>
  <c r="G16" i="43"/>
  <c r="I15" i="43"/>
  <c r="K15" i="43" s="1"/>
  <c r="L15" i="43" s="1"/>
  <c r="G15" i="43"/>
  <c r="M15" i="43" s="1"/>
  <c r="K14" i="43"/>
  <c r="L14" i="43" s="1"/>
  <c r="G14" i="43"/>
  <c r="I13" i="43"/>
  <c r="G13" i="43"/>
  <c r="K12" i="43"/>
  <c r="L12" i="43" s="1"/>
  <c r="G12" i="43"/>
  <c r="I11" i="43"/>
  <c r="K11" i="43" s="1"/>
  <c r="L11" i="43" s="1"/>
  <c r="G11" i="43"/>
  <c r="M11" i="43" s="1"/>
  <c r="K10" i="43"/>
  <c r="G10" i="43"/>
  <c r="AB7" i="43"/>
  <c r="X47" i="43" s="1"/>
  <c r="X7" i="43"/>
  <c r="V4" i="43"/>
  <c r="B3" i="43"/>
  <c r="V2" i="43"/>
  <c r="G37" i="43" l="1"/>
  <c r="G26" i="43"/>
  <c r="K13" i="43"/>
  <c r="K26" i="43" s="1"/>
  <c r="G53" i="43" s="1"/>
  <c r="K54" i="43" s="1"/>
  <c r="K17" i="43"/>
  <c r="L17" i="43" s="1"/>
  <c r="K21" i="43"/>
  <c r="L21" i="43" s="1"/>
  <c r="K23" i="43"/>
  <c r="L23" i="43" s="1"/>
  <c r="L28" i="43"/>
  <c r="L37" i="43" s="1"/>
  <c r="X48" i="43"/>
  <c r="K84" i="43"/>
  <c r="G56" i="43"/>
  <c r="K57" i="43" s="1"/>
  <c r="L40" i="43"/>
  <c r="C48" i="43"/>
  <c r="K48" i="43" s="1"/>
  <c r="L13" i="43"/>
  <c r="L76" i="43"/>
  <c r="Z75" i="43"/>
  <c r="AC75" i="43" s="1"/>
  <c r="L75" i="43"/>
  <c r="Z74" i="43"/>
  <c r="AC74" i="43" s="1"/>
  <c r="M13" i="43"/>
  <c r="C49" i="43"/>
  <c r="K49" i="43" s="1"/>
  <c r="X49" i="43"/>
  <c r="L10" i="43"/>
  <c r="C47" i="43"/>
  <c r="K59" i="43" l="1"/>
  <c r="L59" i="43" s="1"/>
  <c r="K77" i="43"/>
  <c r="L77" i="43" s="1"/>
  <c r="K70" i="43"/>
  <c r="L70" i="43" s="1"/>
  <c r="K67" i="43"/>
  <c r="L67" i="43" s="1"/>
  <c r="K71" i="43"/>
  <c r="L71" i="43" s="1"/>
  <c r="K78" i="43"/>
  <c r="L78" i="43" s="1"/>
  <c r="C50" i="43"/>
  <c r="K47" i="43"/>
  <c r="L50" i="43" s="1"/>
  <c r="X24" i="43"/>
  <c r="AB24" i="43" s="1"/>
  <c r="AC24" i="43" s="1"/>
  <c r="X21" i="43"/>
  <c r="AB21" i="43" s="1"/>
  <c r="AC21" i="43" s="1"/>
  <c r="X14" i="43"/>
  <c r="AB14" i="43" s="1"/>
  <c r="X22" i="43"/>
  <c r="AB22" i="43" s="1"/>
  <c r="AC22" i="43" s="1"/>
  <c r="X19" i="43"/>
  <c r="AB19" i="43" s="1"/>
  <c r="AC19" i="43" s="1"/>
  <c r="X16" i="43"/>
  <c r="AB16" i="43" s="1"/>
  <c r="AC16" i="43" s="1"/>
  <c r="X13" i="43"/>
  <c r="AB13" i="43" s="1"/>
  <c r="AC13" i="43" s="1"/>
  <c r="X12" i="43"/>
  <c r="AB12" i="43" s="1"/>
  <c r="X23" i="43"/>
  <c r="AB23" i="43" s="1"/>
  <c r="AC23" i="43" s="1"/>
  <c r="X20" i="43"/>
  <c r="AB20" i="43" s="1"/>
  <c r="AC20" i="43" s="1"/>
  <c r="X17" i="43"/>
  <c r="AB17" i="43" s="1"/>
  <c r="AC17" i="43" s="1"/>
  <c r="X18" i="43"/>
  <c r="AB18" i="43" s="1"/>
  <c r="AC18" i="43" s="1"/>
  <c r="X15" i="43"/>
  <c r="AB15" i="43" s="1"/>
  <c r="AC15" i="43" s="1"/>
  <c r="X11" i="43"/>
  <c r="AB11" i="43" s="1"/>
  <c r="AC11" i="43" s="1"/>
  <c r="X10" i="43"/>
  <c r="X25" i="43"/>
  <c r="AB25" i="43" s="1"/>
  <c r="AC25" i="43" s="1"/>
  <c r="L26" i="43"/>
  <c r="L44" i="43" s="1"/>
  <c r="K69" i="43"/>
  <c r="L69" i="43" s="1"/>
  <c r="K72" i="43"/>
  <c r="L72" i="43" s="1"/>
  <c r="X26" i="43" l="1"/>
  <c r="AB10" i="43"/>
  <c r="AC12" i="43"/>
  <c r="W48" i="43"/>
  <c r="AB48" i="43" s="1"/>
  <c r="W49" i="43"/>
  <c r="AB49" i="43" s="1"/>
  <c r="AC14" i="43"/>
  <c r="L82" i="43"/>
  <c r="AC10" i="43" l="1"/>
  <c r="AC26" i="43" s="1"/>
  <c r="AB26" i="43"/>
  <c r="X53" i="43" s="1"/>
  <c r="AB54" i="43" s="1"/>
  <c r="W47" i="43"/>
  <c r="K86" i="43"/>
  <c r="X56" i="43"/>
  <c r="AB57" i="43" s="1"/>
  <c r="AC40" i="43"/>
  <c r="AB68" i="43" l="1"/>
  <c r="AC68" i="43" s="1"/>
  <c r="AB71" i="43"/>
  <c r="AC71" i="43" s="1"/>
  <c r="W50" i="43"/>
  <c r="AB47" i="43"/>
  <c r="AC50" i="43" s="1"/>
  <c r="AB77" i="43"/>
  <c r="AC77" i="43" s="1"/>
  <c r="AB70" i="43"/>
  <c r="AC70" i="43" s="1"/>
  <c r="AB76" i="43"/>
  <c r="AC76" i="43" s="1"/>
  <c r="AB69" i="43"/>
  <c r="AC69" i="43" s="1"/>
  <c r="AB58" i="43"/>
  <c r="AC58" i="43" s="1"/>
  <c r="AB66" i="43"/>
  <c r="AC66" i="43" s="1"/>
  <c r="L86" i="43"/>
  <c r="L87" i="43" s="1"/>
  <c r="L90" i="43" s="1"/>
  <c r="L92" i="43" s="1"/>
  <c r="AC44" i="43"/>
  <c r="L94" i="43" l="1"/>
  <c r="AC81" i="43"/>
  <c r="L84" i="43" s="1"/>
  <c r="B136" i="42" l="1"/>
  <c r="B135" i="42"/>
  <c r="M86" i="42"/>
  <c r="V79" i="42"/>
  <c r="V78" i="42"/>
  <c r="Y77" i="42"/>
  <c r="V77" i="42"/>
  <c r="Y76" i="42"/>
  <c r="G76" i="42"/>
  <c r="I76" i="42" s="1"/>
  <c r="AB75" i="42"/>
  <c r="G75" i="42"/>
  <c r="I75" i="42" s="1"/>
  <c r="L75" i="42" s="1"/>
  <c r="AB74" i="42"/>
  <c r="Y71" i="42"/>
  <c r="Y70" i="42"/>
  <c r="Y69" i="42"/>
  <c r="Y68" i="42"/>
  <c r="Y66" i="42"/>
  <c r="X65" i="42"/>
  <c r="X64" i="42"/>
  <c r="X61" i="42"/>
  <c r="Y58" i="42" s="1"/>
  <c r="X60" i="42"/>
  <c r="I59" i="42"/>
  <c r="AA56" i="42"/>
  <c r="AA53" i="42"/>
  <c r="Z49" i="42"/>
  <c r="G49" i="42"/>
  <c r="Z48" i="42"/>
  <c r="G48" i="42"/>
  <c r="Z47" i="42"/>
  <c r="G47" i="42"/>
  <c r="X40" i="42"/>
  <c r="K40" i="42"/>
  <c r="X39" i="42"/>
  <c r="AB40" i="42" s="1"/>
  <c r="X37" i="42"/>
  <c r="E37" i="42"/>
  <c r="D37" i="42"/>
  <c r="AB36" i="42"/>
  <c r="AC36" i="42" s="1"/>
  <c r="G36" i="42"/>
  <c r="L36" i="42" s="1"/>
  <c r="AC35" i="42"/>
  <c r="AB35" i="42"/>
  <c r="G35" i="42"/>
  <c r="L35" i="42" s="1"/>
  <c r="AB34" i="42"/>
  <c r="AC34" i="42" s="1"/>
  <c r="G34" i="42"/>
  <c r="L34" i="42" s="1"/>
  <c r="AC33" i="42"/>
  <c r="AB33" i="42"/>
  <c r="G33" i="42"/>
  <c r="L33" i="42" s="1"/>
  <c r="AB32" i="42"/>
  <c r="AC32" i="42" s="1"/>
  <c r="G32" i="42"/>
  <c r="L32" i="42" s="1"/>
  <c r="AC31" i="42"/>
  <c r="AB31" i="42"/>
  <c r="G31" i="42"/>
  <c r="L31" i="42" s="1"/>
  <c r="AB30" i="42"/>
  <c r="AC30" i="42" s="1"/>
  <c r="G30" i="42"/>
  <c r="L30" i="42" s="1"/>
  <c r="AC29" i="42"/>
  <c r="AB29" i="42"/>
  <c r="G29" i="42"/>
  <c r="L29" i="42" s="1"/>
  <c r="AB28" i="42"/>
  <c r="AC28" i="42" s="1"/>
  <c r="AC37" i="42" s="1"/>
  <c r="G28" i="42"/>
  <c r="E26" i="42"/>
  <c r="D26" i="42"/>
  <c r="G25" i="42"/>
  <c r="K25" i="42" s="1"/>
  <c r="L25" i="42" s="1"/>
  <c r="G24" i="42"/>
  <c r="I23" i="42"/>
  <c r="I24" i="42" s="1"/>
  <c r="K24" i="42" s="1"/>
  <c r="L24" i="42" s="1"/>
  <c r="G23" i="42"/>
  <c r="K23" i="42" s="1"/>
  <c r="L23" i="42" s="1"/>
  <c r="K22" i="42"/>
  <c r="L22" i="42" s="1"/>
  <c r="G22" i="42"/>
  <c r="G21" i="42"/>
  <c r="I20" i="42"/>
  <c r="I21" i="42" s="1"/>
  <c r="K21" i="42" s="1"/>
  <c r="L21" i="42" s="1"/>
  <c r="G20" i="42"/>
  <c r="G19" i="42"/>
  <c r="K19" i="42" s="1"/>
  <c r="L19" i="42" s="1"/>
  <c r="G18" i="42"/>
  <c r="I17" i="42"/>
  <c r="I18" i="42" s="1"/>
  <c r="K18" i="42" s="1"/>
  <c r="L18" i="42" s="1"/>
  <c r="G17" i="42"/>
  <c r="K17" i="42" s="1"/>
  <c r="L17" i="42" s="1"/>
  <c r="K16" i="42"/>
  <c r="L16" i="42" s="1"/>
  <c r="G16" i="42"/>
  <c r="I15" i="42"/>
  <c r="G15" i="42"/>
  <c r="K15" i="42" s="1"/>
  <c r="L15" i="42" s="1"/>
  <c r="G14" i="42"/>
  <c r="K14" i="42" s="1"/>
  <c r="L14" i="42" s="1"/>
  <c r="I13" i="42"/>
  <c r="G13" i="42"/>
  <c r="G12" i="42"/>
  <c r="K12" i="42" s="1"/>
  <c r="L12" i="42" s="1"/>
  <c r="I11" i="42"/>
  <c r="G11" i="42"/>
  <c r="K11" i="42" s="1"/>
  <c r="L11" i="42" s="1"/>
  <c r="G10" i="42"/>
  <c r="AB7" i="42"/>
  <c r="X47" i="42" s="1"/>
  <c r="X7" i="42"/>
  <c r="V4" i="42"/>
  <c r="B3" i="42"/>
  <c r="V2" i="42"/>
  <c r="K13" i="42" l="1"/>
  <c r="L13" i="42" s="1"/>
  <c r="K20" i="42"/>
  <c r="L20" i="42" s="1"/>
  <c r="X49" i="42"/>
  <c r="L76" i="42"/>
  <c r="Z75" i="42"/>
  <c r="AC75" i="42" s="1"/>
  <c r="M11" i="42"/>
  <c r="M15" i="42"/>
  <c r="C49" i="42"/>
  <c r="K49" i="42" s="1"/>
  <c r="M13" i="42"/>
  <c r="G37" i="42"/>
  <c r="L28" i="42"/>
  <c r="L37" i="42" s="1"/>
  <c r="Z74" i="42"/>
  <c r="AC74" i="42" s="1"/>
  <c r="K10" i="42"/>
  <c r="G26" i="42"/>
  <c r="X48" i="42"/>
  <c r="C48" i="42" l="1"/>
  <c r="K48" i="42" s="1"/>
  <c r="K84" i="42"/>
  <c r="L40" i="42"/>
  <c r="G56" i="42"/>
  <c r="K57" i="42" s="1"/>
  <c r="K26" i="42"/>
  <c r="G53" i="42" s="1"/>
  <c r="K54" i="42" s="1"/>
  <c r="C47" i="42"/>
  <c r="L10" i="42"/>
  <c r="L26" i="42" s="1"/>
  <c r="L44" i="42" s="1"/>
  <c r="C50" i="42" l="1"/>
  <c r="K47" i="42"/>
  <c r="L50" i="42" s="1"/>
  <c r="K77" i="42"/>
  <c r="L77" i="42" s="1"/>
  <c r="K67" i="42"/>
  <c r="L67" i="42" s="1"/>
  <c r="K78" i="42"/>
  <c r="L78" i="42" s="1"/>
  <c r="K71" i="42"/>
  <c r="L71" i="42" s="1"/>
  <c r="K59" i="42"/>
  <c r="L59" i="42" s="1"/>
  <c r="K70" i="42"/>
  <c r="L70" i="42" s="1"/>
  <c r="X24" i="42"/>
  <c r="AB24" i="42" s="1"/>
  <c r="AC24" i="42" s="1"/>
  <c r="X21" i="42"/>
  <c r="AB21" i="42" s="1"/>
  <c r="AC21" i="42" s="1"/>
  <c r="X18" i="42"/>
  <c r="AB18" i="42" s="1"/>
  <c r="AC18" i="42" s="1"/>
  <c r="X15" i="42"/>
  <c r="AB15" i="42" s="1"/>
  <c r="AC15" i="42" s="1"/>
  <c r="X14" i="42"/>
  <c r="AB14" i="42" s="1"/>
  <c r="X11" i="42"/>
  <c r="AB11" i="42" s="1"/>
  <c r="AC11" i="42" s="1"/>
  <c r="X10" i="42"/>
  <c r="X25" i="42"/>
  <c r="AB25" i="42" s="1"/>
  <c r="AC25" i="42" s="1"/>
  <c r="X22" i="42"/>
  <c r="AB22" i="42" s="1"/>
  <c r="AC22" i="42" s="1"/>
  <c r="X19" i="42"/>
  <c r="AB19" i="42" s="1"/>
  <c r="AC19" i="42" s="1"/>
  <c r="X16" i="42"/>
  <c r="AB16" i="42" s="1"/>
  <c r="AC16" i="42" s="1"/>
  <c r="X13" i="42"/>
  <c r="AB13" i="42" s="1"/>
  <c r="AC13" i="42" s="1"/>
  <c r="X12" i="42"/>
  <c r="AB12" i="42" s="1"/>
  <c r="X20" i="42"/>
  <c r="AB20" i="42" s="1"/>
  <c r="AC20" i="42" s="1"/>
  <c r="X23" i="42"/>
  <c r="AB23" i="42" s="1"/>
  <c r="AC23" i="42" s="1"/>
  <c r="X17" i="42"/>
  <c r="AB17" i="42" s="1"/>
  <c r="AC17" i="42" s="1"/>
  <c r="K69" i="42"/>
  <c r="L69" i="42" s="1"/>
  <c r="K72" i="42"/>
  <c r="L72" i="42" s="1"/>
  <c r="L82" i="42" l="1"/>
  <c r="X26" i="42"/>
  <c r="AB10" i="42"/>
  <c r="W49" i="42"/>
  <c r="AB49" i="42" s="1"/>
  <c r="AC14" i="42"/>
  <c r="AC12" i="42"/>
  <c r="W48" i="42"/>
  <c r="AB48" i="42" s="1"/>
  <c r="AB26" i="42" l="1"/>
  <c r="X53" i="42" s="1"/>
  <c r="AB54" i="42" s="1"/>
  <c r="W47" i="42"/>
  <c r="AC10" i="42"/>
  <c r="AC26" i="42" s="1"/>
  <c r="X56" i="42"/>
  <c r="AB57" i="42" s="1"/>
  <c r="AC40" i="42"/>
  <c r="AC44" i="42" l="1"/>
  <c r="W50" i="42"/>
  <c r="AB47" i="42"/>
  <c r="AC50" i="42" s="1"/>
  <c r="AB77" i="42"/>
  <c r="AC77" i="42" s="1"/>
  <c r="AB70" i="42"/>
  <c r="AC70" i="42" s="1"/>
  <c r="AB69" i="42"/>
  <c r="AC69" i="42" s="1"/>
  <c r="AB58" i="42"/>
  <c r="AC58" i="42" s="1"/>
  <c r="AB76" i="42"/>
  <c r="AC76" i="42" s="1"/>
  <c r="AB66" i="42"/>
  <c r="AC66" i="42" s="1"/>
  <c r="AB68" i="42"/>
  <c r="AC68" i="42" s="1"/>
  <c r="AB71" i="42"/>
  <c r="AC71" i="42" s="1"/>
  <c r="AC81" i="42" l="1"/>
  <c r="L84" i="42" s="1"/>
  <c r="K86" i="42" s="1"/>
  <c r="L86" i="42" l="1"/>
  <c r="L87" i="42" s="1"/>
  <c r="L90" i="42" s="1"/>
  <c r="L92" i="42" s="1"/>
  <c r="L94" i="42" l="1"/>
  <c r="B136" i="41" l="1"/>
  <c r="B135" i="41"/>
  <c r="M86" i="41"/>
  <c r="V79" i="41"/>
  <c r="V78" i="41"/>
  <c r="Y77" i="41"/>
  <c r="V77" i="41"/>
  <c r="Y76" i="41"/>
  <c r="G76" i="41"/>
  <c r="I76" i="41" s="1"/>
  <c r="AB75" i="41"/>
  <c r="G75" i="41"/>
  <c r="I75" i="41" s="1"/>
  <c r="AB74" i="41"/>
  <c r="Y71" i="41"/>
  <c r="Y70" i="41"/>
  <c r="Y69" i="41"/>
  <c r="Y68" i="41"/>
  <c r="Y66" i="41"/>
  <c r="X65" i="41"/>
  <c r="X64" i="41"/>
  <c r="X61" i="41"/>
  <c r="X60" i="41"/>
  <c r="Y58" i="41" s="1"/>
  <c r="I59" i="41"/>
  <c r="AA56" i="41"/>
  <c r="AA53" i="41"/>
  <c r="Z49" i="41"/>
  <c r="G49" i="41"/>
  <c r="Z48" i="41"/>
  <c r="G48" i="41"/>
  <c r="Z47" i="41"/>
  <c r="G47" i="41"/>
  <c r="X40" i="41"/>
  <c r="K40" i="41"/>
  <c r="X39" i="41"/>
  <c r="AB40" i="41" s="1"/>
  <c r="X37" i="41"/>
  <c r="E37" i="41"/>
  <c r="D37" i="41"/>
  <c r="AC36" i="41"/>
  <c r="AB36" i="41"/>
  <c r="G36" i="41"/>
  <c r="L36" i="41" s="1"/>
  <c r="AB35" i="41"/>
  <c r="AC35" i="41" s="1"/>
  <c r="G35" i="41"/>
  <c r="L35" i="41" s="1"/>
  <c r="AC34" i="41"/>
  <c r="AB34" i="41"/>
  <c r="G34" i="41"/>
  <c r="L34" i="41" s="1"/>
  <c r="AB33" i="41"/>
  <c r="AC33" i="41" s="1"/>
  <c r="G33" i="41"/>
  <c r="L33" i="41" s="1"/>
  <c r="AC32" i="41"/>
  <c r="AB32" i="41"/>
  <c r="G32" i="41"/>
  <c r="L32" i="41" s="1"/>
  <c r="AB31" i="41"/>
  <c r="AC31" i="41" s="1"/>
  <c r="G31" i="41"/>
  <c r="L31" i="41" s="1"/>
  <c r="AC30" i="41"/>
  <c r="AB30" i="41"/>
  <c r="G30" i="41"/>
  <c r="L30" i="41" s="1"/>
  <c r="AB29" i="41"/>
  <c r="AC29" i="41" s="1"/>
  <c r="G29" i="41"/>
  <c r="L29" i="41" s="1"/>
  <c r="AC28" i="41"/>
  <c r="AB28" i="41"/>
  <c r="G28" i="41"/>
  <c r="E26" i="41"/>
  <c r="D26" i="41"/>
  <c r="G25" i="41"/>
  <c r="K25" i="41" s="1"/>
  <c r="L25" i="41" s="1"/>
  <c r="G24" i="41"/>
  <c r="I23" i="41"/>
  <c r="I24" i="41" s="1"/>
  <c r="G23" i="41"/>
  <c r="K23" i="41" s="1"/>
  <c r="L23" i="41" s="1"/>
  <c r="G22" i="41"/>
  <c r="K22" i="41" s="1"/>
  <c r="L22" i="41" s="1"/>
  <c r="G21" i="41"/>
  <c r="I20" i="41"/>
  <c r="I21" i="41" s="1"/>
  <c r="G20" i="41"/>
  <c r="K20" i="41" s="1"/>
  <c r="L20" i="41" s="1"/>
  <c r="G19" i="41"/>
  <c r="K19" i="41" s="1"/>
  <c r="L19" i="41" s="1"/>
  <c r="G18" i="41"/>
  <c r="I17" i="41"/>
  <c r="I18" i="41" s="1"/>
  <c r="G17" i="41"/>
  <c r="K16" i="41"/>
  <c r="L16" i="41" s="1"/>
  <c r="G16" i="41"/>
  <c r="I15" i="41"/>
  <c r="G15" i="41"/>
  <c r="G14" i="41"/>
  <c r="K14" i="41" s="1"/>
  <c r="I13" i="41"/>
  <c r="G13" i="41"/>
  <c r="K13" i="41" s="1"/>
  <c r="L13" i="41" s="1"/>
  <c r="G12" i="41"/>
  <c r="K12" i="41" s="1"/>
  <c r="I11" i="41"/>
  <c r="G11" i="41"/>
  <c r="M11" i="41" s="1"/>
  <c r="G10" i="41"/>
  <c r="AB7" i="41"/>
  <c r="X47" i="41" s="1"/>
  <c r="X7" i="41"/>
  <c r="V4" i="41"/>
  <c r="B3" i="41"/>
  <c r="V2" i="41"/>
  <c r="M15" i="41" l="1"/>
  <c r="G37" i="41"/>
  <c r="K15" i="41"/>
  <c r="L15" i="41" s="1"/>
  <c r="G26" i="41"/>
  <c r="G56" i="41" s="1"/>
  <c r="K57" i="41" s="1"/>
  <c r="K11" i="41"/>
  <c r="L11" i="41" s="1"/>
  <c r="K17" i="41"/>
  <c r="L17" i="41" s="1"/>
  <c r="K21" i="41"/>
  <c r="L21" i="41" s="1"/>
  <c r="K24" i="41"/>
  <c r="L24" i="41" s="1"/>
  <c r="AC37" i="41"/>
  <c r="K84" i="41"/>
  <c r="L76" i="41"/>
  <c r="Z75" i="41"/>
  <c r="AC75" i="41" s="1"/>
  <c r="K18" i="41"/>
  <c r="L18" i="41" s="1"/>
  <c r="L14" i="41"/>
  <c r="L75" i="41"/>
  <c r="Z74" i="41"/>
  <c r="AC74" i="41" s="1"/>
  <c r="L12" i="41"/>
  <c r="M13" i="41"/>
  <c r="X49" i="41"/>
  <c r="K10" i="41"/>
  <c r="L28" i="41"/>
  <c r="L37" i="41" s="1"/>
  <c r="X48" i="41"/>
  <c r="L40" i="41" l="1"/>
  <c r="C48" i="41"/>
  <c r="K48" i="41" s="1"/>
  <c r="C49" i="41"/>
  <c r="K49" i="41" s="1"/>
  <c r="X24" i="41"/>
  <c r="AB24" i="41" s="1"/>
  <c r="AC24" i="41" s="1"/>
  <c r="X10" i="41"/>
  <c r="X18" i="41"/>
  <c r="AB18" i="41" s="1"/>
  <c r="AC18" i="41" s="1"/>
  <c r="X15" i="41"/>
  <c r="AB15" i="41" s="1"/>
  <c r="AC15" i="41" s="1"/>
  <c r="X11" i="41"/>
  <c r="AB11" i="41" s="1"/>
  <c r="AC11" i="41" s="1"/>
  <c r="X25" i="41"/>
  <c r="AB25" i="41" s="1"/>
  <c r="AC25" i="41" s="1"/>
  <c r="X22" i="41"/>
  <c r="AB22" i="41" s="1"/>
  <c r="AC22" i="41" s="1"/>
  <c r="X19" i="41"/>
  <c r="AB19" i="41" s="1"/>
  <c r="AC19" i="41" s="1"/>
  <c r="X16" i="41"/>
  <c r="AB16" i="41" s="1"/>
  <c r="AC16" i="41" s="1"/>
  <c r="X13" i="41"/>
  <c r="AB13" i="41" s="1"/>
  <c r="AC13" i="41" s="1"/>
  <c r="X12" i="41"/>
  <c r="AB12" i="41" s="1"/>
  <c r="X21" i="41"/>
  <c r="AB21" i="41" s="1"/>
  <c r="AC21" i="41" s="1"/>
  <c r="X23" i="41"/>
  <c r="AB23" i="41" s="1"/>
  <c r="AC23" i="41" s="1"/>
  <c r="X20" i="41"/>
  <c r="AB20" i="41" s="1"/>
  <c r="AC20" i="41" s="1"/>
  <c r="X17" i="41"/>
  <c r="AB17" i="41" s="1"/>
  <c r="AC17" i="41" s="1"/>
  <c r="X14" i="41"/>
  <c r="AB14" i="41" s="1"/>
  <c r="K26" i="41"/>
  <c r="G53" i="41" s="1"/>
  <c r="K54" i="41" s="1"/>
  <c r="C47" i="41"/>
  <c r="L10" i="41"/>
  <c r="L26" i="41" s="1"/>
  <c r="L44" i="41" s="1"/>
  <c r="K69" i="41"/>
  <c r="L69" i="41" s="1"/>
  <c r="K72" i="41"/>
  <c r="L72" i="41" s="1"/>
  <c r="C50" i="41" l="1"/>
  <c r="K47" i="41"/>
  <c r="K77" i="41"/>
  <c r="L77" i="41" s="1"/>
  <c r="K67" i="41"/>
  <c r="L67" i="41" s="1"/>
  <c r="K78" i="41"/>
  <c r="L78" i="41" s="1"/>
  <c r="K71" i="41"/>
  <c r="L71" i="41" s="1"/>
  <c r="K59" i="41"/>
  <c r="L59" i="41" s="1"/>
  <c r="K70" i="41"/>
  <c r="L70" i="41" s="1"/>
  <c r="X26" i="41"/>
  <c r="AB10" i="41"/>
  <c r="W49" i="41"/>
  <c r="AB49" i="41" s="1"/>
  <c r="AC14" i="41"/>
  <c r="AC12" i="41"/>
  <c r="W48" i="41"/>
  <c r="AB48" i="41" s="1"/>
  <c r="L50" i="41"/>
  <c r="L82" i="41" s="1"/>
  <c r="AB26" i="41" l="1"/>
  <c r="X53" i="41" s="1"/>
  <c r="AB54" i="41" s="1"/>
  <c r="W47" i="41"/>
  <c r="AC10" i="41"/>
  <c r="AC26" i="41" s="1"/>
  <c r="AC44" i="41" s="1"/>
  <c r="X56" i="41"/>
  <c r="AB57" i="41" s="1"/>
  <c r="AC40" i="41"/>
  <c r="W50" i="41" l="1"/>
  <c r="AB47" i="41"/>
  <c r="AC50" i="41" s="1"/>
  <c r="AB68" i="41"/>
  <c r="AC68" i="41" s="1"/>
  <c r="AB71" i="41"/>
  <c r="AC71" i="41" s="1"/>
  <c r="AB77" i="41"/>
  <c r="AC77" i="41" s="1"/>
  <c r="AB70" i="41"/>
  <c r="AC70" i="41" s="1"/>
  <c r="AB69" i="41"/>
  <c r="AC69" i="41" s="1"/>
  <c r="AB58" i="41"/>
  <c r="AC58" i="41" s="1"/>
  <c r="AB76" i="41"/>
  <c r="AC76" i="41" s="1"/>
  <c r="AB66" i="41"/>
  <c r="AC66" i="41" s="1"/>
  <c r="AC81" i="41" l="1"/>
  <c r="L84" i="41" s="1"/>
  <c r="K86" i="41" s="1"/>
  <c r="L86" i="41" s="1"/>
  <c r="L87" i="41" s="1"/>
  <c r="L90" i="41" s="1"/>
  <c r="L92" i="41" s="1"/>
  <c r="L94" i="41" l="1"/>
  <c r="B136" i="40" l="1"/>
  <c r="B135" i="40"/>
  <c r="M86" i="40"/>
  <c r="V79" i="40"/>
  <c r="V78" i="40"/>
  <c r="Y77" i="40"/>
  <c r="V77" i="40"/>
  <c r="Y76" i="40"/>
  <c r="G76" i="40"/>
  <c r="I76" i="40" s="1"/>
  <c r="AB75" i="40"/>
  <c r="G75" i="40"/>
  <c r="I75" i="40" s="1"/>
  <c r="L75" i="40" s="1"/>
  <c r="AB74" i="40"/>
  <c r="Y71" i="40"/>
  <c r="Y70" i="40"/>
  <c r="Y69" i="40"/>
  <c r="Y68" i="40"/>
  <c r="Y66" i="40"/>
  <c r="X65" i="40"/>
  <c r="X64" i="40"/>
  <c r="X61" i="40"/>
  <c r="Y58" i="40" s="1"/>
  <c r="X60" i="40"/>
  <c r="I59" i="40"/>
  <c r="AA56" i="40"/>
  <c r="AA53" i="40"/>
  <c r="Z49" i="40"/>
  <c r="G49" i="40"/>
  <c r="Z48" i="40"/>
  <c r="G48" i="40"/>
  <c r="Z47" i="40"/>
  <c r="G47" i="40"/>
  <c r="X40" i="40"/>
  <c r="K40" i="40"/>
  <c r="X39" i="40"/>
  <c r="AB40" i="40" s="1"/>
  <c r="X37" i="40"/>
  <c r="E37" i="40"/>
  <c r="AC36" i="40"/>
  <c r="AB36" i="40"/>
  <c r="G36" i="40"/>
  <c r="L36" i="40" s="1"/>
  <c r="AB35" i="40"/>
  <c r="AC35" i="40" s="1"/>
  <c r="G35" i="40"/>
  <c r="L35" i="40" s="1"/>
  <c r="AC34" i="40"/>
  <c r="AB34" i="40"/>
  <c r="G34" i="40"/>
  <c r="L34" i="40" s="1"/>
  <c r="AB33" i="40"/>
  <c r="AC33" i="40" s="1"/>
  <c r="G33" i="40"/>
  <c r="L33" i="40" s="1"/>
  <c r="AC32" i="40"/>
  <c r="AB32" i="40"/>
  <c r="G32" i="40"/>
  <c r="L32" i="40" s="1"/>
  <c r="AB31" i="40"/>
  <c r="AC31" i="40" s="1"/>
  <c r="G31" i="40"/>
  <c r="L31" i="40" s="1"/>
  <c r="AC30" i="40"/>
  <c r="AB30" i="40"/>
  <c r="G30" i="40"/>
  <c r="L30" i="40" s="1"/>
  <c r="AB29" i="40"/>
  <c r="AC29" i="40" s="1"/>
  <c r="G29" i="40"/>
  <c r="L29" i="40" s="1"/>
  <c r="AC28" i="40"/>
  <c r="AB28" i="40"/>
  <c r="G28" i="40"/>
  <c r="E26" i="40"/>
  <c r="D26" i="40"/>
  <c r="G25" i="40"/>
  <c r="K25" i="40" s="1"/>
  <c r="L25" i="40" s="1"/>
  <c r="G24" i="40"/>
  <c r="I23" i="40"/>
  <c r="I24" i="40" s="1"/>
  <c r="K24" i="40" s="1"/>
  <c r="L24" i="40" s="1"/>
  <c r="G23" i="40"/>
  <c r="G22" i="40"/>
  <c r="K22" i="40" s="1"/>
  <c r="L22" i="40" s="1"/>
  <c r="G21" i="40"/>
  <c r="I20" i="40"/>
  <c r="I21" i="40" s="1"/>
  <c r="K21" i="40" s="1"/>
  <c r="L21" i="40" s="1"/>
  <c r="G20" i="40"/>
  <c r="K20" i="40" s="1"/>
  <c r="L20" i="40" s="1"/>
  <c r="K19" i="40"/>
  <c r="L19" i="40" s="1"/>
  <c r="G19" i="40"/>
  <c r="G18" i="40"/>
  <c r="I17" i="40"/>
  <c r="I18" i="40" s="1"/>
  <c r="K18" i="40" s="1"/>
  <c r="L18" i="40" s="1"/>
  <c r="G17" i="40"/>
  <c r="G16" i="40"/>
  <c r="K16" i="40" s="1"/>
  <c r="L16" i="40" s="1"/>
  <c r="I15" i="40"/>
  <c r="G15" i="40"/>
  <c r="K15" i="40" s="1"/>
  <c r="L15" i="40" s="1"/>
  <c r="G14" i="40"/>
  <c r="K14" i="40" s="1"/>
  <c r="L14" i="40" s="1"/>
  <c r="I13" i="40"/>
  <c r="G13" i="40"/>
  <c r="G12" i="40"/>
  <c r="K12" i="40" s="1"/>
  <c r="L12" i="40" s="1"/>
  <c r="I11" i="40"/>
  <c r="G11" i="40"/>
  <c r="K11" i="40" s="1"/>
  <c r="L11" i="40" s="1"/>
  <c r="G10" i="40"/>
  <c r="AB7" i="40"/>
  <c r="X47" i="40" s="1"/>
  <c r="X7" i="40"/>
  <c r="V4" i="40"/>
  <c r="B3" i="40"/>
  <c r="V2" i="40"/>
  <c r="AC37" i="40" l="1"/>
  <c r="K13" i="40"/>
  <c r="M13" i="40"/>
  <c r="K17" i="40"/>
  <c r="L17" i="40" s="1"/>
  <c r="K23" i="40"/>
  <c r="L23" i="40" s="1"/>
  <c r="X48" i="40"/>
  <c r="X49" i="40"/>
  <c r="L28" i="40"/>
  <c r="L37" i="40" s="1"/>
  <c r="G37" i="40"/>
  <c r="C49" i="40"/>
  <c r="K49" i="40" s="1"/>
  <c r="G26" i="40"/>
  <c r="K10" i="40"/>
  <c r="L76" i="40"/>
  <c r="Z75" i="40"/>
  <c r="AC75" i="40" s="1"/>
  <c r="L13" i="40"/>
  <c r="C48" i="40"/>
  <c r="K48" i="40" s="1"/>
  <c r="M11" i="40"/>
  <c r="M15" i="40"/>
  <c r="Z74" i="40"/>
  <c r="AC74" i="40" s="1"/>
  <c r="K84" i="40" l="1"/>
  <c r="G56" i="40"/>
  <c r="K57" i="40" s="1"/>
  <c r="L40" i="40"/>
  <c r="K26" i="40"/>
  <c r="G53" i="40" s="1"/>
  <c r="K54" i="40" s="1"/>
  <c r="C47" i="40"/>
  <c r="L10" i="40"/>
  <c r="L26" i="40" s="1"/>
  <c r="L44" i="40" l="1"/>
  <c r="K69" i="40"/>
  <c r="L69" i="40" s="1"/>
  <c r="K72" i="40"/>
  <c r="L72" i="40" s="1"/>
  <c r="C50" i="40"/>
  <c r="K47" i="40"/>
  <c r="L50" i="40" s="1"/>
  <c r="K77" i="40"/>
  <c r="L77" i="40" s="1"/>
  <c r="K67" i="40"/>
  <c r="L67" i="40" s="1"/>
  <c r="K78" i="40"/>
  <c r="L78" i="40" s="1"/>
  <c r="K71" i="40"/>
  <c r="L71" i="40" s="1"/>
  <c r="K59" i="40"/>
  <c r="L59" i="40" s="1"/>
  <c r="K70" i="40"/>
  <c r="L70" i="40" s="1"/>
  <c r="X24" i="40"/>
  <c r="AB24" i="40" s="1"/>
  <c r="AC24" i="40" s="1"/>
  <c r="X21" i="40"/>
  <c r="AB21" i="40" s="1"/>
  <c r="AC21" i="40" s="1"/>
  <c r="X18" i="40"/>
  <c r="AB18" i="40" s="1"/>
  <c r="AC18" i="40" s="1"/>
  <c r="X15" i="40"/>
  <c r="AB15" i="40" s="1"/>
  <c r="AC15" i="40" s="1"/>
  <c r="X14" i="40"/>
  <c r="AB14" i="40" s="1"/>
  <c r="X11" i="40"/>
  <c r="AB11" i="40" s="1"/>
  <c r="AC11" i="40" s="1"/>
  <c r="X10" i="40"/>
  <c r="X22" i="40"/>
  <c r="AB22" i="40" s="1"/>
  <c r="AC22" i="40" s="1"/>
  <c r="X19" i="40"/>
  <c r="AB19" i="40" s="1"/>
  <c r="AC19" i="40" s="1"/>
  <c r="X13" i="40"/>
  <c r="AB13" i="40" s="1"/>
  <c r="AC13" i="40" s="1"/>
  <c r="X12" i="40"/>
  <c r="AB12" i="40" s="1"/>
  <c r="X25" i="40"/>
  <c r="AB25" i="40" s="1"/>
  <c r="AC25" i="40" s="1"/>
  <c r="X16" i="40"/>
  <c r="AB16" i="40" s="1"/>
  <c r="AC16" i="40" s="1"/>
  <c r="X23" i="40"/>
  <c r="AB23" i="40" s="1"/>
  <c r="AC23" i="40" s="1"/>
  <c r="X20" i="40"/>
  <c r="AB20" i="40" s="1"/>
  <c r="AC20" i="40" s="1"/>
  <c r="X17" i="40"/>
  <c r="AB17" i="40" s="1"/>
  <c r="AC17" i="40" s="1"/>
  <c r="L82" i="40" l="1"/>
  <c r="K86" i="40" s="1"/>
  <c r="W49" i="40"/>
  <c r="AB49" i="40" s="1"/>
  <c r="AC14" i="40"/>
  <c r="AC12" i="40"/>
  <c r="W48" i="40"/>
  <c r="AB48" i="40" s="1"/>
  <c r="X26" i="40"/>
  <c r="AB10" i="40"/>
  <c r="X56" i="40" l="1"/>
  <c r="AB57" i="40" s="1"/>
  <c r="AC40" i="40"/>
  <c r="L86" i="40"/>
  <c r="L87" i="40" s="1"/>
  <c r="L90" i="40" s="1"/>
  <c r="L92" i="40" s="1"/>
  <c r="AC10" i="40"/>
  <c r="AC26" i="40" s="1"/>
  <c r="AC44" i="40" s="1"/>
  <c r="AB26" i="40"/>
  <c r="X53" i="40" s="1"/>
  <c r="AB54" i="40" s="1"/>
  <c r="W47" i="40"/>
  <c r="L94" i="40" l="1"/>
  <c r="AB77" i="40"/>
  <c r="AC77" i="40" s="1"/>
  <c r="AB70" i="40"/>
  <c r="AC70" i="40" s="1"/>
  <c r="AB69" i="40"/>
  <c r="AC69" i="40" s="1"/>
  <c r="AB58" i="40"/>
  <c r="AC58" i="40" s="1"/>
  <c r="AB76" i="40"/>
  <c r="AC76" i="40" s="1"/>
  <c r="AB66" i="40"/>
  <c r="AC66" i="40" s="1"/>
  <c r="W50" i="40"/>
  <c r="AB47" i="40"/>
  <c r="AC50" i="40" s="1"/>
  <c r="AC81" i="40" s="1"/>
  <c r="L84" i="40" s="1"/>
  <c r="AB68" i="40"/>
  <c r="AC68" i="40" s="1"/>
  <c r="AB71" i="40"/>
  <c r="AC71" i="40" s="1"/>
  <c r="B136" i="39" l="1"/>
  <c r="B135" i="39"/>
  <c r="V79" i="39"/>
  <c r="V78" i="39"/>
  <c r="Y77" i="39"/>
  <c r="V77" i="39"/>
  <c r="Y76" i="39"/>
  <c r="G76" i="39"/>
  <c r="I76" i="39" s="1"/>
  <c r="AB75" i="39"/>
  <c r="G75" i="39"/>
  <c r="I75" i="39" s="1"/>
  <c r="Z74" i="39" s="1"/>
  <c r="AB74" i="39"/>
  <c r="Y71" i="39"/>
  <c r="Y70" i="39"/>
  <c r="Y69" i="39"/>
  <c r="Y68" i="39"/>
  <c r="Y66" i="39"/>
  <c r="X65" i="39"/>
  <c r="X64" i="39"/>
  <c r="X61" i="39"/>
  <c r="Y58" i="39" s="1"/>
  <c r="X60" i="39"/>
  <c r="I59" i="39"/>
  <c r="AA56" i="39"/>
  <c r="AA53" i="39"/>
  <c r="Z49" i="39"/>
  <c r="G49" i="39"/>
  <c r="Z48" i="39"/>
  <c r="G48" i="39"/>
  <c r="Z47" i="39"/>
  <c r="G47" i="39"/>
  <c r="X40" i="39"/>
  <c r="K40" i="39"/>
  <c r="X39" i="39"/>
  <c r="AB40" i="39" s="1"/>
  <c r="X37" i="39"/>
  <c r="E37" i="39"/>
  <c r="D37" i="39"/>
  <c r="AB36" i="39"/>
  <c r="AC36" i="39" s="1"/>
  <c r="G36" i="39"/>
  <c r="L36" i="39" s="1"/>
  <c r="AC35" i="39"/>
  <c r="AB35" i="39"/>
  <c r="G35" i="39"/>
  <c r="L35" i="39" s="1"/>
  <c r="AB34" i="39"/>
  <c r="AC34" i="39" s="1"/>
  <c r="G34" i="39"/>
  <c r="L34" i="39" s="1"/>
  <c r="AC33" i="39"/>
  <c r="AB33" i="39"/>
  <c r="G33" i="39"/>
  <c r="L33" i="39" s="1"/>
  <c r="AB32" i="39"/>
  <c r="AC32" i="39" s="1"/>
  <c r="G32" i="39"/>
  <c r="L32" i="39" s="1"/>
  <c r="AC31" i="39"/>
  <c r="AB31" i="39"/>
  <c r="G31" i="39"/>
  <c r="L31" i="39" s="1"/>
  <c r="AB30" i="39"/>
  <c r="AC30" i="39" s="1"/>
  <c r="G30" i="39"/>
  <c r="L30" i="39" s="1"/>
  <c r="AC29" i="39"/>
  <c r="AB29" i="39"/>
  <c r="G29" i="39"/>
  <c r="L29" i="39" s="1"/>
  <c r="AB28" i="39"/>
  <c r="AC28" i="39" s="1"/>
  <c r="AC37" i="39" s="1"/>
  <c r="G28" i="39"/>
  <c r="G37" i="39" s="1"/>
  <c r="E26" i="39"/>
  <c r="D26" i="39"/>
  <c r="G25" i="39"/>
  <c r="K25" i="39" s="1"/>
  <c r="L25" i="39" s="1"/>
  <c r="G24" i="39"/>
  <c r="I23" i="39"/>
  <c r="I24" i="39" s="1"/>
  <c r="G23" i="39"/>
  <c r="K23" i="39" s="1"/>
  <c r="L23" i="39" s="1"/>
  <c r="K22" i="39"/>
  <c r="L22" i="39" s="1"/>
  <c r="G22" i="39"/>
  <c r="G21" i="39"/>
  <c r="I20" i="39"/>
  <c r="I21" i="39" s="1"/>
  <c r="G20" i="39"/>
  <c r="G19" i="39"/>
  <c r="K19" i="39" s="1"/>
  <c r="L19" i="39" s="1"/>
  <c r="G18" i="39"/>
  <c r="I17" i="39"/>
  <c r="I18" i="39" s="1"/>
  <c r="G17" i="39"/>
  <c r="K17" i="39" s="1"/>
  <c r="L17" i="39" s="1"/>
  <c r="K16" i="39"/>
  <c r="L16" i="39" s="1"/>
  <c r="G16" i="39"/>
  <c r="I15" i="39"/>
  <c r="G15" i="39"/>
  <c r="M15" i="39" s="1"/>
  <c r="G14" i="39"/>
  <c r="K14" i="39" s="1"/>
  <c r="I13" i="39"/>
  <c r="G13" i="39"/>
  <c r="G12" i="39"/>
  <c r="K12" i="39" s="1"/>
  <c r="I11" i="39"/>
  <c r="G11" i="39"/>
  <c r="M11" i="39" s="1"/>
  <c r="G10" i="39"/>
  <c r="G26" i="39" s="1"/>
  <c r="AB7" i="39"/>
  <c r="X47" i="39" s="1"/>
  <c r="X7" i="39"/>
  <c r="V4" i="39"/>
  <c r="B3" i="39"/>
  <c r="V2" i="39"/>
  <c r="L12" i="39" l="1"/>
  <c r="K11" i="39"/>
  <c r="L11" i="39" s="1"/>
  <c r="K13" i="39"/>
  <c r="L13" i="39" s="1"/>
  <c r="K20" i="39"/>
  <c r="L20" i="39" s="1"/>
  <c r="K21" i="39"/>
  <c r="L21" i="39" s="1"/>
  <c r="K15" i="39"/>
  <c r="L15" i="39" s="1"/>
  <c r="K18" i="39"/>
  <c r="L18" i="39" s="1"/>
  <c r="K24" i="39"/>
  <c r="L24" i="39" s="1"/>
  <c r="L14" i="39"/>
  <c r="AC74" i="39"/>
  <c r="L76" i="39"/>
  <c r="Z75" i="39"/>
  <c r="AC75" i="39" s="1"/>
  <c r="K84" i="39"/>
  <c r="G56" i="39"/>
  <c r="K57" i="39" s="1"/>
  <c r="L40" i="39"/>
  <c r="L28" i="39"/>
  <c r="L37" i="39" s="1"/>
  <c r="X48" i="39"/>
  <c r="L75" i="39"/>
  <c r="M13" i="39"/>
  <c r="X49" i="39"/>
  <c r="K10" i="39"/>
  <c r="C49" i="39" l="1"/>
  <c r="K49" i="39" s="1"/>
  <c r="C48" i="39"/>
  <c r="K48" i="39" s="1"/>
  <c r="K69" i="39"/>
  <c r="L69" i="39" s="1"/>
  <c r="K72" i="39"/>
  <c r="L72" i="39" s="1"/>
  <c r="K26" i="39"/>
  <c r="G53" i="39" s="1"/>
  <c r="K54" i="39" s="1"/>
  <c r="C47" i="39"/>
  <c r="L10" i="39"/>
  <c r="L26" i="39" s="1"/>
  <c r="L44" i="39" s="1"/>
  <c r="X24" i="39"/>
  <c r="AB24" i="39" s="1"/>
  <c r="AC24" i="39" s="1"/>
  <c r="X21" i="39"/>
  <c r="AB21" i="39" s="1"/>
  <c r="AC21" i="39" s="1"/>
  <c r="X18" i="39"/>
  <c r="AB18" i="39" s="1"/>
  <c r="AC18" i="39" s="1"/>
  <c r="X15" i="39"/>
  <c r="AB15" i="39" s="1"/>
  <c r="AC15" i="39" s="1"/>
  <c r="X14" i="39"/>
  <c r="AB14" i="39" s="1"/>
  <c r="X11" i="39"/>
  <c r="AB11" i="39" s="1"/>
  <c r="AC11" i="39" s="1"/>
  <c r="X10" i="39"/>
  <c r="X17" i="39"/>
  <c r="AB17" i="39" s="1"/>
  <c r="AC17" i="39" s="1"/>
  <c r="X20" i="39"/>
  <c r="AB20" i="39" s="1"/>
  <c r="AC20" i="39" s="1"/>
  <c r="X25" i="39"/>
  <c r="AB25" i="39" s="1"/>
  <c r="AC25" i="39" s="1"/>
  <c r="X22" i="39"/>
  <c r="AB22" i="39" s="1"/>
  <c r="AC22" i="39" s="1"/>
  <c r="X19" i="39"/>
  <c r="AB19" i="39" s="1"/>
  <c r="AC19" i="39" s="1"/>
  <c r="X16" i="39"/>
  <c r="AB16" i="39" s="1"/>
  <c r="AC16" i="39" s="1"/>
  <c r="X13" i="39"/>
  <c r="AB13" i="39" s="1"/>
  <c r="AC13" i="39" s="1"/>
  <c r="X12" i="39"/>
  <c r="AB12" i="39" s="1"/>
  <c r="X23" i="39"/>
  <c r="AB23" i="39" s="1"/>
  <c r="AC23" i="39" s="1"/>
  <c r="W49" i="39" l="1"/>
  <c r="AB49" i="39" s="1"/>
  <c r="AC14" i="39"/>
  <c r="C50" i="39"/>
  <c r="K47" i="39"/>
  <c r="L50" i="39" s="1"/>
  <c r="K77" i="39"/>
  <c r="L77" i="39" s="1"/>
  <c r="K67" i="39"/>
  <c r="L67" i="39" s="1"/>
  <c r="K70" i="39"/>
  <c r="L70" i="39" s="1"/>
  <c r="K78" i="39"/>
  <c r="L78" i="39" s="1"/>
  <c r="K71" i="39"/>
  <c r="L71" i="39" s="1"/>
  <c r="K59" i="39"/>
  <c r="L59" i="39" s="1"/>
  <c r="L82" i="39" s="1"/>
  <c r="AC12" i="39"/>
  <c r="W48" i="39"/>
  <c r="AB48" i="39" s="1"/>
  <c r="AB10" i="39"/>
  <c r="X26" i="39"/>
  <c r="X56" i="39" l="1"/>
  <c r="AB57" i="39" s="1"/>
  <c r="AC40" i="39"/>
  <c r="K86" i="39"/>
  <c r="AB26" i="39"/>
  <c r="X53" i="39" s="1"/>
  <c r="AB54" i="39" s="1"/>
  <c r="W47" i="39"/>
  <c r="AC10" i="39"/>
  <c r="AC26" i="39" s="1"/>
  <c r="AC44" i="39" s="1"/>
  <c r="L86" i="39" l="1"/>
  <c r="L87" i="39" s="1"/>
  <c r="L90" i="39" s="1"/>
  <c r="L92" i="39" s="1"/>
  <c r="AB47" i="39"/>
  <c r="AC50" i="39" s="1"/>
  <c r="W50" i="39"/>
  <c r="AB77" i="39"/>
  <c r="AC77" i="39" s="1"/>
  <c r="AB70" i="39"/>
  <c r="AC70" i="39" s="1"/>
  <c r="AB69" i="39"/>
  <c r="AC69" i="39" s="1"/>
  <c r="AB58" i="39"/>
  <c r="AC58" i="39" s="1"/>
  <c r="AB66" i="39"/>
  <c r="AC66" i="39" s="1"/>
  <c r="AB76" i="39"/>
  <c r="AC76" i="39" s="1"/>
  <c r="AB71" i="39"/>
  <c r="AC71" i="39" s="1"/>
  <c r="AB68" i="39"/>
  <c r="AC68" i="39" s="1"/>
  <c r="AC81" i="39" l="1"/>
  <c r="L84" i="39" s="1"/>
  <c r="L94" i="39"/>
  <c r="B136" i="38" l="1"/>
  <c r="B135" i="38"/>
  <c r="M86" i="38"/>
  <c r="V79" i="38"/>
  <c r="V78" i="38"/>
  <c r="Y77" i="38"/>
  <c r="V77" i="38"/>
  <c r="Y76" i="38"/>
  <c r="G76" i="38"/>
  <c r="I76" i="38" s="1"/>
  <c r="AB75" i="38"/>
  <c r="G75" i="38"/>
  <c r="I75" i="38" s="1"/>
  <c r="L75" i="38" s="1"/>
  <c r="AB74" i="38"/>
  <c r="Y71" i="38"/>
  <c r="Y70" i="38"/>
  <c r="Y69" i="38"/>
  <c r="Y68" i="38"/>
  <c r="Y66" i="38"/>
  <c r="X65" i="38"/>
  <c r="X64" i="38"/>
  <c r="X61" i="38"/>
  <c r="X60" i="38"/>
  <c r="I59" i="38"/>
  <c r="AA56" i="38"/>
  <c r="AA53" i="38"/>
  <c r="Z49" i="38"/>
  <c r="G49" i="38"/>
  <c r="Z48" i="38"/>
  <c r="G48" i="38"/>
  <c r="Z47" i="38"/>
  <c r="G47" i="38"/>
  <c r="X40" i="38"/>
  <c r="K40" i="38"/>
  <c r="X39" i="38"/>
  <c r="AB40" i="38" s="1"/>
  <c r="X37" i="38"/>
  <c r="E37" i="38"/>
  <c r="D37" i="38"/>
  <c r="AC36" i="38"/>
  <c r="AB36" i="38"/>
  <c r="G36" i="38"/>
  <c r="L36" i="38" s="1"/>
  <c r="AB35" i="38"/>
  <c r="AC35" i="38" s="1"/>
  <c r="G35" i="38"/>
  <c r="L35" i="38" s="1"/>
  <c r="AC34" i="38"/>
  <c r="AB34" i="38"/>
  <c r="G34" i="38"/>
  <c r="L34" i="38" s="1"/>
  <c r="AB33" i="38"/>
  <c r="AC33" i="38" s="1"/>
  <c r="G33" i="38"/>
  <c r="L33" i="38" s="1"/>
  <c r="AC32" i="38"/>
  <c r="AB32" i="38"/>
  <c r="G32" i="38"/>
  <c r="L32" i="38" s="1"/>
  <c r="AB31" i="38"/>
  <c r="AC31" i="38" s="1"/>
  <c r="G31" i="38"/>
  <c r="L31" i="38" s="1"/>
  <c r="AC30" i="38"/>
  <c r="AB30" i="38"/>
  <c r="G30" i="38"/>
  <c r="L30" i="38" s="1"/>
  <c r="AB29" i="38"/>
  <c r="AC29" i="38" s="1"/>
  <c r="G29" i="38"/>
  <c r="L29" i="38" s="1"/>
  <c r="AC28" i="38"/>
  <c r="AB28" i="38"/>
  <c r="G28" i="38"/>
  <c r="E26" i="38"/>
  <c r="D26" i="38"/>
  <c r="G25" i="38"/>
  <c r="K25" i="38" s="1"/>
  <c r="L25" i="38" s="1"/>
  <c r="G24" i="38"/>
  <c r="I23" i="38"/>
  <c r="I24" i="38" s="1"/>
  <c r="K24" i="38" s="1"/>
  <c r="L24" i="38" s="1"/>
  <c r="G23" i="38"/>
  <c r="K23" i="38" s="1"/>
  <c r="L23" i="38" s="1"/>
  <c r="G22" i="38"/>
  <c r="K22" i="38" s="1"/>
  <c r="L22" i="38" s="1"/>
  <c r="G21" i="38"/>
  <c r="I20" i="38"/>
  <c r="I21" i="38" s="1"/>
  <c r="K21" i="38" s="1"/>
  <c r="L21" i="38" s="1"/>
  <c r="G20" i="38"/>
  <c r="G19" i="38"/>
  <c r="K19" i="38" s="1"/>
  <c r="L19" i="38" s="1"/>
  <c r="G18" i="38"/>
  <c r="I17" i="38"/>
  <c r="I18" i="38" s="1"/>
  <c r="K18" i="38" s="1"/>
  <c r="L18" i="38" s="1"/>
  <c r="G17" i="38"/>
  <c r="K17" i="38" s="1"/>
  <c r="L17" i="38" s="1"/>
  <c r="K16" i="38"/>
  <c r="L16" i="38" s="1"/>
  <c r="G16" i="38"/>
  <c r="I15" i="38"/>
  <c r="G15" i="38"/>
  <c r="K15" i="38" s="1"/>
  <c r="L15" i="38" s="1"/>
  <c r="G14" i="38"/>
  <c r="K14" i="38" s="1"/>
  <c r="I13" i="38"/>
  <c r="G13" i="38"/>
  <c r="K13" i="38" s="1"/>
  <c r="L13" i="38" s="1"/>
  <c r="G12" i="38"/>
  <c r="K12" i="38" s="1"/>
  <c r="L12" i="38" s="1"/>
  <c r="I11" i="38"/>
  <c r="G11" i="38"/>
  <c r="M11" i="38" s="1"/>
  <c r="G10" i="38"/>
  <c r="AB7" i="38"/>
  <c r="X47" i="38" s="1"/>
  <c r="X7" i="38"/>
  <c r="V4" i="38"/>
  <c r="B3" i="38"/>
  <c r="V2" i="38"/>
  <c r="AC37" i="38" l="1"/>
  <c r="K11" i="38"/>
  <c r="L11" i="38" s="1"/>
  <c r="M13" i="38"/>
  <c r="X49" i="38"/>
  <c r="Y58" i="38"/>
  <c r="Z74" i="38"/>
  <c r="AC74" i="38" s="1"/>
  <c r="G26" i="38"/>
  <c r="G56" i="38" s="1"/>
  <c r="K57" i="38" s="1"/>
  <c r="K20" i="38"/>
  <c r="L20" i="38" s="1"/>
  <c r="L14" i="38"/>
  <c r="C49" i="38"/>
  <c r="K49" i="38" s="1"/>
  <c r="K10" i="38"/>
  <c r="L76" i="38"/>
  <c r="Z75" i="38"/>
  <c r="AC75" i="38" s="1"/>
  <c r="M15" i="38"/>
  <c r="G37" i="38"/>
  <c r="L28" i="38"/>
  <c r="L37" i="38" s="1"/>
  <c r="C48" i="38"/>
  <c r="K48" i="38" s="1"/>
  <c r="X48" i="38"/>
  <c r="L40" i="38" l="1"/>
  <c r="K84" i="38"/>
  <c r="X21" i="38" s="1"/>
  <c r="AB21" i="38" s="1"/>
  <c r="AC21" i="38" s="1"/>
  <c r="K26" i="38"/>
  <c r="G53" i="38" s="1"/>
  <c r="K54" i="38" s="1"/>
  <c r="C47" i="38"/>
  <c r="L10" i="38"/>
  <c r="L26" i="38" s="1"/>
  <c r="L44" i="38" s="1"/>
  <c r="X24" i="38"/>
  <c r="AB24" i="38" s="1"/>
  <c r="AC24" i="38" s="1"/>
  <c r="X14" i="38"/>
  <c r="AB14" i="38" s="1"/>
  <c r="X10" i="38"/>
  <c r="X22" i="38"/>
  <c r="AB22" i="38" s="1"/>
  <c r="AC22" i="38" s="1"/>
  <c r="X19" i="38"/>
  <c r="AB19" i="38" s="1"/>
  <c r="AC19" i="38" s="1"/>
  <c r="X20" i="38"/>
  <c r="AB20" i="38" s="1"/>
  <c r="AC20" i="38" s="1"/>
  <c r="X16" i="38"/>
  <c r="AB16" i="38" s="1"/>
  <c r="AC16" i="38" s="1"/>
  <c r="X17" i="38"/>
  <c r="AB17" i="38" s="1"/>
  <c r="AC17" i="38" s="1"/>
  <c r="X13" i="38"/>
  <c r="AB13" i="38" s="1"/>
  <c r="AC13" i="38" s="1"/>
  <c r="X12" i="38"/>
  <c r="AB12" i="38" s="1"/>
  <c r="X23" i="38"/>
  <c r="AB23" i="38" s="1"/>
  <c r="AC23" i="38" s="1"/>
  <c r="K69" i="38"/>
  <c r="L69" i="38" s="1"/>
  <c r="K72" i="38"/>
  <c r="L72" i="38" s="1"/>
  <c r="X25" i="38" l="1"/>
  <c r="AB25" i="38" s="1"/>
  <c r="AC25" i="38" s="1"/>
  <c r="X11" i="38"/>
  <c r="AB11" i="38" s="1"/>
  <c r="AC11" i="38" s="1"/>
  <c r="X15" i="38"/>
  <c r="AB15" i="38" s="1"/>
  <c r="AC15" i="38" s="1"/>
  <c r="X18" i="38"/>
  <c r="AB18" i="38" s="1"/>
  <c r="AC18" i="38" s="1"/>
  <c r="AC14" i="38"/>
  <c r="AC12" i="38"/>
  <c r="W48" i="38"/>
  <c r="AB48" i="38" s="1"/>
  <c r="AB10" i="38"/>
  <c r="C50" i="38"/>
  <c r="K47" i="38"/>
  <c r="L50" i="38" s="1"/>
  <c r="K77" i="38"/>
  <c r="L77" i="38" s="1"/>
  <c r="K67" i="38"/>
  <c r="L67" i="38" s="1"/>
  <c r="K78" i="38"/>
  <c r="L78" i="38" s="1"/>
  <c r="K71" i="38"/>
  <c r="L71" i="38" s="1"/>
  <c r="K59" i="38"/>
  <c r="L59" i="38" s="1"/>
  <c r="K70" i="38"/>
  <c r="L70" i="38" s="1"/>
  <c r="X26" i="38" l="1"/>
  <c r="W49" i="38"/>
  <c r="AB49" i="38" s="1"/>
  <c r="L82" i="38"/>
  <c r="K86" i="38" s="1"/>
  <c r="AB26" i="38"/>
  <c r="X53" i="38" s="1"/>
  <c r="AB54" i="38" s="1"/>
  <c r="W47" i="38"/>
  <c r="AC10" i="38"/>
  <c r="AC26" i="38" s="1"/>
  <c r="X56" i="38"/>
  <c r="AB57" i="38" s="1"/>
  <c r="AC40" i="38"/>
  <c r="AB77" i="38" l="1"/>
  <c r="AC77" i="38" s="1"/>
  <c r="AB70" i="38"/>
  <c r="AC70" i="38" s="1"/>
  <c r="AB69" i="38"/>
  <c r="AC69" i="38" s="1"/>
  <c r="AB58" i="38"/>
  <c r="AC58" i="38" s="1"/>
  <c r="AB76" i="38"/>
  <c r="AC76" i="38" s="1"/>
  <c r="AB66" i="38"/>
  <c r="AC66" i="38" s="1"/>
  <c r="AB68" i="38"/>
  <c r="AC68" i="38" s="1"/>
  <c r="AB71" i="38"/>
  <c r="AC71" i="38" s="1"/>
  <c r="L86" i="38"/>
  <c r="L87" i="38" s="1"/>
  <c r="L90" i="38" s="1"/>
  <c r="L92" i="38" s="1"/>
  <c r="W50" i="38"/>
  <c r="AB47" i="38"/>
  <c r="AC50" i="38" s="1"/>
  <c r="AC44" i="38"/>
  <c r="AC81" i="38" l="1"/>
  <c r="L84" i="38" s="1"/>
  <c r="L94" i="38"/>
  <c r="B136" i="37" l="1"/>
  <c r="B135" i="37"/>
  <c r="M86" i="37"/>
  <c r="V79" i="37"/>
  <c r="V78" i="37"/>
  <c r="Y77" i="37"/>
  <c r="V77" i="37"/>
  <c r="Y76" i="37"/>
  <c r="G76" i="37"/>
  <c r="I76" i="37" s="1"/>
  <c r="AB75" i="37"/>
  <c r="G75" i="37"/>
  <c r="I75" i="37" s="1"/>
  <c r="L75" i="37" s="1"/>
  <c r="AB74" i="37"/>
  <c r="Y71" i="37"/>
  <c r="Y70" i="37"/>
  <c r="Y69" i="37"/>
  <c r="Y68" i="37"/>
  <c r="Y66" i="37"/>
  <c r="X65" i="37"/>
  <c r="X64" i="37"/>
  <c r="X61" i="37"/>
  <c r="Y58" i="37" s="1"/>
  <c r="X60" i="37"/>
  <c r="I59" i="37"/>
  <c r="AA56" i="37"/>
  <c r="AA53" i="37"/>
  <c r="Z49" i="37"/>
  <c r="G49" i="37"/>
  <c r="Z48" i="37"/>
  <c r="G48" i="37"/>
  <c r="Z47" i="37"/>
  <c r="G47" i="37"/>
  <c r="X40" i="37"/>
  <c r="K40" i="37"/>
  <c r="X39" i="37"/>
  <c r="AB40" i="37" s="1"/>
  <c r="X37" i="37"/>
  <c r="E37" i="37"/>
  <c r="D37" i="37"/>
  <c r="AB36" i="37"/>
  <c r="AC36" i="37" s="1"/>
  <c r="G36" i="37"/>
  <c r="L36" i="37" s="1"/>
  <c r="AC35" i="37"/>
  <c r="AB35" i="37"/>
  <c r="G35" i="37"/>
  <c r="L35" i="37" s="1"/>
  <c r="AB34" i="37"/>
  <c r="AC34" i="37" s="1"/>
  <c r="G34" i="37"/>
  <c r="L34" i="37" s="1"/>
  <c r="AC33" i="37"/>
  <c r="AB33" i="37"/>
  <c r="G33" i="37"/>
  <c r="L33" i="37" s="1"/>
  <c r="AB32" i="37"/>
  <c r="AC32" i="37" s="1"/>
  <c r="G32" i="37"/>
  <c r="L32" i="37" s="1"/>
  <c r="AC31" i="37"/>
  <c r="AB31" i="37"/>
  <c r="G31" i="37"/>
  <c r="L31" i="37" s="1"/>
  <c r="AB30" i="37"/>
  <c r="AC30" i="37" s="1"/>
  <c r="G30" i="37"/>
  <c r="L30" i="37" s="1"/>
  <c r="AC29" i="37"/>
  <c r="AB29" i="37"/>
  <c r="G29" i="37"/>
  <c r="L29" i="37" s="1"/>
  <c r="AB28" i="37"/>
  <c r="AC28" i="37" s="1"/>
  <c r="AC37" i="37" s="1"/>
  <c r="G28" i="37"/>
  <c r="E26" i="37"/>
  <c r="D26" i="37"/>
  <c r="G25" i="37"/>
  <c r="K25" i="37" s="1"/>
  <c r="L25" i="37" s="1"/>
  <c r="G24" i="37"/>
  <c r="I23" i="37"/>
  <c r="I24" i="37" s="1"/>
  <c r="K24" i="37" s="1"/>
  <c r="L24" i="37" s="1"/>
  <c r="G23" i="37"/>
  <c r="K23" i="37" s="1"/>
  <c r="L23" i="37" s="1"/>
  <c r="G22" i="37"/>
  <c r="K22" i="37" s="1"/>
  <c r="L22" i="37" s="1"/>
  <c r="G21" i="37"/>
  <c r="I20" i="37"/>
  <c r="I21" i="37" s="1"/>
  <c r="K21" i="37" s="1"/>
  <c r="L21" i="37" s="1"/>
  <c r="G20" i="37"/>
  <c r="G19" i="37"/>
  <c r="K19" i="37" s="1"/>
  <c r="L19" i="37" s="1"/>
  <c r="G18" i="37"/>
  <c r="I17" i="37"/>
  <c r="I18" i="37" s="1"/>
  <c r="K18" i="37" s="1"/>
  <c r="L18" i="37" s="1"/>
  <c r="G17" i="37"/>
  <c r="K17" i="37" s="1"/>
  <c r="L17" i="37" s="1"/>
  <c r="K16" i="37"/>
  <c r="L16" i="37" s="1"/>
  <c r="G16" i="37"/>
  <c r="I15" i="37"/>
  <c r="G15" i="37"/>
  <c r="K15" i="37" s="1"/>
  <c r="L15" i="37" s="1"/>
  <c r="G14" i="37"/>
  <c r="K14" i="37" s="1"/>
  <c r="L14" i="37" s="1"/>
  <c r="I13" i="37"/>
  <c r="G13" i="37"/>
  <c r="G12" i="37"/>
  <c r="K12" i="37" s="1"/>
  <c r="L12" i="37" s="1"/>
  <c r="I11" i="37"/>
  <c r="G11" i="37"/>
  <c r="K11" i="37" s="1"/>
  <c r="L11" i="37" s="1"/>
  <c r="G10" i="37"/>
  <c r="AB7" i="37"/>
  <c r="X47" i="37" s="1"/>
  <c r="X7" i="37"/>
  <c r="V4" i="37"/>
  <c r="B3" i="37"/>
  <c r="V2" i="37"/>
  <c r="K13" i="37" l="1"/>
  <c r="L13" i="37" s="1"/>
  <c r="K20" i="37"/>
  <c r="L20" i="37" s="1"/>
  <c r="X49" i="37"/>
  <c r="L76" i="37"/>
  <c r="Z75" i="37"/>
  <c r="AC75" i="37" s="1"/>
  <c r="M15" i="37"/>
  <c r="C49" i="37"/>
  <c r="K49" i="37" s="1"/>
  <c r="G26" i="37"/>
  <c r="M11" i="37"/>
  <c r="M13" i="37"/>
  <c r="G37" i="37"/>
  <c r="L28" i="37"/>
  <c r="L37" i="37" s="1"/>
  <c r="Z74" i="37"/>
  <c r="K10" i="37"/>
  <c r="AC74" i="37"/>
  <c r="X48" i="37"/>
  <c r="C48" i="37" l="1"/>
  <c r="K48" i="37" s="1"/>
  <c r="K26" i="37"/>
  <c r="G53" i="37" s="1"/>
  <c r="K54" i="37" s="1"/>
  <c r="C47" i="37"/>
  <c r="L10" i="37"/>
  <c r="L26" i="37" s="1"/>
  <c r="K84" i="37"/>
  <c r="L40" i="37"/>
  <c r="G56" i="37"/>
  <c r="K57" i="37" s="1"/>
  <c r="L44" i="37" l="1"/>
  <c r="K69" i="37"/>
  <c r="L69" i="37" s="1"/>
  <c r="K72" i="37"/>
  <c r="L72" i="37" s="1"/>
  <c r="C50" i="37"/>
  <c r="K47" i="37"/>
  <c r="L50" i="37" s="1"/>
  <c r="K77" i="37"/>
  <c r="L77" i="37" s="1"/>
  <c r="K67" i="37"/>
  <c r="L67" i="37" s="1"/>
  <c r="K78" i="37"/>
  <c r="L78" i="37" s="1"/>
  <c r="K71" i="37"/>
  <c r="L71" i="37" s="1"/>
  <c r="K59" i="37"/>
  <c r="L59" i="37" s="1"/>
  <c r="K70" i="37"/>
  <c r="L70" i="37" s="1"/>
  <c r="X24" i="37"/>
  <c r="AB24" i="37" s="1"/>
  <c r="AC24" i="37" s="1"/>
  <c r="X21" i="37"/>
  <c r="AB21" i="37" s="1"/>
  <c r="AC21" i="37" s="1"/>
  <c r="X18" i="37"/>
  <c r="AB18" i="37" s="1"/>
  <c r="AC18" i="37" s="1"/>
  <c r="X15" i="37"/>
  <c r="AB15" i="37" s="1"/>
  <c r="AC15" i="37" s="1"/>
  <c r="X14" i="37"/>
  <c r="AB14" i="37" s="1"/>
  <c r="X11" i="37"/>
  <c r="AB11" i="37" s="1"/>
  <c r="AC11" i="37" s="1"/>
  <c r="X10" i="37"/>
  <c r="X22" i="37"/>
  <c r="AB22" i="37" s="1"/>
  <c r="AC22" i="37" s="1"/>
  <c r="X19" i="37"/>
  <c r="AB19" i="37" s="1"/>
  <c r="AC19" i="37" s="1"/>
  <c r="X13" i="37"/>
  <c r="AB13" i="37" s="1"/>
  <c r="AC13" i="37" s="1"/>
  <c r="X25" i="37"/>
  <c r="AB25" i="37" s="1"/>
  <c r="AC25" i="37" s="1"/>
  <c r="X16" i="37"/>
  <c r="AB16" i="37" s="1"/>
  <c r="AC16" i="37" s="1"/>
  <c r="X20" i="37"/>
  <c r="AB20" i="37" s="1"/>
  <c r="AC20" i="37" s="1"/>
  <c r="X12" i="37"/>
  <c r="AB12" i="37" s="1"/>
  <c r="X17" i="37"/>
  <c r="AB17" i="37" s="1"/>
  <c r="AC17" i="37" s="1"/>
  <c r="X23" i="37"/>
  <c r="AB23" i="37" s="1"/>
  <c r="AC23" i="37" s="1"/>
  <c r="L82" i="37" l="1"/>
  <c r="K86" i="37" s="1"/>
  <c r="AC12" i="37"/>
  <c r="W48" i="37"/>
  <c r="AB48" i="37" s="1"/>
  <c r="X26" i="37"/>
  <c r="AB10" i="37"/>
  <c r="W49" i="37"/>
  <c r="AB49" i="37" s="1"/>
  <c r="AC14" i="37"/>
  <c r="AB26" i="37" l="1"/>
  <c r="X53" i="37" s="1"/>
  <c r="AB54" i="37" s="1"/>
  <c r="W47" i="37"/>
  <c r="AC10" i="37"/>
  <c r="AC26" i="37" s="1"/>
  <c r="L86" i="37"/>
  <c r="L87" i="37" s="1"/>
  <c r="L90" i="37" s="1"/>
  <c r="L92" i="37" s="1"/>
  <c r="X56" i="37"/>
  <c r="AB57" i="37" s="1"/>
  <c r="AC40" i="37"/>
  <c r="AC44" i="37" l="1"/>
  <c r="AB68" i="37"/>
  <c r="AC68" i="37" s="1"/>
  <c r="AB71" i="37"/>
  <c r="AC71" i="37" s="1"/>
  <c r="W50" i="37"/>
  <c r="AB47" i="37"/>
  <c r="AC50" i="37" s="1"/>
  <c r="AB77" i="37"/>
  <c r="AC77" i="37" s="1"/>
  <c r="AB70" i="37"/>
  <c r="AC70" i="37" s="1"/>
  <c r="AB69" i="37"/>
  <c r="AC69" i="37" s="1"/>
  <c r="AB58" i="37"/>
  <c r="AC58" i="37" s="1"/>
  <c r="AB76" i="37"/>
  <c r="AC76" i="37" s="1"/>
  <c r="AB66" i="37"/>
  <c r="AC66" i="37" s="1"/>
  <c r="L94" i="37"/>
  <c r="AC81" i="37" l="1"/>
  <c r="L84" i="37" s="1"/>
  <c r="B136" i="36" l="1"/>
  <c r="B135" i="36"/>
  <c r="M86" i="36"/>
  <c r="V79" i="36"/>
  <c r="V78" i="36"/>
  <c r="Y77" i="36"/>
  <c r="V77" i="36"/>
  <c r="Y76" i="36"/>
  <c r="G76" i="36"/>
  <c r="I76" i="36" s="1"/>
  <c r="AB75" i="36"/>
  <c r="I75" i="36"/>
  <c r="L75" i="36" s="1"/>
  <c r="G75" i="36"/>
  <c r="AB74" i="36"/>
  <c r="Y71" i="36"/>
  <c r="Y70" i="36"/>
  <c r="Y69" i="36"/>
  <c r="Y68" i="36"/>
  <c r="Y66" i="36"/>
  <c r="X65" i="36"/>
  <c r="X64" i="36"/>
  <c r="X61" i="36"/>
  <c r="Y58" i="36" s="1"/>
  <c r="X60" i="36"/>
  <c r="I59" i="36"/>
  <c r="AA56" i="36"/>
  <c r="AA53" i="36"/>
  <c r="Z49" i="36"/>
  <c r="G49" i="36"/>
  <c r="Z48" i="36"/>
  <c r="G48" i="36"/>
  <c r="Z47" i="36"/>
  <c r="G47" i="36"/>
  <c r="X40" i="36"/>
  <c r="K40" i="36"/>
  <c r="X39" i="36"/>
  <c r="AB40" i="36" s="1"/>
  <c r="X37" i="36"/>
  <c r="E37" i="36"/>
  <c r="D37" i="36"/>
  <c r="AB36" i="36"/>
  <c r="AC36" i="36" s="1"/>
  <c r="G36" i="36"/>
  <c r="L36" i="36" s="1"/>
  <c r="AC35" i="36"/>
  <c r="AB35" i="36"/>
  <c r="G35" i="36"/>
  <c r="L35" i="36" s="1"/>
  <c r="AB34" i="36"/>
  <c r="AC34" i="36" s="1"/>
  <c r="G34" i="36"/>
  <c r="L34" i="36" s="1"/>
  <c r="AC33" i="36"/>
  <c r="AB33" i="36"/>
  <c r="G33" i="36"/>
  <c r="L33" i="36" s="1"/>
  <c r="AB32" i="36"/>
  <c r="AC32" i="36" s="1"/>
  <c r="G32" i="36"/>
  <c r="L32" i="36" s="1"/>
  <c r="AC31" i="36"/>
  <c r="AB31" i="36"/>
  <c r="G31" i="36"/>
  <c r="L31" i="36" s="1"/>
  <c r="AB30" i="36"/>
  <c r="AC30" i="36" s="1"/>
  <c r="G30" i="36"/>
  <c r="L30" i="36" s="1"/>
  <c r="AC29" i="36"/>
  <c r="AB29" i="36"/>
  <c r="G29" i="36"/>
  <c r="L29" i="36" s="1"/>
  <c r="AB28" i="36"/>
  <c r="AC28" i="36" s="1"/>
  <c r="AC37" i="36" s="1"/>
  <c r="G28" i="36"/>
  <c r="E26" i="36"/>
  <c r="D26" i="36"/>
  <c r="G25" i="36"/>
  <c r="K25" i="36" s="1"/>
  <c r="L25" i="36" s="1"/>
  <c r="G24" i="36"/>
  <c r="I23" i="36"/>
  <c r="I24" i="36" s="1"/>
  <c r="G23" i="36"/>
  <c r="K23" i="36" s="1"/>
  <c r="L23" i="36" s="1"/>
  <c r="G22" i="36"/>
  <c r="K22" i="36" s="1"/>
  <c r="L22" i="36" s="1"/>
  <c r="G21" i="36"/>
  <c r="I20" i="36"/>
  <c r="I21" i="36" s="1"/>
  <c r="G20" i="36"/>
  <c r="G19" i="36"/>
  <c r="K19" i="36" s="1"/>
  <c r="L19" i="36" s="1"/>
  <c r="G18" i="36"/>
  <c r="I17" i="36"/>
  <c r="I18" i="36" s="1"/>
  <c r="G17" i="36"/>
  <c r="K17" i="36" s="1"/>
  <c r="L17" i="36" s="1"/>
  <c r="K16" i="36"/>
  <c r="L16" i="36" s="1"/>
  <c r="G16" i="36"/>
  <c r="I15" i="36"/>
  <c r="G15" i="36"/>
  <c r="M15" i="36" s="1"/>
  <c r="G14" i="36"/>
  <c r="K14" i="36" s="1"/>
  <c r="I13" i="36"/>
  <c r="G13" i="36"/>
  <c r="K13" i="36" s="1"/>
  <c r="L13" i="36" s="1"/>
  <c r="G12" i="36"/>
  <c r="K12" i="36" s="1"/>
  <c r="L12" i="36" s="1"/>
  <c r="I11" i="36"/>
  <c r="G11" i="36"/>
  <c r="M11" i="36" s="1"/>
  <c r="G10" i="36"/>
  <c r="AB7" i="36"/>
  <c r="X47" i="36" s="1"/>
  <c r="X7" i="36"/>
  <c r="V4" i="36"/>
  <c r="B3" i="36"/>
  <c r="V2" i="36"/>
  <c r="K20" i="36" l="1"/>
  <c r="L20" i="36" s="1"/>
  <c r="K21" i="36"/>
  <c r="L21" i="36" s="1"/>
  <c r="G37" i="36"/>
  <c r="K11" i="36"/>
  <c r="L11" i="36" s="1"/>
  <c r="G26" i="36"/>
  <c r="K84" i="36" s="1"/>
  <c r="K15" i="36"/>
  <c r="L15" i="36" s="1"/>
  <c r="K18" i="36"/>
  <c r="L18" i="36" s="1"/>
  <c r="K24" i="36"/>
  <c r="L24" i="36" s="1"/>
  <c r="C48" i="36"/>
  <c r="K48" i="36" s="1"/>
  <c r="L14" i="36"/>
  <c r="C49" i="36"/>
  <c r="K49" i="36" s="1"/>
  <c r="L76" i="36"/>
  <c r="Z75" i="36"/>
  <c r="AC75" i="36" s="1"/>
  <c r="Z74" i="36"/>
  <c r="AC74" i="36" s="1"/>
  <c r="K10" i="36"/>
  <c r="L28" i="36"/>
  <c r="L37" i="36" s="1"/>
  <c r="X48" i="36"/>
  <c r="M13" i="36"/>
  <c r="X49" i="36"/>
  <c r="L40" i="36" l="1"/>
  <c r="G56" i="36"/>
  <c r="K57" i="36" s="1"/>
  <c r="K69" i="36" s="1"/>
  <c r="L69" i="36" s="1"/>
  <c r="X24" i="36"/>
  <c r="AB24" i="36" s="1"/>
  <c r="AC24" i="36" s="1"/>
  <c r="X21" i="36"/>
  <c r="AB21" i="36" s="1"/>
  <c r="AC21" i="36" s="1"/>
  <c r="X18" i="36"/>
  <c r="AB18" i="36" s="1"/>
  <c r="AC18" i="36" s="1"/>
  <c r="X15" i="36"/>
  <c r="AB15" i="36" s="1"/>
  <c r="AC15" i="36" s="1"/>
  <c r="X14" i="36"/>
  <c r="AB14" i="36" s="1"/>
  <c r="X11" i="36"/>
  <c r="AB11" i="36" s="1"/>
  <c r="AC11" i="36" s="1"/>
  <c r="X10" i="36"/>
  <c r="X25" i="36"/>
  <c r="AB25" i="36" s="1"/>
  <c r="AC25" i="36" s="1"/>
  <c r="X22" i="36"/>
  <c r="AB22" i="36" s="1"/>
  <c r="AC22" i="36" s="1"/>
  <c r="X19" i="36"/>
  <c r="AB19" i="36" s="1"/>
  <c r="AC19" i="36" s="1"/>
  <c r="X16" i="36"/>
  <c r="AB16" i="36" s="1"/>
  <c r="AC16" i="36" s="1"/>
  <c r="X13" i="36"/>
  <c r="AB13" i="36" s="1"/>
  <c r="AC13" i="36" s="1"/>
  <c r="X12" i="36"/>
  <c r="AB12" i="36" s="1"/>
  <c r="X23" i="36"/>
  <c r="AB23" i="36" s="1"/>
  <c r="AC23" i="36" s="1"/>
  <c r="X20" i="36"/>
  <c r="AB20" i="36" s="1"/>
  <c r="AC20" i="36" s="1"/>
  <c r="X17" i="36"/>
  <c r="AB17" i="36" s="1"/>
  <c r="AC17" i="36" s="1"/>
  <c r="K26" i="36"/>
  <c r="G53" i="36" s="1"/>
  <c r="K54" i="36" s="1"/>
  <c r="C47" i="36"/>
  <c r="L10" i="36"/>
  <c r="L26" i="36" s="1"/>
  <c r="L44" i="36" s="1"/>
  <c r="K72" i="36" l="1"/>
  <c r="L72" i="36" s="1"/>
  <c r="W49" i="36"/>
  <c r="AB49" i="36" s="1"/>
  <c r="AC14" i="36"/>
  <c r="AB10" i="36"/>
  <c r="X26" i="36"/>
  <c r="C50" i="36"/>
  <c r="K47" i="36"/>
  <c r="L50" i="36" s="1"/>
  <c r="K77" i="36"/>
  <c r="L77" i="36" s="1"/>
  <c r="K67" i="36"/>
  <c r="L67" i="36" s="1"/>
  <c r="K78" i="36"/>
  <c r="L78" i="36" s="1"/>
  <c r="K71" i="36"/>
  <c r="L71" i="36" s="1"/>
  <c r="K59" i="36"/>
  <c r="L59" i="36" s="1"/>
  <c r="K70" i="36"/>
  <c r="L70" i="36" s="1"/>
  <c r="AC12" i="36"/>
  <c r="W48" i="36"/>
  <c r="AB48" i="36" s="1"/>
  <c r="L82" i="36" l="1"/>
  <c r="K86" i="36" s="1"/>
  <c r="AB26" i="36"/>
  <c r="X53" i="36" s="1"/>
  <c r="AB54" i="36" s="1"/>
  <c r="W47" i="36"/>
  <c r="AC10" i="36"/>
  <c r="AC26" i="36" s="1"/>
  <c r="X56" i="36"/>
  <c r="AB57" i="36" s="1"/>
  <c r="AC40" i="36"/>
  <c r="AB47" i="36" l="1"/>
  <c r="AC50" i="36" s="1"/>
  <c r="W50" i="36"/>
  <c r="AB68" i="36"/>
  <c r="AC68" i="36" s="1"/>
  <c r="AB71" i="36"/>
  <c r="AC71" i="36" s="1"/>
  <c r="L86" i="36"/>
  <c r="L87" i="36" s="1"/>
  <c r="L90" i="36" s="1"/>
  <c r="L92" i="36" s="1"/>
  <c r="AB77" i="36"/>
  <c r="AC77" i="36" s="1"/>
  <c r="AB70" i="36"/>
  <c r="AC70" i="36" s="1"/>
  <c r="AB69" i="36"/>
  <c r="AC69" i="36" s="1"/>
  <c r="AB58" i="36"/>
  <c r="AC58" i="36" s="1"/>
  <c r="AB76" i="36"/>
  <c r="AC76" i="36" s="1"/>
  <c r="AB66" i="36"/>
  <c r="AC66" i="36" s="1"/>
  <c r="AC44" i="36"/>
  <c r="L94" i="36" l="1"/>
  <c r="AC81" i="36"/>
  <c r="L84" i="36"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sharedStrings.xml><?xml version="1.0" encoding="utf-8"?>
<sst xmlns="http://schemas.openxmlformats.org/spreadsheetml/2006/main" count="17126" uniqueCount="410">
  <si>
    <t>%,LACTUALS,FFUND_CODE,V1000</t>
  </si>
  <si>
    <t>%,SJULDEC-CY</t>
  </si>
  <si>
    <t>%,SPER8</t>
  </si>
  <si>
    <t>%,SYTD</t>
  </si>
  <si>
    <t>(Insert district number in cell A1, enter, then strike F9. Your district data then pulls from Calculation Detail Sheets)</t>
  </si>
  <si>
    <t>For Schools with &gt;75% ESE students</t>
  </si>
  <si>
    <t>Based on the Third Calculation of the FEFP 2013-14</t>
  </si>
  <si>
    <t xml:space="preserve">School District: </t>
  </si>
  <si>
    <t>Palm Beach</t>
  </si>
  <si>
    <t>1.  2013-14 FEFP State and Local Funding</t>
  </si>
  <si>
    <t>Base Student Allocation</t>
  </si>
  <si>
    <t xml:space="preserve">District Cost Differential: </t>
  </si>
  <si>
    <t>Program</t>
  </si>
  <si>
    <t>October FTE</t>
  </si>
  <si>
    <t>February FTE</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</si>
  <si>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</si>
  <si>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</si>
  <si>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</si>
  <si>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</si>
  <si>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</si>
  <si>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</si>
  <si>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</si>
  <si>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</si>
  <si>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</si>
  <si>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</si>
  <si>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</si>
  <si>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</si>
  <si>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</si>
  <si>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</si>
  <si>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</si>
  <si>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</si>
  <si>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</si>
  <si>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</si>
  <si>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</si>
  <si>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</si>
  <si>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</si>
  <si>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</si>
  <si>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</si>
  <si>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</si>
  <si>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</si>
  <si>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</si>
  <si>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</si>
  <si>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</si>
  <si>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</si>
  <si>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</si>
  <si>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</si>
  <si>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</si>
  <si>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</si>
  <si>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</si>
  <si>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</si>
  <si>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</si>
  <si>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</si>
  <si>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</si>
  <si>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</si>
  <si>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</si>
  <si>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</si>
  <si>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</si>
  <si>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</si>
  <si>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</si>
  <si>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</si>
  <si>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</si>
  <si>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</si>
  <si>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</si>
  <si>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</si>
  <si>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</si>
  <si>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</si>
  <si>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</si>
  <si>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</si>
  <si>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</si>
  <si>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</si>
  <si>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</si>
  <si>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</si>
  <si>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</si>
  <si>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</si>
  <si>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</si>
  <si>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</si>
  <si>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</si>
  <si>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</si>
  <si>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</si>
  <si>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</si>
  <si>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</si>
  <si>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</si>
  <si>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</si>
  <si>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</si>
  <si>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</si>
  <si>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</si>
  <si>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</si>
  <si>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</si>
  <si>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</si>
  <si>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</si>
  <si>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</si>
  <si>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</si>
  <si>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</si>
  <si>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</si>
  <si>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</si>
  <si>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</si>
  <si>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</si>
  <si>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</si>
  <si>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</si>
  <si>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</si>
  <si>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</si>
  <si>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</si>
  <si>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</si>
  <si>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</si>
  <si>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</si>
  <si>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</si>
  <si>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</si>
  <si>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</si>
  <si>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</si>
  <si>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</si>
  <si>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</si>
  <si>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</si>
  <si>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</si>
  <si>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</si>
  <si>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</si>
  <si>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</si>
  <si>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</si>
  <si>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</si>
  <si>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</si>
  <si>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</si>
  <si>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</si>
  <si>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</si>
  <si>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</si>
  <si>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</si>
  <si>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</si>
  <si>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</si>
  <si>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</si>
  <si>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Enter</t>
  </si>
  <si>
    <t>All Riders</t>
  </si>
  <si>
    <t xml:space="preserve"> x</t>
  </si>
  <si>
    <t>%,FACCOUNT,VCSFTE,FCLASS_FLD,V7802,FPRODUCT,V100,V,V000,FCURRENCY_CD,V</t>
  </si>
  <si>
    <t>ESE Student Riders</t>
  </si>
  <si>
    <t>%,FACCOUNT,VCSFTE,FCLASS_FLD,V7802,FPRODUCT,V110,FCURRENCY_CD,V</t>
  </si>
  <si>
    <t>14.  Teacher Salary Allocation (WFTE share)</t>
  </si>
  <si>
    <t>(j)</t>
  </si>
  <si>
    <t>15.  Additional Allocation (WFTE share)</t>
  </si>
  <si>
    <t>(k)</t>
  </si>
  <si>
    <t>16.  Florida Teachers Lead Program Stipend</t>
  </si>
  <si>
    <t>17.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</si>
  <si>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</si>
  <si>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</si>
  <si>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</si>
  <si>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</si>
  <si>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</si>
  <si>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</si>
  <si>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</si>
  <si>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</si>
  <si>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</si>
  <si>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</si>
  <si>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</si>
  <si>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</si>
  <si>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</si>
  <si>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</si>
  <si>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</si>
  <si>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</si>
  <si>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</si>
  <si>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</si>
  <si>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</si>
  <si>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</si>
  <si>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</si>
  <si>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</si>
  <si>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</si>
  <si>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</si>
  <si>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</si>
  <si>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</si>
  <si>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FEFP4</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</si>
  <si>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</si>
  <si>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</si>
  <si>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</si>
  <si>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</si>
  <si>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</si>
  <si>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</si>
  <si>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</si>
  <si>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</si>
  <si>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</si>
  <si>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</si>
  <si>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</si>
  <si>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</si>
  <si>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CHARTER2014-01-01.xlsm</t>
  </si>
  <si>
    <t>Instance output file name</t>
  </si>
  <si>
    <t>2014-01-01</t>
  </si>
  <si>
    <t>As of Reporting date</t>
  </si>
  <si>
    <t>As of tree date</t>
  </si>
  <si>
    <t>7</t>
  </si>
  <si>
    <t>Accounting Period</t>
  </si>
  <si>
    <t>Period 7 - 2014-01-01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</si>
  <si>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</si>
  <si>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</si>
  <si>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</si>
  <si>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</si>
  <si>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</si>
  <si>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</si>
  <si>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</si>
  <si>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</si>
  <si>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</si>
  <si>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</si>
  <si>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</si>
  <si>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</si>
  <si>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</si>
  <si>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</si>
  <si>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</si>
  <si>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</si>
  <si>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</si>
  <si>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</si>
  <si>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</si>
  <si>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</si>
  <si>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</si>
  <si>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</si>
  <si>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</si>
  <si>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</si>
  <si>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</si>
  <si>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</si>
  <si>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</si>
  <si>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</si>
  <si>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</si>
  <si>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</si>
  <si>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</si>
  <si>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</si>
  <si>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</si>
  <si>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</si>
  <si>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</si>
  <si>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</si>
  <si>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</si>
  <si>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</si>
  <si>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</si>
  <si>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</si>
  <si>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</si>
  <si>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</si>
  <si>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2531</t>
  </si>
  <si>
    <t>Potentials Charter School</t>
  </si>
  <si>
    <t>8</t>
  </si>
  <si>
    <t>2641</t>
  </si>
  <si>
    <t>Lakeside Academy Charter</t>
  </si>
  <si>
    <t>9</t>
  </si>
  <si>
    <t>2661</t>
  </si>
  <si>
    <t>JosephLittlesNguzoSaba CSch</t>
  </si>
  <si>
    <t>10</t>
  </si>
  <si>
    <t>2791</t>
  </si>
  <si>
    <t>Renaissance Learning Center</t>
  </si>
  <si>
    <t>11</t>
  </si>
  <si>
    <t>2801</t>
  </si>
  <si>
    <t>PB Maritime Academy Charter</t>
  </si>
  <si>
    <t>12</t>
  </si>
  <si>
    <t>2911</t>
  </si>
  <si>
    <t>Western Academy Charter School</t>
  </si>
  <si>
    <t>13</t>
  </si>
  <si>
    <t>2941</t>
  </si>
  <si>
    <t>Palm Beach School for Autism</t>
  </si>
  <si>
    <t>3083</t>
  </si>
  <si>
    <t>Renaissance Learning Academy</t>
  </si>
  <si>
    <t>15</t>
  </si>
  <si>
    <t>3344</t>
  </si>
  <si>
    <t>Tomorrow'sPromiseCommunitySch</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</si>
  <si>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</si>
  <si>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</si>
  <si>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</si>
  <si>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</si>
  <si>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</si>
  <si>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</si>
  <si>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</si>
  <si>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</si>
  <si>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</si>
  <si>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</si>
  <si>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</si>
  <si>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</si>
  <si>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</si>
  <si>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</si>
  <si>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</si>
  <si>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</si>
  <si>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</si>
  <si>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</si>
  <si>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</si>
  <si>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</si>
  <si>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</si>
  <si>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</si>
  <si>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</si>
  <si>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</si>
  <si>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24</t>
  </si>
  <si>
    <t>3392</t>
  </si>
  <si>
    <t>Charter Sch of Boynton Beach</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</si>
  <si>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</si>
  <si>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</si>
  <si>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</si>
  <si>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</si>
  <si>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</si>
  <si>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</si>
  <si>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</si>
  <si>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</si>
  <si>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</si>
  <si>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</si>
  <si>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</si>
  <si>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</si>
  <si>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</si>
  <si>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</si>
  <si>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</si>
  <si>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</si>
  <si>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</si>
  <si>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</si>
  <si>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31</t>
  </si>
  <si>
    <t>3411</t>
  </si>
  <si>
    <t>My Choice Academy</t>
  </si>
  <si>
    <t>32</t>
  </si>
  <si>
    <t>3413</t>
  </si>
  <si>
    <t>Somerset Academy Boca East</t>
  </si>
  <si>
    <t>33</t>
  </si>
  <si>
    <t>3421</t>
  </si>
  <si>
    <t>Worthington High School</t>
  </si>
  <si>
    <t>34</t>
  </si>
  <si>
    <t>3431</t>
  </si>
  <si>
    <t>Renaissance CS @ WPBch</t>
  </si>
  <si>
    <t>35</t>
  </si>
  <si>
    <t>3443</t>
  </si>
  <si>
    <t>Riviera Beach Maritime Academy</t>
  </si>
  <si>
    <t>36</t>
  </si>
  <si>
    <t>3941</t>
  </si>
  <si>
    <t>Ben Gamla - Palm Beach</t>
  </si>
  <si>
    <t>38</t>
  </si>
  <si>
    <t>3961</t>
  </si>
  <si>
    <t>Gardens Sch of Tech Arts, Inc</t>
  </si>
  <si>
    <t>39</t>
  </si>
  <si>
    <t>3971</t>
  </si>
  <si>
    <t>Mavericks HS of Palm Springs</t>
  </si>
  <si>
    <t>40</t>
  </si>
  <si>
    <t>4000</t>
  </si>
  <si>
    <t>Renaissance Cht SchPalmsWest</t>
  </si>
  <si>
    <t>41</t>
  </si>
  <si>
    <t>4002</t>
  </si>
  <si>
    <t>Renaissance Cht Sch at Summit</t>
  </si>
  <si>
    <t>42</t>
  </si>
  <si>
    <t>4010</t>
  </si>
  <si>
    <t>Belle Glade Excel Cht School</t>
  </si>
  <si>
    <t>43</t>
  </si>
  <si>
    <t>4012</t>
  </si>
  <si>
    <t>Somerset Acad Canyons Md Sch</t>
  </si>
  <si>
    <t>44</t>
  </si>
  <si>
    <t>4013</t>
  </si>
  <si>
    <t>Somerset Acad Canyons Hg Sch</t>
  </si>
  <si>
    <t>45</t>
  </si>
  <si>
    <t>4020</t>
  </si>
  <si>
    <t>Franklin Academy Cht School B</t>
  </si>
  <si>
    <t>46</t>
  </si>
  <si>
    <t>4037</t>
  </si>
  <si>
    <t>Learning Path Academy</t>
  </si>
  <si>
    <t>Sorted by Number</t>
  </si>
  <si>
    <t>Sorted by Name</t>
  </si>
  <si>
    <t>DeptID</t>
  </si>
  <si>
    <t>Charter Name</t>
  </si>
  <si>
    <t>Believers Academy</t>
  </si>
  <si>
    <t>1572</t>
  </si>
  <si>
    <t>South Tech Adult Education</t>
  </si>
  <si>
    <t>Montessori Acad Early Enrich</t>
  </si>
  <si>
    <t>Renaissance Ch Sch at Summit</t>
  </si>
  <si>
    <t>Renaissance Cht Sch Palms West</t>
  </si>
  <si>
    <t>Renaissance CS@WPBch</t>
  </si>
  <si>
    <t>Riviera Bch Maritime Academy</t>
  </si>
  <si>
    <t>Please enter your district number in cell C2.</t>
  </si>
  <si>
    <t>Enter District Number:</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</si>
  <si>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</si>
  <si>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</si>
  <si>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</si>
  <si>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</si>
  <si>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</si>
  <si>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</si>
  <si>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</si>
  <si>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</si>
  <si>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</si>
  <si>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</si>
  <si>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Teacher Salary Allocation</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</si>
  <si>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</si>
  <si>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</si>
  <si>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</si>
  <si>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</si>
  <si>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</si>
  <si>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</si>
  <si>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</si>
  <si>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</si>
  <si>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</si>
  <si>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</si>
  <si>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</si>
  <si>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School #</t>
  </si>
  <si>
    <t>Description</t>
  </si>
  <si>
    <t xml:space="preserve">Net Payment  </t>
  </si>
  <si>
    <t>Adult/ED</t>
  </si>
  <si>
    <t>School Police</t>
  </si>
  <si>
    <t xml:space="preserve">AT&amp;T </t>
  </si>
  <si>
    <t>Avaya</t>
  </si>
  <si>
    <t>Adult/ESE</t>
  </si>
  <si>
    <t>Adult/Ed</t>
  </si>
  <si>
    <t>AG Findings</t>
  </si>
  <si>
    <t>Utilities</t>
  </si>
  <si>
    <t xml:space="preserve">AG Findings </t>
  </si>
  <si>
    <t>Sept. FY13 Overpaid</t>
  </si>
  <si>
    <t>4040</t>
  </si>
  <si>
    <t>Florida Virtual Academy @ PBC</t>
  </si>
  <si>
    <t>South Tech Prep (Middle)</t>
  </si>
  <si>
    <t xml:space="preserve">Somerset Academy Boca Middle School </t>
  </si>
  <si>
    <t>South Tech Prep</t>
  </si>
  <si>
    <t>Additional Allocation</t>
  </si>
  <si>
    <t>Revenue Estimate Worksheet for South Tech Preparatory Academy</t>
  </si>
  <si>
    <t>Revenue Estimate Worksheet for Somerset Academy Boca Middle School</t>
  </si>
  <si>
    <t>Less: Administrative Fee (2% for up to 250 students of Un-Weighted FTE)</t>
  </si>
  <si>
    <t>March FY2013-2014 Charter School FTE Payment.</t>
  </si>
  <si>
    <t>FTE Mar 14</t>
  </si>
  <si>
    <t>WPB-100818</t>
  </si>
  <si>
    <t>WPB-100820</t>
  </si>
  <si>
    <t>WPB-107161</t>
  </si>
  <si>
    <t>WPB-107166</t>
  </si>
  <si>
    <t>NOTE TO ALL CHARTER SCHOOLS</t>
  </si>
  <si>
    <t>The March payment reflects the recalibrated October FTE calculated by the Florida Department of Education (FLDOE) by program and the final submitted and accepted Transportation FTE.   As of March 7, 2014, we have not received a recalibrated report by student that is necessary to determine the recalibrated FTE by matrix (251-253) for the ESE Guaranteed Allocation.  FLDOE anticipates the detailed report by student will be ready soon; therefore, any changes within those matrix levels will be reflected in subsequent payments.   If you identify any discrepancies in student or transportation FTE notify your District FTE contact.</t>
  </si>
  <si>
    <r>
      <t xml:space="preserve">The </t>
    </r>
    <r>
      <rPr>
        <b/>
        <i/>
        <u/>
        <sz val="12"/>
        <color rgb="FF222222"/>
        <rFont val="Arial"/>
        <family val="2"/>
      </rPr>
      <t>Teacher Salary Allocation (</t>
    </r>
    <r>
      <rPr>
        <b/>
        <sz val="12"/>
        <color rgb="FF222222"/>
        <rFont val="Arial"/>
        <family val="2"/>
      </rPr>
      <t>line 14) on the revenue worksheet is the total amount that will need to be disbursed prior to June 30, 2014.  Remember to submit your board approved salary allocation plan to the Charter School Department.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</si>
</sst>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7" formatCode="&quot;$&quot;#,##0.00_);\(&quot;$&quot;#,##0.00\)"/>
    <numFmt numFmtId="44" formatCode="_(&quot;$&quot;* #,##0.00_);_(&quot;$&quot;* \(#,##0.00\);_(&quot;$&quot;* &quot;-&quot;??_);_(@_)"/>
    <numFmt numFmtId="43" formatCode="_(* #,##0.00_);_(* \(#,##0.00\);_(* &quot;-&quot;??_);_(@_)"/>
    <numFmt numFmtId="164" formatCode="#,###,"/>
    <numFmt numFmtId="165" formatCode="_-&quot;$&quot;* #,##0.00_-;\-&quot;$&quot;* #,##0.00_-;_-&quot;$&quot;* &quot;-&quot;??_-;_-@_-"/>
    <numFmt numFmtId="166" formatCode="_-* #,##0.00_-;\-* #,##0.00_-;_-* &quot;-&quot;??_-;_-@_-"/>
    <numFmt numFmtId="167" formatCode="0.000"/>
    <numFmt numFmtId="168" formatCode="0.0000"/>
    <numFmt numFmtId="169" formatCode="#,##0.0000"/>
    <numFmt numFmtId="170" formatCode="_-&quot;$&quot;* #,##0_-;\-&quot;$&quot;* #,##0_-;_-&quot;$&quot;* &quot;-&quot;??_-;_-@_-"/>
    <numFmt numFmtId="171" formatCode="0.0000%"/>
    <numFmt numFmtId="172" formatCode="_(* #,##0_);_(* \(#,##0\);_(* &quot;-&quot;??_);_(@_)"/>
    <numFmt numFmtId="173" formatCode="0."/>
    <numFmt numFmtId="174" formatCode="m/d/yy\ h:mm\ AM/PM"/>
    <numFmt numFmtId="175" formatCode="#,##0;[Red]\(#,##0\)"/>
    <numFmt numFmtId="176" formatCode="_(&quot;$&quot;* #,##0_);_(&quot;$&quot;* \(#,##0\);_(&quot;$&quot;* &quot;-&quot;??_);_(@_)"/>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b/>
      <sz val="8"/>
      <color indexed="81"/>
      <name val="Tahoma"/>
      <family val="2"/>
    </font>
    <font>
      <sz val="8"/>
      <color indexed="81"/>
      <name val="Tahoma"/>
      <family val="2"/>
    </font>
    <font>
      <b/>
      <u/>
      <sz val="11"/>
      <color rgb="FFFF0000"/>
      <name val="Arial"/>
      <family val="2"/>
    </font>
    <font>
      <b/>
      <u/>
      <sz val="12"/>
      <name val="Arial"/>
      <family val="2"/>
    </font>
    <font>
      <b/>
      <sz val="8"/>
      <color theme="1"/>
      <name val="MS Sans Serif"/>
      <family val="2"/>
    </font>
    <font>
      <b/>
      <sz val="11"/>
      <color theme="1"/>
      <name val="Calibri"/>
      <family val="2"/>
      <scheme val="minor"/>
    </font>
    <font>
      <b/>
      <sz val="11"/>
      <color rgb="FF0000FF"/>
      <name val="Calibri"/>
      <family val="2"/>
      <scheme val="minor"/>
    </font>
    <font>
      <b/>
      <sz val="11"/>
      <color rgb="FFFF0000"/>
      <name val="Calibri"/>
      <family val="2"/>
      <scheme val="minor"/>
    </font>
    <font>
      <sz val="16"/>
      <name val="Arial"/>
      <family val="2"/>
    </font>
    <font>
      <b/>
      <sz val="16"/>
      <name val="Arial"/>
      <family val="2"/>
    </font>
    <font>
      <sz val="16"/>
      <name val="Times New Roman"/>
      <family val="1"/>
    </font>
    <font>
      <sz val="11"/>
      <name val="Times New Roman"/>
      <family val="1"/>
    </font>
    <font>
      <b/>
      <sz val="8"/>
      <name val="MS Sans Serif"/>
      <family val="2"/>
    </font>
    <font>
      <sz val="10"/>
      <name val="Arial"/>
      <family val="2"/>
    </font>
    <font>
      <sz val="16"/>
      <color rgb="FFFF0000"/>
      <name val="Arial"/>
      <family val="2"/>
    </font>
    <font>
      <b/>
      <sz val="16"/>
      <color rgb="FFFF0000"/>
      <name val="Arial"/>
      <family val="2"/>
    </font>
    <font>
      <b/>
      <sz val="12"/>
      <color rgb="FF222222"/>
      <name val="Arial"/>
      <family val="2"/>
    </font>
    <font>
      <b/>
      <i/>
      <u/>
      <sz val="12"/>
      <color rgb="FF222222"/>
      <name val="Arial"/>
      <family val="2"/>
    </font>
  </fonts>
  <fills count="1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bgColor indexed="64"/>
      </patternFill>
    </fill>
  </fills>
  <borders count="29">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400">
    <xf numFmtId="0" fontId="0" fillId="0" borderId="0"/>
    <xf numFmtId="164" fontId="6" fillId="0" borderId="1"/>
    <xf numFmtId="0" fontId="6" fillId="0" borderId="0"/>
    <xf numFmtId="43"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cellStyleXfs>
  <cellXfs count="423">
    <xf numFmtId="0" fontId="0" fillId="0" borderId="0" xfId="0"/>
    <xf numFmtId="0" fontId="7" fillId="0" borderId="0" xfId="2" applyFont="1"/>
    <xf numFmtId="0" fontId="7" fillId="0" borderId="0" xfId="2" applyFont="1" applyAlignment="1">
      <alignment horizontal="left"/>
    </xf>
    <xf numFmtId="167" fontId="7" fillId="0" borderId="0" xfId="2" applyNumberFormat="1" applyFont="1"/>
    <xf numFmtId="0" fontId="8" fillId="0" borderId="2" xfId="2" applyFont="1" applyBorder="1"/>
    <xf numFmtId="0" fontId="9" fillId="0" borderId="3" xfId="2" applyFont="1" applyBorder="1" applyAlignment="1"/>
    <xf numFmtId="0" fontId="9" fillId="0" borderId="0" xfId="2" applyFont="1" applyBorder="1" applyAlignment="1"/>
    <xf numFmtId="0" fontId="9" fillId="0" borderId="0" xfId="2" applyFont="1" applyAlignment="1"/>
    <xf numFmtId="0" fontId="8" fillId="2" borderId="2" xfId="2" applyFont="1" applyFill="1" applyBorder="1"/>
    <xf numFmtId="0" fontId="7" fillId="2" borderId="0" xfId="2" applyFont="1" applyFill="1"/>
    <xf numFmtId="0" fontId="10" fillId="0" borderId="0" xfId="2" applyFont="1" applyAlignment="1"/>
    <xf numFmtId="0" fontId="10" fillId="0" borderId="0" xfId="2" applyFont="1" applyAlignment="1">
      <alignment horizontal="center"/>
    </xf>
    <xf numFmtId="0" fontId="10" fillId="2" borderId="0" xfId="2" applyFont="1" applyFill="1" applyAlignment="1"/>
    <xf numFmtId="0" fontId="7" fillId="0" borderId="0" xfId="2" applyFont="1" applyAlignment="1"/>
    <xf numFmtId="0" fontId="11" fillId="0" borderId="0" xfId="2" applyFont="1" applyAlignment="1"/>
    <xf numFmtId="0" fontId="11" fillId="2" borderId="0" xfId="2" applyFont="1" applyFill="1" applyAlignment="1"/>
    <xf numFmtId="4" fontId="7" fillId="0" borderId="0" xfId="2" applyNumberFormat="1" applyFont="1" applyAlignment="1"/>
    <xf numFmtId="4" fontId="12" fillId="0" borderId="0" xfId="2" applyNumberFormat="1" applyFont="1" applyAlignment="1"/>
    <xf numFmtId="4" fontId="7" fillId="0" borderId="0" xfId="2" applyNumberFormat="1" applyFont="1"/>
    <xf numFmtId="4" fontId="12" fillId="2" borderId="0" xfId="2" applyNumberFormat="1" applyFont="1" applyFill="1" applyAlignment="1"/>
    <xf numFmtId="4" fontId="7" fillId="2" borderId="0" xfId="2" applyNumberFormat="1" applyFont="1" applyFill="1"/>
    <xf numFmtId="4" fontId="7" fillId="0" borderId="0" xfId="2" applyNumberFormat="1" applyFont="1" applyBorder="1"/>
    <xf numFmtId="4" fontId="7" fillId="2" borderId="0" xfId="2" applyNumberFormat="1" applyFont="1" applyFill="1" applyBorder="1"/>
    <xf numFmtId="0" fontId="13" fillId="0" borderId="0" xfId="2" applyFont="1" applyAlignment="1"/>
    <xf numFmtId="7" fontId="6" fillId="0" borderId="0" xfId="2" applyNumberFormat="1" applyBorder="1" applyAlignment="1"/>
    <xf numFmtId="168" fontId="13" fillId="0" borderId="0" xfId="2" applyNumberFormat="1" applyFont="1" applyAlignment="1"/>
    <xf numFmtId="0" fontId="7" fillId="0" borderId="0" xfId="2" applyFont="1" applyAlignment="1">
      <alignment wrapText="1"/>
    </xf>
    <xf numFmtId="0" fontId="14" fillId="0" borderId="0" xfId="2" applyFont="1" applyAlignment="1">
      <alignment horizontal="center" wrapText="1"/>
    </xf>
    <xf numFmtId="0" fontId="15" fillId="0" borderId="0" xfId="2" applyFont="1" applyAlignment="1">
      <alignment horizontal="center" wrapText="1"/>
    </xf>
    <xf numFmtId="0" fontId="8" fillId="0" borderId="0" xfId="2" applyFont="1" applyAlignment="1">
      <alignment wrapText="1"/>
    </xf>
    <xf numFmtId="167" fontId="7" fillId="0" borderId="0" xfId="2" applyNumberFormat="1" applyFont="1" applyAlignment="1">
      <alignment horizontal="center" wrapText="1"/>
    </xf>
    <xf numFmtId="167" fontId="7" fillId="0" borderId="0" xfId="2" applyNumberFormat="1" applyFont="1" applyAlignment="1">
      <alignment wrapText="1"/>
    </xf>
    <xf numFmtId="4" fontId="7" fillId="0" borderId="0" xfId="2" applyNumberFormat="1" applyFont="1" applyAlignment="1">
      <alignment horizontal="center" wrapText="1"/>
    </xf>
    <xf numFmtId="165" fontId="7" fillId="0" borderId="0" xfId="5" applyFont="1" applyAlignment="1">
      <alignment horizontal="center" wrapText="1"/>
    </xf>
    <xf numFmtId="4" fontId="7" fillId="2" borderId="0" xfId="2" applyNumberFormat="1" applyFont="1" applyFill="1" applyAlignment="1">
      <alignment horizontal="center" wrapText="1"/>
    </xf>
    <xf numFmtId="165" fontId="7" fillId="2" borderId="0" xfId="5" applyFont="1" applyFill="1" applyAlignment="1">
      <alignment horizontal="center" wrapText="1"/>
    </xf>
    <xf numFmtId="0" fontId="7" fillId="0" borderId="4" xfId="2" quotePrefix="1" applyFont="1" applyBorder="1" applyAlignment="1"/>
    <xf numFmtId="0" fontId="15" fillId="0" borderId="4" xfId="2" quotePrefix="1" applyFont="1" applyBorder="1" applyAlignment="1">
      <alignment horizontal="center"/>
    </xf>
    <xf numFmtId="0" fontId="8" fillId="0" borderId="0" xfId="2" quotePrefix="1" applyFont="1" applyBorder="1" applyAlignment="1"/>
    <xf numFmtId="167" fontId="7" fillId="0" borderId="4" xfId="2" quotePrefix="1" applyNumberFormat="1" applyFont="1" applyBorder="1" applyAlignment="1">
      <alignment horizontal="center"/>
    </xf>
    <xf numFmtId="167" fontId="7" fillId="0" borderId="4" xfId="2" quotePrefix="1" applyNumberFormat="1" applyFont="1" applyBorder="1" applyAlignment="1"/>
    <xf numFmtId="4" fontId="7" fillId="0" borderId="4" xfId="2" quotePrefix="1" applyNumberFormat="1" applyFont="1" applyBorder="1" applyAlignment="1">
      <alignment horizontal="center"/>
    </xf>
    <xf numFmtId="165" fontId="7" fillId="0" borderId="4" xfId="5" quotePrefix="1" applyFont="1" applyBorder="1" applyAlignment="1">
      <alignment horizontal="center"/>
    </xf>
    <xf numFmtId="4" fontId="7" fillId="2" borderId="4" xfId="2" quotePrefix="1" applyNumberFormat="1" applyFont="1" applyFill="1" applyBorder="1" applyAlignment="1">
      <alignment horizontal="center"/>
    </xf>
    <xf numFmtId="165" fontId="7" fillId="2" borderId="4" xfId="5" quotePrefix="1" applyFont="1" applyFill="1" applyBorder="1" applyAlignment="1">
      <alignment horizontal="center"/>
    </xf>
    <xf numFmtId="0" fontId="7" fillId="0" borderId="5" xfId="2" applyFont="1" applyBorder="1" applyAlignment="1"/>
    <xf numFmtId="2" fontId="15" fillId="0" borderId="1" xfId="2" applyNumberFormat="1" applyFont="1" applyBorder="1" applyAlignment="1"/>
    <xf numFmtId="2" fontId="14" fillId="0" borderId="0" xfId="2" applyNumberFormat="1" applyFont="1" applyBorder="1" applyAlignment="1"/>
    <xf numFmtId="167" fontId="7" fillId="0" borderId="5" xfId="2" applyNumberFormat="1" applyFont="1" applyBorder="1" applyAlignment="1"/>
    <xf numFmtId="169" fontId="7" fillId="0" borderId="4" xfId="2" applyNumberFormat="1" applyFont="1" applyBorder="1"/>
    <xf numFmtId="170" fontId="7" fillId="0" borderId="4" xfId="5" applyNumberFormat="1" applyFont="1" applyBorder="1"/>
    <xf numFmtId="0" fontId="7" fillId="0" borderId="0" xfId="2" applyFont="1" applyAlignment="1">
      <alignment horizontal="center"/>
    </xf>
    <xf numFmtId="0" fontId="6" fillId="0" borderId="0" xfId="2" quotePrefix="1"/>
    <xf numFmtId="0" fontId="6" fillId="0" borderId="0" xfId="2"/>
    <xf numFmtId="169" fontId="7" fillId="2" borderId="4" xfId="2" applyNumberFormat="1" applyFont="1" applyFill="1" applyBorder="1"/>
    <xf numFmtId="170" fontId="7" fillId="2" borderId="4" xfId="5" applyNumberFormat="1" applyFont="1" applyFill="1" applyBorder="1"/>
    <xf numFmtId="167" fontId="7" fillId="0" borderId="0" xfId="2" applyNumberFormat="1" applyFont="1" applyAlignment="1"/>
    <xf numFmtId="0" fontId="7" fillId="0" borderId="0" xfId="2" quotePrefix="1" applyFont="1"/>
    <xf numFmtId="170" fontId="7" fillId="0" borderId="1" xfId="5" applyNumberFormat="1" applyFont="1" applyBorder="1"/>
    <xf numFmtId="170" fontId="7" fillId="2" borderId="1" xfId="5" applyNumberFormat="1" applyFont="1" applyFill="1" applyBorder="1"/>
    <xf numFmtId="2" fontId="15" fillId="0" borderId="6" xfId="2" applyNumberFormat="1" applyFont="1" applyBorder="1" applyAlignment="1"/>
    <xf numFmtId="0" fontId="7" fillId="0" borderId="0" xfId="2" applyFont="1" applyBorder="1" applyAlignment="1"/>
    <xf numFmtId="2" fontId="7" fillId="0" borderId="7" xfId="2" applyNumberFormat="1" applyFont="1" applyBorder="1" applyAlignment="1"/>
    <xf numFmtId="2" fontId="7" fillId="0" borderId="0" xfId="2" applyNumberFormat="1" applyFont="1" applyBorder="1" applyAlignment="1"/>
    <xf numFmtId="2" fontId="7" fillId="0" borderId="8" xfId="2" applyNumberFormat="1" applyFont="1" applyBorder="1" applyAlignment="1"/>
    <xf numFmtId="168" fontId="17" fillId="0" borderId="2" xfId="2" applyNumberFormat="1" applyFont="1" applyBorder="1"/>
    <xf numFmtId="170" fontId="7" fillId="0" borderId="7" xfId="5" applyNumberFormat="1" applyFont="1" applyBorder="1"/>
    <xf numFmtId="0" fontId="7" fillId="0" borderId="0" xfId="2" applyFont="1" applyBorder="1"/>
    <xf numFmtId="168" fontId="17" fillId="2" borderId="2" xfId="2" applyNumberFormat="1" applyFont="1" applyFill="1" applyBorder="1"/>
    <xf numFmtId="170" fontId="7" fillId="2" borderId="7" xfId="5" applyNumberFormat="1" applyFont="1" applyFill="1" applyBorder="1"/>
    <xf numFmtId="0" fontId="14" fillId="0" borderId="1" xfId="2" applyFont="1" applyBorder="1" applyAlignment="1">
      <alignment horizontal="center" wrapText="1"/>
    </xf>
    <xf numFmtId="2" fontId="15" fillId="0" borderId="1" xfId="2" applyNumberFormat="1" applyFont="1" applyBorder="1" applyAlignment="1">
      <alignment horizontal="center"/>
    </xf>
    <xf numFmtId="2" fontId="8" fillId="0" borderId="0" xfId="2" applyNumberFormat="1" applyFont="1" applyBorder="1" applyAlignment="1"/>
    <xf numFmtId="0" fontId="7" fillId="0" borderId="4" xfId="2" applyFont="1" applyBorder="1" applyAlignment="1">
      <alignment horizontal="center" wrapText="1"/>
    </xf>
    <xf numFmtId="0" fontId="18" fillId="0" borderId="4" xfId="2" applyFont="1" applyBorder="1" applyAlignment="1">
      <alignment horizontal="center" wrapText="1"/>
    </xf>
    <xf numFmtId="0" fontId="7" fillId="2" borderId="4" xfId="2" applyFont="1" applyFill="1" applyBorder="1" applyAlignment="1"/>
    <xf numFmtId="0" fontId="7" fillId="2" borderId="4" xfId="2" applyFont="1" applyFill="1" applyBorder="1" applyAlignment="1">
      <alignment horizontal="center" wrapText="1"/>
    </xf>
    <xf numFmtId="0" fontId="18" fillId="2" borderId="4" xfId="2" applyFont="1" applyFill="1" applyBorder="1" applyAlignment="1">
      <alignment horizontal="center" wrapText="1"/>
    </xf>
    <xf numFmtId="0" fontId="13" fillId="0" borderId="5" xfId="2" applyFont="1" applyBorder="1" applyAlignment="1">
      <alignment horizontal="left" vertical="center" wrapText="1"/>
    </xf>
    <xf numFmtId="4" fontId="14" fillId="0" borderId="0" xfId="2" applyNumberFormat="1" applyFont="1" applyBorder="1" applyAlignment="1">
      <alignment vertical="center" wrapText="1"/>
    </xf>
    <xf numFmtId="0" fontId="7" fillId="0" borderId="5" xfId="2" applyFont="1" applyBorder="1" applyAlignment="1">
      <alignment horizontal="center"/>
    </xf>
    <xf numFmtId="170" fontId="18" fillId="0" borderId="4" xfId="5" applyNumberFormat="1" applyFont="1" applyBorder="1"/>
    <xf numFmtId="170" fontId="7" fillId="0" borderId="4" xfId="2" applyNumberFormat="1" applyFont="1" applyBorder="1"/>
    <xf numFmtId="0" fontId="7" fillId="0" borderId="0" xfId="2" quotePrefix="1" applyFont="1" applyAlignment="1">
      <alignment horizontal="left"/>
    </xf>
    <xf numFmtId="0" fontId="13" fillId="0" borderId="0" xfId="2" applyFont="1" applyBorder="1"/>
    <xf numFmtId="0" fontId="7" fillId="2" borderId="5" xfId="2" applyFont="1" applyFill="1" applyBorder="1" applyAlignment="1">
      <alignment horizontal="center"/>
    </xf>
    <xf numFmtId="0" fontId="7" fillId="2" borderId="0" xfId="2" applyFont="1" applyFill="1" applyAlignment="1">
      <alignment horizontal="center"/>
    </xf>
    <xf numFmtId="170" fontId="18" fillId="2" borderId="4" xfId="5" applyNumberFormat="1" applyFont="1" applyFill="1" applyBorder="1"/>
    <xf numFmtId="170" fontId="7" fillId="2" borderId="4" xfId="2" applyNumberFormat="1" applyFont="1" applyFill="1" applyBorder="1"/>
    <xf numFmtId="0" fontId="13" fillId="0" borderId="0" xfId="2" applyFont="1" applyBorder="1" applyAlignment="1">
      <alignment horizontal="left" vertical="center" wrapText="1"/>
    </xf>
    <xf numFmtId="0" fontId="7" fillId="0" borderId="0" xfId="2" quotePrefix="1" applyFont="1" applyAlignment="1">
      <alignment horizontal="center"/>
    </xf>
    <xf numFmtId="0" fontId="7" fillId="2" borderId="0" xfId="2" quotePrefix="1" applyFont="1" applyFill="1" applyAlignment="1">
      <alignment horizontal="center"/>
    </xf>
    <xf numFmtId="0" fontId="19" fillId="0" borderId="0" xfId="2" applyFont="1"/>
    <xf numFmtId="170" fontId="7" fillId="0" borderId="6" xfId="5" applyNumberFormat="1" applyFont="1" applyBorder="1"/>
    <xf numFmtId="0" fontId="19" fillId="0" borderId="0" xfId="2" applyFont="1" applyBorder="1" applyAlignment="1">
      <alignment horizontal="left"/>
    </xf>
    <xf numFmtId="170" fontId="7" fillId="2" borderId="6" xfId="5" applyNumberFormat="1" applyFont="1" applyFill="1" applyBorder="1"/>
    <xf numFmtId="0" fontId="20" fillId="0" borderId="0" xfId="2" applyFont="1" applyAlignment="1"/>
    <xf numFmtId="0" fontId="20" fillId="0" borderId="0" xfId="2" applyFont="1" applyBorder="1" applyAlignment="1"/>
    <xf numFmtId="0" fontId="7" fillId="2" borderId="0" xfId="2" applyFont="1" applyFill="1" applyBorder="1"/>
    <xf numFmtId="0" fontId="21" fillId="0" borderId="0" xfId="2" applyFont="1" applyAlignment="1"/>
    <xf numFmtId="170" fontId="7" fillId="0" borderId="0" xfId="5" applyNumberFormat="1" applyFont="1" applyBorder="1" applyAlignment="1"/>
    <xf numFmtId="0" fontId="22" fillId="0" borderId="0" xfId="2" applyFont="1" applyAlignment="1"/>
    <xf numFmtId="4" fontId="7" fillId="0" borderId="0" xfId="2" quotePrefix="1" applyNumberFormat="1" applyFont="1" applyBorder="1" applyAlignment="1"/>
    <xf numFmtId="0" fontId="7" fillId="0" borderId="0" xfId="2" applyFont="1" applyAlignment="1">
      <alignment horizontal="right"/>
    </xf>
    <xf numFmtId="0" fontId="23" fillId="0" borderId="0" xfId="2" applyFont="1" applyAlignment="1"/>
    <xf numFmtId="166" fontId="7" fillId="0" borderId="0" xfId="2" applyNumberFormat="1" applyFont="1" applyBorder="1"/>
    <xf numFmtId="0" fontId="7" fillId="2" borderId="0" xfId="2" applyFont="1" applyFill="1" applyAlignment="1">
      <alignment horizontal="right"/>
    </xf>
    <xf numFmtId="0" fontId="24" fillId="0" borderId="0" xfId="2" applyFont="1" applyAlignment="1"/>
    <xf numFmtId="170" fontId="7" fillId="0" borderId="0" xfId="5" applyNumberFormat="1" applyFont="1" applyBorder="1"/>
    <xf numFmtId="170" fontId="7" fillId="2" borderId="0" xfId="5" applyNumberFormat="1" applyFont="1" applyFill="1" applyBorder="1"/>
    <xf numFmtId="170" fontId="7" fillId="0" borderId="4" xfId="2" applyNumberFormat="1" applyFont="1" applyBorder="1" applyAlignment="1">
      <alignment horizontal="left"/>
    </xf>
    <xf numFmtId="170" fontId="7" fillId="2" borderId="4" xfId="2" applyNumberFormat="1" applyFont="1" applyFill="1" applyBorder="1" applyAlignment="1">
      <alignment horizontal="left"/>
    </xf>
    <xf numFmtId="0" fontId="7" fillId="0" borderId="0" xfId="2" applyFont="1" applyBorder="1" applyAlignment="1">
      <alignment horizontal="left"/>
    </xf>
    <xf numFmtId="0" fontId="7" fillId="2" borderId="0" xfId="2" applyFont="1" applyFill="1" applyBorder="1" applyAlignment="1">
      <alignment horizontal="left"/>
    </xf>
    <xf numFmtId="0" fontId="25" fillId="0" borderId="0" xfId="2" applyFont="1" applyAlignment="1">
      <alignment horizontal="center"/>
    </xf>
    <xf numFmtId="0" fontId="25" fillId="0" borderId="0" xfId="2" applyFont="1" applyAlignment="1"/>
    <xf numFmtId="4" fontId="25" fillId="0" borderId="0" xfId="2" applyNumberFormat="1" applyFont="1" applyAlignment="1">
      <alignment horizontal="center"/>
    </xf>
    <xf numFmtId="4" fontId="25" fillId="0" borderId="0" xfId="2" applyNumberFormat="1" applyFont="1" applyAlignment="1"/>
    <xf numFmtId="165" fontId="7" fillId="0" borderId="0" xfId="5" applyFont="1"/>
    <xf numFmtId="0" fontId="25" fillId="2" borderId="0" xfId="2" applyFont="1" applyFill="1" applyAlignment="1">
      <alignment horizontal="center"/>
    </xf>
    <xf numFmtId="165" fontId="7" fillId="2" borderId="0" xfId="5" applyFont="1" applyFill="1"/>
    <xf numFmtId="168" fontId="7" fillId="0" borderId="0" xfId="2" applyNumberFormat="1" applyFont="1" applyBorder="1" applyAlignment="1">
      <alignment horizontal="center"/>
    </xf>
    <xf numFmtId="168" fontId="26" fillId="0" borderId="0" xfId="2" applyNumberFormat="1" applyFont="1" applyBorder="1" applyAlignment="1"/>
    <xf numFmtId="43" fontId="7" fillId="0" borderId="0" xfId="3" applyFont="1" applyAlignment="1">
      <alignment horizontal="center"/>
    </xf>
    <xf numFmtId="0" fontId="7" fillId="0" borderId="0" xfId="2" quotePrefix="1" applyFont="1" applyBorder="1" applyAlignment="1">
      <alignment horizontal="center"/>
    </xf>
    <xf numFmtId="3" fontId="7" fillId="0" borderId="4" xfId="2" applyNumberFormat="1" applyFont="1" applyBorder="1"/>
    <xf numFmtId="168" fontId="7" fillId="0" borderId="0" xfId="2" applyNumberFormat="1" applyFont="1" applyBorder="1"/>
    <xf numFmtId="168" fontId="7" fillId="2" borderId="0" xfId="2" applyNumberFormat="1" applyFont="1" applyFill="1" applyBorder="1" applyAlignment="1">
      <alignment horizontal="center"/>
    </xf>
    <xf numFmtId="2" fontId="7" fillId="2" borderId="0" xfId="2" applyNumberFormat="1" applyFont="1" applyFill="1" applyAlignment="1">
      <alignment horizontal="center"/>
    </xf>
    <xf numFmtId="0" fontId="7" fillId="2" borderId="0" xfId="2" quotePrefix="1" applyFont="1" applyFill="1" applyBorder="1" applyAlignment="1">
      <alignment horizontal="center"/>
    </xf>
    <xf numFmtId="3" fontId="7" fillId="2" borderId="4" xfId="2" applyNumberFormat="1" applyFont="1" applyFill="1" applyBorder="1"/>
    <xf numFmtId="168" fontId="7" fillId="2" borderId="0" xfId="2" applyNumberFormat="1" applyFont="1" applyFill="1" applyBorder="1"/>
    <xf numFmtId="16" fontId="7" fillId="0" borderId="0" xfId="2" quotePrefix="1" applyNumberFormat="1" applyFont="1" applyAlignment="1">
      <alignment horizontal="right"/>
    </xf>
    <xf numFmtId="16" fontId="7" fillId="2" borderId="0" xfId="2" quotePrefix="1" applyNumberFormat="1" applyFont="1" applyFill="1" applyAlignment="1">
      <alignment horizontal="right"/>
    </xf>
    <xf numFmtId="0" fontId="7" fillId="2" borderId="0" xfId="2" applyFont="1" applyFill="1" applyBorder="1" applyAlignment="1"/>
    <xf numFmtId="0" fontId="7" fillId="0" borderId="0" xfId="2" quotePrefix="1" applyFont="1" applyAlignment="1">
      <alignment horizontal="right"/>
    </xf>
    <xf numFmtId="168" fontId="7" fillId="0" borderId="15" xfId="2" applyNumberFormat="1" applyFont="1" applyBorder="1" applyAlignment="1">
      <alignment horizontal="center"/>
    </xf>
    <xf numFmtId="0" fontId="16" fillId="0" borderId="0" xfId="2" applyFont="1" applyBorder="1"/>
    <xf numFmtId="2" fontId="7" fillId="0" borderId="0" xfId="2" applyNumberFormat="1" applyFont="1" applyBorder="1"/>
    <xf numFmtId="166" fontId="7" fillId="0" borderId="0" xfId="6" applyFont="1" applyBorder="1"/>
    <xf numFmtId="0" fontId="7" fillId="2" borderId="0" xfId="2" quotePrefix="1" applyFont="1" applyFill="1" applyAlignment="1">
      <alignment horizontal="right"/>
    </xf>
    <xf numFmtId="168" fontId="7" fillId="2" borderId="15" xfId="2" applyNumberFormat="1" applyFont="1" applyFill="1" applyBorder="1" applyAlignment="1">
      <alignment horizontal="center"/>
    </xf>
    <xf numFmtId="166" fontId="7" fillId="0" borderId="0" xfId="6" applyFont="1" applyBorder="1" applyAlignment="1">
      <alignment horizontal="right"/>
    </xf>
    <xf numFmtId="168" fontId="17" fillId="0" borderId="2" xfId="2" applyNumberFormat="1" applyFont="1" applyBorder="1" applyAlignment="1">
      <alignment horizontal="center"/>
    </xf>
    <xf numFmtId="168" fontId="17" fillId="0" borderId="3" xfId="2" applyNumberFormat="1" applyFont="1" applyBorder="1" applyAlignment="1">
      <alignment horizontal="center"/>
    </xf>
    <xf numFmtId="168" fontId="17" fillId="0" borderId="0" xfId="2" applyNumberFormat="1" applyFont="1" applyBorder="1" applyAlignment="1">
      <alignment horizontal="center"/>
    </xf>
    <xf numFmtId="166" fontId="7" fillId="0" borderId="0" xfId="6" applyFont="1" applyBorder="1" applyAlignment="1"/>
    <xf numFmtId="166" fontId="7" fillId="2" borderId="0" xfId="6" applyFont="1" applyFill="1" applyBorder="1" applyAlignment="1">
      <alignment horizontal="right"/>
    </xf>
    <xf numFmtId="168" fontId="17" fillId="2" borderId="2" xfId="2" applyNumberFormat="1" applyFont="1" applyFill="1" applyBorder="1" applyAlignment="1">
      <alignment horizontal="center"/>
    </xf>
    <xf numFmtId="2" fontId="28" fillId="0" borderId="0" xfId="2" applyNumberFormat="1" applyFont="1" applyBorder="1" applyAlignment="1"/>
    <xf numFmtId="0" fontId="16" fillId="2" borderId="0" xfId="2" applyFont="1" applyFill="1" applyBorder="1"/>
    <xf numFmtId="169" fontId="20" fillId="0" borderId="4" xfId="2" applyNumberFormat="1" applyFont="1" applyBorder="1" applyAlignment="1">
      <alignment horizontal="center"/>
    </xf>
    <xf numFmtId="4" fontId="25" fillId="0" borderId="0" xfId="2" applyNumberFormat="1" applyFont="1" applyBorder="1" applyAlignment="1"/>
    <xf numFmtId="169" fontId="20" fillId="2" borderId="4" xfId="2" applyNumberFormat="1" applyFont="1" applyFill="1" applyBorder="1" applyAlignment="1">
      <alignment horizontal="center"/>
    </xf>
    <xf numFmtId="171" fontId="7" fillId="0" borderId="0" xfId="2" applyNumberFormat="1" applyFont="1" applyAlignment="1"/>
    <xf numFmtId="4" fontId="20" fillId="0" borderId="4" xfId="2" applyNumberFormat="1" applyFont="1" applyBorder="1" applyAlignment="1">
      <alignment horizontal="center"/>
    </xf>
    <xf numFmtId="4" fontId="20" fillId="2" borderId="4" xfId="2" applyNumberFormat="1" applyFont="1" applyFill="1" applyBorder="1" applyAlignment="1">
      <alignment horizontal="center"/>
    </xf>
    <xf numFmtId="4" fontId="7" fillId="0" borderId="0" xfId="2" applyNumberFormat="1" applyFont="1" applyBorder="1" applyAlignment="1"/>
    <xf numFmtId="0" fontId="7" fillId="2" borderId="0" xfId="2" applyFont="1" applyFill="1" applyBorder="1" applyAlignment="1">
      <alignment horizontal="center"/>
    </xf>
    <xf numFmtId="171" fontId="7" fillId="2" borderId="0" xfId="2" applyNumberFormat="1" applyFont="1" applyFill="1"/>
    <xf numFmtId="4" fontId="7" fillId="0" borderId="0" xfId="2" quotePrefix="1" applyNumberFormat="1" applyFont="1" applyAlignment="1">
      <alignment horizontal="center"/>
    </xf>
    <xf numFmtId="0" fontId="7" fillId="0" borderId="0" xfId="2" applyFont="1" applyBorder="1" applyAlignment="1">
      <alignment horizontal="center"/>
    </xf>
    <xf numFmtId="171" fontId="7" fillId="0" borderId="0" xfId="2" applyNumberFormat="1" applyFont="1"/>
    <xf numFmtId="0" fontId="7" fillId="0" borderId="0" xfId="2" applyFont="1" applyBorder="1" applyAlignment="1">
      <alignment horizontal="left" indent="1"/>
    </xf>
    <xf numFmtId="3" fontId="7" fillId="0" borderId="0" xfId="2" applyNumberFormat="1" applyFont="1" applyBorder="1" applyAlignment="1"/>
    <xf numFmtId="4" fontId="13" fillId="0" borderId="0" xfId="2" applyNumberFormat="1" applyFont="1"/>
    <xf numFmtId="0" fontId="7" fillId="0" borderId="0" xfId="2" applyFont="1" applyAlignment="1">
      <alignment horizontal="left" indent="1"/>
    </xf>
    <xf numFmtId="4" fontId="7" fillId="0" borderId="0" xfId="2" quotePrefix="1" applyNumberFormat="1" applyFont="1" applyAlignment="1"/>
    <xf numFmtId="0" fontId="14" fillId="2" borderId="0" xfId="2" applyFont="1" applyFill="1" applyAlignment="1">
      <alignment horizontal="left"/>
    </xf>
    <xf numFmtId="4" fontId="7" fillId="2" borderId="0" xfId="2" quotePrefix="1" applyNumberFormat="1" applyFont="1" applyFill="1" applyAlignment="1">
      <alignment horizontal="left" indent="2"/>
    </xf>
    <xf numFmtId="4" fontId="14" fillId="2" borderId="4" xfId="2" quotePrefix="1" applyNumberFormat="1" applyFont="1" applyFill="1" applyBorder="1" applyAlignment="1">
      <alignment horizontal="left" indent="2"/>
    </xf>
    <xf numFmtId="4" fontId="7" fillId="2" borderId="0" xfId="2" applyNumberFormat="1" applyFont="1" applyFill="1" applyAlignment="1">
      <alignment horizontal="left" indent="2"/>
    </xf>
    <xf numFmtId="3" fontId="7" fillId="2" borderId="0" xfId="2" quotePrefix="1" applyNumberFormat="1" applyFont="1" applyFill="1" applyAlignment="1">
      <alignment horizontal="left" indent="5"/>
    </xf>
    <xf numFmtId="0" fontId="14" fillId="0" borderId="0" xfId="2" applyFont="1" applyAlignment="1"/>
    <xf numFmtId="0" fontId="14" fillId="0" borderId="0" xfId="2" applyFont="1" applyAlignment="1">
      <alignment horizontal="left"/>
    </xf>
    <xf numFmtId="0" fontId="29" fillId="0" borderId="0" xfId="2" applyFont="1"/>
    <xf numFmtId="4" fontId="7" fillId="0" borderId="0" xfId="2" quotePrefix="1" applyNumberFormat="1" applyFont="1" applyAlignment="1">
      <alignment horizontal="left" indent="2"/>
    </xf>
    <xf numFmtId="4" fontId="15" fillId="0" borderId="4" xfId="2" quotePrefix="1" applyNumberFormat="1" applyFont="1" applyBorder="1" applyAlignment="1">
      <alignment horizontal="right" indent="2"/>
    </xf>
    <xf numFmtId="4" fontId="7" fillId="0" borderId="0" xfId="2" applyNumberFormat="1" applyFont="1" applyAlignment="1">
      <alignment horizontal="center"/>
    </xf>
    <xf numFmtId="3" fontId="7" fillId="0" borderId="0" xfId="2" quotePrefix="1" applyNumberFormat="1" applyFont="1" applyAlignment="1">
      <alignment horizontal="left" indent="5"/>
    </xf>
    <xf numFmtId="4" fontId="7" fillId="2" borderId="0" xfId="2" quotePrefix="1" applyNumberFormat="1" applyFont="1" applyFill="1" applyBorder="1" applyAlignment="1">
      <alignment horizontal="left" indent="2"/>
    </xf>
    <xf numFmtId="4" fontId="14" fillId="2" borderId="1" xfId="2" quotePrefix="1" applyNumberFormat="1" applyFont="1" applyFill="1" applyBorder="1" applyAlignment="1">
      <alignment horizontal="left" indent="2"/>
    </xf>
    <xf numFmtId="3" fontId="7" fillId="2" borderId="0" xfId="2" quotePrefix="1" applyNumberFormat="1" applyFont="1" applyFill="1" applyAlignment="1">
      <alignment horizontal="left" indent="4"/>
    </xf>
    <xf numFmtId="3" fontId="7" fillId="0" borderId="0" xfId="2" quotePrefix="1" applyNumberFormat="1" applyFont="1" applyAlignment="1">
      <alignment horizontal="left" indent="4"/>
    </xf>
    <xf numFmtId="38" fontId="7" fillId="0" borderId="4" xfId="2" applyNumberFormat="1" applyFont="1" applyBorder="1"/>
    <xf numFmtId="38" fontId="7" fillId="0" borderId="1" xfId="2" applyNumberFormat="1" applyFont="1" applyBorder="1"/>
    <xf numFmtId="0" fontId="7" fillId="2" borderId="0" xfId="2" applyFont="1" applyFill="1" applyAlignment="1"/>
    <xf numFmtId="167" fontId="7" fillId="0" borderId="0" xfId="2" applyNumberFormat="1" applyFont="1" applyFill="1"/>
    <xf numFmtId="0" fontId="7" fillId="2" borderId="1" xfId="2" applyFont="1" applyFill="1" applyBorder="1"/>
    <xf numFmtId="3" fontId="7" fillId="0" borderId="0" xfId="2" quotePrefix="1" applyNumberFormat="1" applyFont="1" applyAlignment="1">
      <alignment horizontal="center"/>
    </xf>
    <xf numFmtId="3" fontId="7" fillId="0" borderId="0" xfId="2" quotePrefix="1" applyNumberFormat="1" applyFont="1" applyAlignment="1"/>
    <xf numFmtId="0" fontId="7" fillId="0" borderId="1" xfId="2" applyFont="1" applyBorder="1"/>
    <xf numFmtId="167" fontId="7" fillId="0" borderId="0" xfId="2" quotePrefix="1" applyNumberFormat="1" applyFont="1" applyFill="1"/>
    <xf numFmtId="0" fontId="7" fillId="0" borderId="0" xfId="2" applyFont="1" applyFill="1"/>
    <xf numFmtId="170" fontId="7" fillId="2" borderId="16" xfId="2" applyNumberFormat="1" applyFont="1" applyFill="1" applyBorder="1"/>
    <xf numFmtId="170" fontId="7" fillId="2" borderId="0" xfId="2" applyNumberFormat="1" applyFont="1" applyFill="1"/>
    <xf numFmtId="170" fontId="7" fillId="0" borderId="16" xfId="2" applyNumberFormat="1" applyFont="1" applyBorder="1"/>
    <xf numFmtId="170" fontId="7" fillId="0" borderId="0" xfId="2" applyNumberFormat="1" applyFont="1" applyFill="1"/>
    <xf numFmtId="43" fontId="7" fillId="0" borderId="0" xfId="3" quotePrefix="1" applyFont="1" applyFill="1"/>
    <xf numFmtId="170" fontId="7" fillId="2" borderId="0" xfId="2" applyNumberFormat="1" applyFont="1" applyFill="1" applyBorder="1"/>
    <xf numFmtId="170" fontId="7" fillId="0" borderId="0" xfId="2" applyNumberFormat="1" applyFont="1" applyBorder="1"/>
    <xf numFmtId="0" fontId="30" fillId="2" borderId="0" xfId="2" applyFont="1" applyFill="1"/>
    <xf numFmtId="0" fontId="14" fillId="0" borderId="4" xfId="2" applyFont="1" applyBorder="1" applyAlignment="1"/>
    <xf numFmtId="0" fontId="30" fillId="2" borderId="0" xfId="2" applyFont="1" applyFill="1" applyAlignment="1"/>
    <xf numFmtId="0" fontId="29" fillId="0" borderId="0" xfId="2" applyFont="1" applyBorder="1" applyAlignment="1">
      <alignment horizontal="center"/>
    </xf>
    <xf numFmtId="170" fontId="29" fillId="0" borderId="0" xfId="2" applyNumberFormat="1" applyFont="1" applyBorder="1"/>
    <xf numFmtId="0" fontId="14" fillId="0" borderId="0" xfId="2" applyFont="1" applyBorder="1" applyAlignment="1"/>
    <xf numFmtId="0" fontId="30" fillId="0" borderId="0" xfId="2" applyFont="1" applyFill="1"/>
    <xf numFmtId="0" fontId="6" fillId="0" borderId="0" xfId="2" applyFont="1" applyFill="1"/>
    <xf numFmtId="0" fontId="30" fillId="0" borderId="0" xfId="2" applyFont="1" applyFill="1" applyAlignment="1">
      <alignment vertical="top"/>
    </xf>
    <xf numFmtId="170" fontId="7" fillId="0" borderId="17" xfId="2" applyNumberFormat="1" applyFont="1" applyBorder="1"/>
    <xf numFmtId="0" fontId="30" fillId="0" borderId="0" xfId="2" applyFont="1" applyAlignment="1">
      <alignment vertical="top"/>
    </xf>
    <xf numFmtId="0" fontId="30" fillId="0" borderId="0" xfId="2" applyFont="1"/>
    <xf numFmtId="167" fontId="30" fillId="0" borderId="0" xfId="2" applyNumberFormat="1" applyFont="1"/>
    <xf numFmtId="4" fontId="7" fillId="0" borderId="0" xfId="2" applyNumberFormat="1" applyFont="1" applyAlignment="1">
      <alignment horizontal="left"/>
    </xf>
    <xf numFmtId="172" fontId="7" fillId="0" borderId="16" xfId="3" applyNumberFormat="1" applyFont="1" applyBorder="1"/>
    <xf numFmtId="0" fontId="31" fillId="0" borderId="0" xfId="2" applyFont="1" applyAlignment="1">
      <alignment vertical="top"/>
    </xf>
    <xf numFmtId="0" fontId="30" fillId="0" borderId="0" xfId="2" applyFont="1" applyAlignment="1"/>
    <xf numFmtId="173" fontId="7" fillId="0" borderId="0" xfId="2" applyNumberFormat="1" applyFont="1" applyAlignment="1">
      <alignment horizontal="left"/>
    </xf>
    <xf numFmtId="40" fontId="13" fillId="0" borderId="0" xfId="2" applyNumberFormat="1" applyFont="1" applyFill="1"/>
    <xf numFmtId="40" fontId="13" fillId="0" borderId="0" xfId="2" applyNumberFormat="1" applyFont="1" applyFill="1" applyBorder="1" applyAlignment="1"/>
    <xf numFmtId="0" fontId="31" fillId="0" borderId="0" xfId="2" applyFont="1" applyAlignment="1"/>
    <xf numFmtId="40" fontId="7" fillId="0" borderId="0" xfId="2" applyNumberFormat="1" applyFont="1" applyFill="1" applyBorder="1"/>
    <xf numFmtId="40" fontId="13" fillId="0" borderId="0" xfId="2" quotePrefix="1" applyNumberFormat="1" applyFont="1" applyFill="1" applyBorder="1"/>
    <xf numFmtId="0" fontId="21" fillId="0" borderId="0" xfId="2" applyFont="1"/>
    <xf numFmtId="40" fontId="13" fillId="0" borderId="0" xfId="2" applyNumberFormat="1" applyFont="1" applyFill="1" applyBorder="1"/>
    <xf numFmtId="174" fontId="13" fillId="0" borderId="0" xfId="2" applyNumberFormat="1" applyFont="1" applyFill="1" applyBorder="1"/>
    <xf numFmtId="37" fontId="6" fillId="0" borderId="0" xfId="2" applyNumberFormat="1"/>
    <xf numFmtId="0" fontId="5" fillId="0" borderId="0" xfId="7"/>
    <xf numFmtId="0" fontId="38" fillId="0" borderId="19" xfId="7" applyFont="1" applyBorder="1" applyAlignment="1">
      <alignment horizontal="right"/>
    </xf>
    <xf numFmtId="0" fontId="39" fillId="0" borderId="20" xfId="7" applyFont="1" applyFill="1" applyBorder="1"/>
    <xf numFmtId="0" fontId="10" fillId="0" borderId="0" xfId="7" applyFont="1" applyAlignment="1"/>
    <xf numFmtId="0" fontId="7" fillId="0" borderId="0" xfId="7" applyFont="1" applyAlignment="1"/>
    <xf numFmtId="0" fontId="37" fillId="0" borderId="0" xfId="7" applyFont="1" applyBorder="1" applyAlignment="1"/>
    <xf numFmtId="0" fontId="39" fillId="0" borderId="4" xfId="7" applyFont="1" applyFill="1" applyBorder="1" applyAlignment="1">
      <alignment horizontal="center"/>
    </xf>
    <xf numFmtId="0" fontId="37" fillId="0" borderId="19" xfId="7" applyFont="1" applyBorder="1"/>
    <xf numFmtId="0" fontId="37" fillId="0" borderId="20" xfId="7" applyFont="1" applyBorder="1" applyAlignment="1">
      <alignment horizontal="center"/>
    </xf>
    <xf numFmtId="0" fontId="37" fillId="0" borderId="11" xfId="7" applyFont="1" applyBorder="1"/>
    <xf numFmtId="176" fontId="37" fillId="0" borderId="12" xfId="8" applyNumberFormat="1" applyFont="1" applyBorder="1"/>
    <xf numFmtId="176" fontId="37" fillId="0" borderId="0" xfId="8" applyNumberFormat="1" applyFont="1" applyBorder="1"/>
    <xf numFmtId="0" fontId="5" fillId="0" borderId="11" xfId="7" applyBorder="1"/>
    <xf numFmtId="176" fontId="37" fillId="0" borderId="14" xfId="8" applyNumberFormat="1" applyFont="1" applyBorder="1"/>
    <xf numFmtId="0" fontId="37" fillId="0" borderId="5" xfId="7" applyFont="1" applyBorder="1"/>
    <xf numFmtId="176" fontId="37" fillId="0" borderId="1" xfId="8" applyNumberFormat="1" applyFont="1" applyBorder="1"/>
    <xf numFmtId="0" fontId="37" fillId="0" borderId="0" xfId="7" applyFont="1" applyBorder="1"/>
    <xf numFmtId="40" fontId="37" fillId="0" borderId="0" xfId="8" applyNumberFormat="1" applyFont="1" applyBorder="1"/>
    <xf numFmtId="44" fontId="37" fillId="0" borderId="0" xfId="8" applyNumberFormat="1" applyFont="1" applyBorder="1"/>
    <xf numFmtId="44" fontId="37" fillId="0" borderId="0" xfId="8" applyFont="1" applyBorder="1"/>
    <xf numFmtId="44" fontId="37" fillId="0" borderId="16" xfId="8" applyFont="1" applyBorder="1"/>
    <xf numFmtId="44" fontId="5" fillId="0" borderId="0" xfId="7" applyNumberFormat="1"/>
    <xf numFmtId="0" fontId="37" fillId="0" borderId="0" xfId="7" applyFont="1" applyFill="1" applyBorder="1"/>
    <xf numFmtId="43" fontId="39" fillId="0" borderId="4" xfId="9" applyFont="1" applyBorder="1"/>
    <xf numFmtId="9" fontId="0" fillId="0" borderId="4" xfId="10" applyFont="1" applyBorder="1"/>
    <xf numFmtId="43" fontId="0" fillId="0" borderId="4" xfId="9" applyFont="1" applyBorder="1"/>
    <xf numFmtId="44" fontId="5" fillId="0" borderId="4" xfId="7" applyNumberFormat="1" applyBorder="1"/>
    <xf numFmtId="0" fontId="37" fillId="0" borderId="0" xfId="7" applyFont="1"/>
    <xf numFmtId="44" fontId="5" fillId="0" borderId="17" xfId="7" applyNumberFormat="1" applyBorder="1"/>
    <xf numFmtId="0" fontId="40" fillId="0" borderId="0" xfId="0" applyFont="1"/>
    <xf numFmtId="0" fontId="41" fillId="0" borderId="0" xfId="0" applyFont="1"/>
    <xf numFmtId="0" fontId="42" fillId="0" borderId="0" xfId="0" applyFont="1"/>
    <xf numFmtId="0" fontId="40" fillId="0" borderId="0" xfId="0" applyFont="1" applyFill="1"/>
    <xf numFmtId="0" fontId="40" fillId="0" borderId="0" xfId="0" applyFont="1" applyAlignment="1">
      <alignment horizontal="center"/>
    </xf>
    <xf numFmtId="0" fontId="41" fillId="16" borderId="21" xfId="0" applyFont="1" applyFill="1" applyBorder="1" applyAlignment="1">
      <alignment horizontal="center"/>
    </xf>
    <xf numFmtId="0" fontId="41" fillId="16" borderId="21" xfId="0" applyFont="1" applyFill="1" applyBorder="1" applyAlignment="1">
      <alignment horizontal="center" wrapText="1"/>
    </xf>
    <xf numFmtId="0" fontId="43" fillId="0" borderId="21" xfId="0" applyFont="1" applyFill="1" applyBorder="1" applyAlignment="1">
      <alignment horizontal="center"/>
    </xf>
    <xf numFmtId="0" fontId="42" fillId="0" borderId="22" xfId="0" quotePrefix="1" applyNumberFormat="1" applyFont="1" applyFill="1" applyBorder="1" applyAlignment="1">
      <alignment horizontal="center"/>
    </xf>
    <xf numFmtId="0" fontId="42" fillId="0" borderId="22" xfId="0" quotePrefix="1" applyFont="1" applyFill="1" applyBorder="1" applyAlignment="1">
      <alignment horizontal="center"/>
    </xf>
    <xf numFmtId="43" fontId="10" fillId="0" borderId="22" xfId="0" applyNumberFormat="1" applyFont="1" applyFill="1" applyBorder="1"/>
    <xf numFmtId="0" fontId="0" fillId="0" borderId="0" xfId="0" applyFill="1"/>
    <xf numFmtId="0" fontId="42" fillId="0" borderId="21" xfId="0" quotePrefix="1" applyFont="1" applyFill="1" applyBorder="1" applyAlignment="1">
      <alignment horizontal="center"/>
    </xf>
    <xf numFmtId="0" fontId="42" fillId="0" borderId="22" xfId="0" applyFont="1" applyFill="1" applyBorder="1" applyAlignment="1">
      <alignment horizontal="center"/>
    </xf>
    <xf numFmtId="43" fontId="10" fillId="0" borderId="21" xfId="0" applyNumberFormat="1" applyFont="1" applyFill="1" applyBorder="1"/>
    <xf numFmtId="0" fontId="42" fillId="0" borderId="21" xfId="0" quotePrefix="1" applyNumberFormat="1" applyFont="1" applyFill="1" applyBorder="1" applyAlignment="1">
      <alignment horizontal="center"/>
    </xf>
    <xf numFmtId="0" fontId="42" fillId="0" borderId="21" xfId="0" applyFont="1" applyFill="1" applyBorder="1" applyAlignment="1">
      <alignment horizontal="center"/>
    </xf>
    <xf numFmtId="43" fontId="42" fillId="0" borderId="21" xfId="0" applyNumberFormat="1" applyFont="1" applyFill="1" applyBorder="1"/>
    <xf numFmtId="0" fontId="42" fillId="0" borderId="20" xfId="0" applyFont="1" applyFill="1" applyBorder="1" applyAlignment="1">
      <alignment horizontal="center"/>
    </xf>
    <xf numFmtId="0" fontId="42" fillId="0" borderId="13" xfId="0" applyFont="1" applyFill="1" applyBorder="1" applyAlignment="1">
      <alignment horizontal="center"/>
    </xf>
    <xf numFmtId="43" fontId="42" fillId="0" borderId="21" xfId="3" applyFont="1" applyFill="1" applyBorder="1"/>
    <xf numFmtId="43" fontId="10" fillId="0" borderId="21" xfId="3" applyFont="1" applyFill="1" applyBorder="1"/>
    <xf numFmtId="0" fontId="42" fillId="0" borderId="13" xfId="0" applyFont="1" applyFill="1" applyBorder="1" applyAlignment="1">
      <alignment horizontal="left"/>
    </xf>
    <xf numFmtId="0" fontId="43" fillId="0" borderId="0" xfId="0" applyFont="1" applyFill="1" applyBorder="1" applyAlignment="1">
      <alignment horizontal="center"/>
    </xf>
    <xf numFmtId="0" fontId="42" fillId="0" borderId="0" xfId="0" applyFont="1" applyFill="1" applyBorder="1" applyAlignment="1">
      <alignment horizontal="center"/>
    </xf>
    <xf numFmtId="0" fontId="40" fillId="0" borderId="0" xfId="0" applyFont="1" applyFill="1" applyBorder="1" applyAlignment="1">
      <alignment horizontal="center"/>
    </xf>
    <xf numFmtId="43" fontId="42" fillId="0" borderId="0" xfId="0" applyNumberFormat="1" applyFont="1" applyFill="1" applyBorder="1"/>
    <xf numFmtId="43" fontId="42" fillId="0" borderId="0" xfId="0" applyNumberFormat="1" applyFont="1"/>
    <xf numFmtId="172" fontId="0" fillId="0" borderId="0" xfId="3" applyNumberFormat="1" applyFont="1"/>
    <xf numFmtId="43" fontId="0" fillId="0" borderId="0" xfId="3" applyNumberFormat="1" applyFont="1"/>
    <xf numFmtId="0" fontId="34" fillId="0" borderId="0" xfId="0" applyFont="1"/>
    <xf numFmtId="0" fontId="35" fillId="0" borderId="0" xfId="0" applyFont="1"/>
    <xf numFmtId="175" fontId="36" fillId="0" borderId="0" xfId="0" applyNumberFormat="1" applyFont="1" applyFill="1"/>
    <xf numFmtId="49" fontId="36" fillId="0" borderId="0" xfId="0" applyNumberFormat="1" applyFont="1" applyFill="1"/>
    <xf numFmtId="175" fontId="36" fillId="0" borderId="0" xfId="0" quotePrefix="1" applyNumberFormat="1" applyFont="1" applyFill="1"/>
    <xf numFmtId="0" fontId="36" fillId="0" borderId="0" xfId="0" applyNumberFormat="1" applyFont="1" applyFill="1" applyAlignment="1">
      <alignment horizontal="left"/>
    </xf>
    <xf numFmtId="1" fontId="44" fillId="0" borderId="0" xfId="3" quotePrefix="1" applyNumberFormat="1" applyFont="1" applyAlignment="1">
      <alignment horizontal="left"/>
    </xf>
    <xf numFmtId="43" fontId="0" fillId="0" borderId="0" xfId="3" applyFont="1"/>
    <xf numFmtId="0" fontId="7" fillId="2" borderId="0" xfId="2" applyFont="1" applyFill="1" applyAlignment="1">
      <alignment horizontal="center"/>
    </xf>
    <xf numFmtId="4" fontId="7" fillId="2" borderId="0" xfId="2" applyNumberFormat="1" applyFont="1" applyFill="1" applyAlignment="1">
      <alignment horizontal="left" indent="2"/>
    </xf>
    <xf numFmtId="0" fontId="7" fillId="2" borderId="0" xfId="2" applyFont="1" applyFill="1" applyBorder="1" applyAlignment="1">
      <alignment horizontal="center"/>
    </xf>
    <xf numFmtId="0" fontId="7" fillId="2" borderId="0" xfId="2" applyFont="1" applyFill="1" applyBorder="1" applyAlignment="1">
      <alignment horizontal="left"/>
    </xf>
    <xf numFmtId="0" fontId="7" fillId="2" borderId="0" xfId="2" applyFont="1" applyFill="1" applyAlignment="1">
      <alignment horizontal="right"/>
    </xf>
    <xf numFmtId="166" fontId="7" fillId="2" borderId="0" xfId="6" applyFont="1" applyFill="1" applyBorder="1" applyAlignment="1">
      <alignment horizontal="right"/>
    </xf>
    <xf numFmtId="0" fontId="25" fillId="2" borderId="0" xfId="2" applyFont="1" applyFill="1" applyAlignment="1">
      <alignment horizontal="center"/>
    </xf>
    <xf numFmtId="0" fontId="7" fillId="0" borderId="0" xfId="2" applyFont="1" applyAlignment="1">
      <alignment horizontal="left"/>
    </xf>
    <xf numFmtId="0" fontId="5" fillId="0" borderId="0" xfId="7" applyBorder="1"/>
    <xf numFmtId="43" fontId="7" fillId="0" borderId="0" xfId="84" applyFont="1" applyFill="1"/>
    <xf numFmtId="44" fontId="7" fillId="0" borderId="0" xfId="2" applyNumberFormat="1" applyFont="1"/>
    <xf numFmtId="44" fontId="7" fillId="0" borderId="0" xfId="2" applyNumberFormat="1" applyFont="1" applyFill="1"/>
    <xf numFmtId="9" fontId="7" fillId="0" borderId="0" xfId="85" applyFont="1" applyFill="1"/>
    <xf numFmtId="0" fontId="40" fillId="0" borderId="0" xfId="0" applyFont="1" applyFill="1" applyBorder="1"/>
    <xf numFmtId="0" fontId="46" fillId="0" borderId="0" xfId="0" applyFont="1" applyFill="1" applyBorder="1" applyAlignment="1"/>
    <xf numFmtId="43" fontId="42" fillId="0" borderId="23" xfId="0" applyNumberFormat="1" applyFont="1" applyFill="1" applyBorder="1"/>
    <xf numFmtId="43" fontId="40" fillId="0" borderId="0" xfId="0" applyNumberFormat="1" applyFont="1"/>
    <xf numFmtId="0" fontId="9" fillId="0" borderId="0" xfId="2" applyFont="1" applyFill="1" applyBorder="1" applyAlignment="1"/>
    <xf numFmtId="0" fontId="10" fillId="0" borderId="0" xfId="2" applyFont="1" applyFill="1" applyAlignment="1">
      <alignment horizontal="center"/>
    </xf>
    <xf numFmtId="0" fontId="7" fillId="0" borderId="0" xfId="2" applyFont="1" applyFill="1" applyAlignment="1"/>
    <xf numFmtId="4" fontId="7" fillId="0" borderId="0" xfId="2" applyNumberFormat="1" applyFont="1" applyFill="1" applyAlignment="1"/>
    <xf numFmtId="0" fontId="13" fillId="0" borderId="0" xfId="2" applyFont="1" applyFill="1" applyAlignment="1"/>
    <xf numFmtId="0" fontId="14" fillId="0" borderId="0" xfId="2" applyFont="1" applyFill="1" applyAlignment="1">
      <alignment horizontal="center" wrapText="1"/>
    </xf>
    <xf numFmtId="0" fontId="7" fillId="0" borderId="4" xfId="2" quotePrefix="1" applyFont="1" applyFill="1" applyBorder="1" applyAlignment="1"/>
    <xf numFmtId="0" fontId="7" fillId="0" borderId="5" xfId="2" applyFont="1" applyFill="1" applyBorder="1" applyAlignment="1"/>
    <xf numFmtId="2" fontId="7" fillId="0" borderId="7" xfId="2" applyNumberFormat="1" applyFont="1" applyFill="1" applyBorder="1" applyAlignment="1"/>
    <xf numFmtId="0" fontId="14" fillId="0" borderId="1" xfId="2" applyFont="1" applyFill="1" applyBorder="1" applyAlignment="1">
      <alignment horizontal="center" wrapText="1"/>
    </xf>
    <xf numFmtId="0" fontId="20" fillId="0" borderId="0" xfId="2" applyFont="1" applyFill="1" applyAlignment="1"/>
    <xf numFmtId="0" fontId="21" fillId="0" borderId="0" xfId="2" applyFont="1" applyFill="1" applyAlignment="1"/>
    <xf numFmtId="0" fontId="22" fillId="0" borderId="0" xfId="2" applyFont="1" applyFill="1" applyAlignment="1"/>
    <xf numFmtId="0" fontId="23" fillId="0" borderId="0" xfId="2" applyFont="1" applyFill="1" applyAlignment="1"/>
    <xf numFmtId="0" fontId="24" fillId="0" borderId="0" xfId="2" applyFont="1" applyFill="1" applyAlignment="1"/>
    <xf numFmtId="0" fontId="7" fillId="0" borderId="0" xfId="2" applyFont="1" applyFill="1" applyBorder="1" applyAlignment="1"/>
    <xf numFmtId="0" fontId="25" fillId="0" borderId="0" xfId="2" applyFont="1" applyFill="1" applyAlignment="1">
      <alignment horizontal="center"/>
    </xf>
    <xf numFmtId="168" fontId="7" fillId="0" borderId="0" xfId="2" applyNumberFormat="1" applyFont="1" applyFill="1" applyBorder="1" applyAlignment="1">
      <alignment horizontal="center"/>
    </xf>
    <xf numFmtId="168" fontId="17" fillId="0" borderId="3" xfId="2" applyNumberFormat="1" applyFont="1" applyFill="1" applyBorder="1" applyAlignment="1">
      <alignment horizontal="center"/>
    </xf>
    <xf numFmtId="2" fontId="28" fillId="0" borderId="0" xfId="2" applyNumberFormat="1" applyFont="1" applyFill="1" applyBorder="1" applyAlignment="1"/>
    <xf numFmtId="4" fontId="7" fillId="0" borderId="0" xfId="2" applyNumberFormat="1" applyFont="1" applyFill="1" applyBorder="1" applyAlignment="1"/>
    <xf numFmtId="0" fontId="14" fillId="0" borderId="0" xfId="2" applyFont="1" applyFill="1" applyAlignment="1"/>
    <xf numFmtId="0" fontId="30" fillId="0" borderId="0" xfId="2" applyFont="1" applyFill="1" applyAlignment="1"/>
    <xf numFmtId="170" fontId="7" fillId="0" borderId="4" xfId="2" applyNumberFormat="1" applyFont="1" applyBorder="1"/>
    <xf numFmtId="170" fontId="7" fillId="0" borderId="0" xfId="2" applyNumberFormat="1" applyFont="1" applyBorder="1"/>
    <xf numFmtId="0" fontId="47" fillId="0" borderId="0" xfId="0" applyFont="1" applyFill="1" applyBorder="1" applyAlignment="1">
      <alignment horizontal="center"/>
    </xf>
    <xf numFmtId="0" fontId="48" fillId="2" borderId="9" xfId="0" applyFont="1" applyFill="1" applyBorder="1" applyAlignment="1">
      <alignment horizontal="left" vertical="top" wrapText="1"/>
    </xf>
    <xf numFmtId="0" fontId="48" fillId="2" borderId="5" xfId="0" applyFont="1" applyFill="1" applyBorder="1" applyAlignment="1">
      <alignment horizontal="left" vertical="top" wrapText="1"/>
    </xf>
    <xf numFmtId="0" fontId="48" fillId="2" borderId="10" xfId="0" applyFont="1" applyFill="1" applyBorder="1" applyAlignment="1">
      <alignment horizontal="left" vertical="top" wrapText="1"/>
    </xf>
    <xf numFmtId="0" fontId="48" fillId="2" borderId="11" xfId="0" applyFont="1" applyFill="1" applyBorder="1" applyAlignment="1">
      <alignment horizontal="left" vertical="top" wrapText="1"/>
    </xf>
    <xf numFmtId="0" fontId="48" fillId="2" borderId="0" xfId="0" applyFont="1" applyFill="1" applyBorder="1" applyAlignment="1">
      <alignment horizontal="left" vertical="top" wrapText="1"/>
    </xf>
    <xf numFmtId="0" fontId="48" fillId="2" borderId="12" xfId="0" applyFont="1" applyFill="1" applyBorder="1" applyAlignment="1">
      <alignment horizontal="left" vertical="top" wrapText="1"/>
    </xf>
    <xf numFmtId="0" fontId="48" fillId="2" borderId="25" xfId="0" applyFont="1" applyFill="1" applyBorder="1" applyAlignment="1">
      <alignment horizontal="left" vertical="top" wrapText="1"/>
    </xf>
    <xf numFmtId="0" fontId="48" fillId="2" borderId="15" xfId="0" applyFont="1" applyFill="1" applyBorder="1" applyAlignment="1">
      <alignment horizontal="left" vertical="top" wrapText="1"/>
    </xf>
    <xf numFmtId="0" fontId="48" fillId="2" borderId="26" xfId="0" applyFont="1" applyFill="1" applyBorder="1" applyAlignment="1">
      <alignment horizontal="left" vertical="top" wrapText="1"/>
    </xf>
    <xf numFmtId="0" fontId="48" fillId="2" borderId="27" xfId="0" applyFont="1" applyFill="1" applyBorder="1" applyAlignment="1">
      <alignment horizontal="left" vertical="top" wrapText="1"/>
    </xf>
    <xf numFmtId="0" fontId="48" fillId="2" borderId="24" xfId="0" applyFont="1" applyFill="1" applyBorder="1" applyAlignment="1">
      <alignment horizontal="left" vertical="top" wrapText="1"/>
    </xf>
    <xf numFmtId="0" fontId="48" fillId="2" borderId="28" xfId="0" applyFont="1" applyFill="1" applyBorder="1" applyAlignment="1">
      <alignment horizontal="left" vertical="top" wrapText="1"/>
    </xf>
    <xf numFmtId="0" fontId="48" fillId="2" borderId="13" xfId="0" applyFont="1" applyFill="1" applyBorder="1" applyAlignment="1">
      <alignment horizontal="left" vertical="top" wrapText="1"/>
    </xf>
    <xf numFmtId="0" fontId="48" fillId="2" borderId="4" xfId="0" applyFont="1" applyFill="1" applyBorder="1" applyAlignment="1">
      <alignment horizontal="left" vertical="top" wrapText="1"/>
    </xf>
    <xf numFmtId="0" fontId="48" fillId="2" borderId="14" xfId="0" applyFont="1" applyFill="1" applyBorder="1" applyAlignment="1">
      <alignment horizontal="left" vertical="top" wrapText="1"/>
    </xf>
    <xf numFmtId="0" fontId="7" fillId="0" borderId="0" xfId="2" applyFont="1" applyAlignment="1">
      <alignment horizontal="left"/>
    </xf>
    <xf numFmtId="0" fontId="7" fillId="2" borderId="0" xfId="2" applyFont="1" applyFill="1" applyAlignment="1">
      <alignment horizontal="left"/>
    </xf>
    <xf numFmtId="3" fontId="7" fillId="2" borderId="4" xfId="2" applyNumberFormat="1" applyFont="1" applyFill="1" applyBorder="1" applyAlignment="1">
      <alignment horizontal="right"/>
    </xf>
    <xf numFmtId="3" fontId="7" fillId="2" borderId="1" xfId="2" applyNumberFormat="1" applyFont="1" applyFill="1" applyBorder="1" applyAlignment="1">
      <alignment horizontal="right"/>
    </xf>
    <xf numFmtId="0" fontId="7" fillId="2" borderId="0" xfId="2" applyFont="1" applyFill="1" applyAlignment="1">
      <alignment horizontal="left" indent="3"/>
    </xf>
    <xf numFmtId="0" fontId="14" fillId="2" borderId="0" xfId="2" applyFont="1" applyFill="1" applyAlignment="1">
      <alignment horizontal="right"/>
    </xf>
    <xf numFmtId="0" fontId="7" fillId="2" borderId="0" xfId="2" applyFont="1" applyFill="1" applyAlignment="1">
      <alignment horizontal="left" indent="2"/>
    </xf>
    <xf numFmtId="38" fontId="7" fillId="2" borderId="1" xfId="2" applyNumberFormat="1" applyFont="1" applyFill="1" applyBorder="1" applyAlignment="1">
      <alignment horizontal="right"/>
    </xf>
    <xf numFmtId="0" fontId="7" fillId="2" borderId="0" xfId="2" applyFont="1" applyFill="1" applyBorder="1" applyAlignment="1">
      <alignment horizontal="left" indent="2"/>
    </xf>
    <xf numFmtId="0" fontId="7" fillId="2" borderId="0" xfId="2" applyFont="1" applyFill="1" applyBorder="1" applyAlignment="1">
      <alignment horizontal="left" indent="6"/>
    </xf>
    <xf numFmtId="3" fontId="7" fillId="2" borderId="0" xfId="2" applyNumberFormat="1" applyFont="1" applyFill="1" applyBorder="1" applyAlignment="1">
      <alignment horizontal="left"/>
    </xf>
    <xf numFmtId="0" fontId="7" fillId="2" borderId="0" xfId="2" applyFont="1" applyFill="1" applyAlignment="1">
      <alignment horizontal="left" indent="6"/>
    </xf>
    <xf numFmtId="167" fontId="7" fillId="2" borderId="0" xfId="2" applyNumberFormat="1" applyFont="1" applyFill="1" applyAlignment="1">
      <alignment horizontal="left"/>
    </xf>
    <xf numFmtId="4" fontId="25" fillId="2" borderId="0" xfId="2" applyNumberFormat="1" applyFont="1" applyFill="1" applyBorder="1" applyAlignment="1">
      <alignment horizontal="left" indent="2"/>
    </xf>
    <xf numFmtId="171" fontId="7" fillId="2" borderId="0" xfId="2" applyNumberFormat="1" applyFont="1" applyFill="1" applyAlignment="1">
      <alignment horizontal="left" indent="2"/>
    </xf>
    <xf numFmtId="0" fontId="7" fillId="2" borderId="0" xfId="2" applyFont="1" applyFill="1" applyBorder="1" applyAlignment="1">
      <alignment horizontal="left"/>
    </xf>
    <xf numFmtId="168" fontId="26" fillId="2" borderId="0" xfId="2" applyNumberFormat="1" applyFont="1" applyFill="1" applyBorder="1" applyAlignment="1">
      <alignment horizontal="center"/>
    </xf>
    <xf numFmtId="166" fontId="7" fillId="2" borderId="3" xfId="6" applyFont="1" applyFill="1" applyBorder="1" applyAlignment="1">
      <alignment horizontal="right"/>
    </xf>
    <xf numFmtId="166" fontId="7" fillId="2" borderId="0" xfId="6" applyFont="1" applyFill="1" applyBorder="1" applyAlignment="1">
      <alignment horizontal="right"/>
    </xf>
    <xf numFmtId="2" fontId="28" fillId="2" borderId="0" xfId="2" applyNumberFormat="1" applyFont="1" applyFill="1" applyBorder="1" applyAlignment="1">
      <alignment horizontal="left" indent="6"/>
    </xf>
    <xf numFmtId="0" fontId="23" fillId="2" borderId="0" xfId="2" applyFont="1" applyFill="1" applyAlignment="1">
      <alignment horizontal="left" indent="6"/>
    </xf>
    <xf numFmtId="0" fontId="20" fillId="2" borderId="0" xfId="2" applyFont="1" applyFill="1" applyAlignment="1">
      <alignment horizontal="left"/>
    </xf>
    <xf numFmtId="0" fontId="24" fillId="2" borderId="0" xfId="2" applyFont="1" applyFill="1" applyAlignment="1">
      <alignment horizontal="left"/>
    </xf>
    <xf numFmtId="0" fontId="7" fillId="2" borderId="0" xfId="2" applyFont="1" applyFill="1" applyBorder="1" applyAlignment="1">
      <alignment horizontal="right"/>
    </xf>
    <xf numFmtId="0" fontId="25" fillId="2" borderId="0" xfId="2" applyFont="1" applyFill="1" applyAlignment="1">
      <alignment horizontal="center"/>
    </xf>
    <xf numFmtId="4" fontId="25" fillId="2" borderId="0" xfId="2" applyNumberFormat="1" applyFont="1" applyFill="1" applyAlignment="1">
      <alignment horizontal="left"/>
    </xf>
    <xf numFmtId="0" fontId="21" fillId="2" borderId="0" xfId="2" applyFont="1" applyFill="1" applyAlignment="1">
      <alignment horizontal="center"/>
    </xf>
    <xf numFmtId="170" fontId="7" fillId="2" borderId="0" xfId="5" applyNumberFormat="1" applyFont="1" applyFill="1" applyBorder="1" applyAlignment="1">
      <alignment horizontal="left" indent="4"/>
    </xf>
    <xf numFmtId="0" fontId="7" fillId="2" borderId="0" xfId="2" applyFont="1" applyFill="1" applyAlignment="1">
      <alignment horizontal="left" indent="16"/>
    </xf>
    <xf numFmtId="0" fontId="22" fillId="2" borderId="0" xfId="2" applyFont="1" applyFill="1" applyAlignment="1">
      <alignment horizontal="center"/>
    </xf>
    <xf numFmtId="4" fontId="7" fillId="2" borderId="0" xfId="2" quotePrefix="1" applyNumberFormat="1" applyFont="1" applyFill="1" applyBorder="1" applyAlignment="1">
      <alignment horizontal="left" indent="7"/>
    </xf>
    <xf numFmtId="4" fontId="14" fillId="2" borderId="1" xfId="2" applyNumberFormat="1" applyFont="1" applyFill="1" applyBorder="1" applyAlignment="1">
      <alignment horizontal="center" vertical="center" wrapText="1"/>
    </xf>
    <xf numFmtId="4" fontId="14" fillId="2" borderId="6" xfId="2" applyNumberFormat="1" applyFont="1" applyFill="1" applyBorder="1" applyAlignment="1">
      <alignment horizontal="center" vertical="center" wrapText="1"/>
    </xf>
    <xf numFmtId="0" fontId="7" fillId="2" borderId="0" xfId="2" applyFont="1" applyFill="1" applyAlignment="1">
      <alignment horizontal="right"/>
    </xf>
    <xf numFmtId="2" fontId="7" fillId="2" borderId="7" xfId="2" applyNumberFormat="1" applyFont="1" applyFill="1" applyBorder="1" applyAlignment="1">
      <alignment horizontal="center"/>
    </xf>
    <xf numFmtId="2" fontId="8" fillId="2" borderId="1" xfId="2" applyNumberFormat="1" applyFont="1" applyFill="1" applyBorder="1" applyAlignment="1">
      <alignment horizontal="center"/>
    </xf>
    <xf numFmtId="0" fontId="13" fillId="0" borderId="9" xfId="2" applyFont="1" applyBorder="1" applyAlignment="1">
      <alignment horizontal="left" vertical="center" wrapText="1"/>
    </xf>
    <xf numFmtId="0" fontId="13" fillId="0" borderId="10" xfId="2" applyFont="1" applyBorder="1" applyAlignment="1">
      <alignment horizontal="left" vertical="center" wrapText="1"/>
    </xf>
    <xf numFmtId="0" fontId="13" fillId="0" borderId="11" xfId="2" applyFont="1" applyBorder="1" applyAlignment="1">
      <alignment horizontal="left" vertical="center" wrapText="1"/>
    </xf>
    <xf numFmtId="0" fontId="13" fillId="0" borderId="12" xfId="2" applyFont="1" applyBorder="1" applyAlignment="1">
      <alignment horizontal="left" vertical="center" wrapText="1"/>
    </xf>
    <xf numFmtId="0" fontId="13" fillId="0" borderId="13" xfId="2" applyFont="1" applyBorder="1" applyAlignment="1">
      <alignment horizontal="left" vertical="center" wrapText="1"/>
    </xf>
    <xf numFmtId="0" fontId="13" fillId="0" borderId="14" xfId="2" applyFont="1" applyBorder="1" applyAlignment="1">
      <alignment horizontal="left" vertical="center" wrapText="1"/>
    </xf>
    <xf numFmtId="0" fontId="13" fillId="2" borderId="0" xfId="2" applyFont="1" applyFill="1" applyBorder="1" applyAlignment="1">
      <alignment horizontal="left" vertical="center" wrapText="1" indent="6"/>
    </xf>
    <xf numFmtId="2" fontId="14" fillId="2" borderId="1" xfId="2" applyNumberFormat="1" applyFont="1" applyFill="1" applyBorder="1" applyAlignment="1">
      <alignment horizontal="center"/>
    </xf>
    <xf numFmtId="167" fontId="7" fillId="2" borderId="0" xfId="2" applyNumberFormat="1" applyFont="1" applyFill="1" applyAlignment="1">
      <alignment horizontal="center"/>
    </xf>
    <xf numFmtId="0" fontId="7" fillId="2" borderId="0" xfId="2" applyFont="1" applyFill="1" applyBorder="1" applyAlignment="1">
      <alignment horizontal="center"/>
    </xf>
    <xf numFmtId="2" fontId="7" fillId="2" borderId="0" xfId="2" applyNumberFormat="1" applyFont="1" applyFill="1" applyBorder="1" applyAlignment="1">
      <alignment horizontal="center"/>
    </xf>
    <xf numFmtId="2" fontId="7" fillId="2" borderId="8" xfId="2" applyNumberFormat="1" applyFont="1" applyFill="1" applyBorder="1" applyAlignment="1">
      <alignment horizontal="center"/>
    </xf>
    <xf numFmtId="0" fontId="7" fillId="2" borderId="4" xfId="2" quotePrefix="1" applyFont="1" applyFill="1" applyBorder="1" applyAlignment="1">
      <alignment horizontal="left" indent="2"/>
    </xf>
    <xf numFmtId="0" fontId="8" fillId="2" borderId="4" xfId="2" quotePrefix="1" applyFont="1" applyFill="1" applyBorder="1" applyAlignment="1">
      <alignment horizontal="center"/>
    </xf>
    <xf numFmtId="167" fontId="7" fillId="2" borderId="4" xfId="2" quotePrefix="1" applyNumberFormat="1" applyFont="1" applyFill="1" applyBorder="1" applyAlignment="1">
      <alignment horizontal="center"/>
    </xf>
    <xf numFmtId="0" fontId="7" fillId="2" borderId="5" xfId="2" applyFont="1" applyFill="1" applyBorder="1" applyAlignment="1">
      <alignment horizontal="left" indent="3"/>
    </xf>
    <xf numFmtId="167" fontId="7" fillId="2" borderId="5" xfId="2" applyNumberFormat="1" applyFont="1" applyFill="1" applyBorder="1" applyAlignment="1">
      <alignment horizontal="center"/>
    </xf>
    <xf numFmtId="0" fontId="13" fillId="2" borderId="0" xfId="2" applyFont="1" applyFill="1" applyAlignment="1">
      <alignment horizontal="center"/>
    </xf>
    <xf numFmtId="7" fontId="6" fillId="2" borderId="0" xfId="2" applyNumberFormat="1" applyFill="1" applyBorder="1" applyAlignment="1">
      <alignment horizontal="center"/>
    </xf>
    <xf numFmtId="0" fontId="13" fillId="2" borderId="0" xfId="2" applyFont="1" applyFill="1" applyAlignment="1">
      <alignment horizontal="left"/>
    </xf>
    <xf numFmtId="168" fontId="13" fillId="2" borderId="0" xfId="2" applyNumberFormat="1" applyFont="1" applyFill="1" applyAlignment="1">
      <alignment horizontal="left"/>
    </xf>
    <xf numFmtId="0" fontId="7" fillId="2" borderId="0" xfId="2" applyFont="1" applyFill="1" applyAlignment="1">
      <alignment horizontal="left" wrapText="1"/>
    </xf>
    <xf numFmtId="0" fontId="8" fillId="2" borderId="0" xfId="2" applyFont="1" applyFill="1" applyAlignment="1">
      <alignment horizontal="center" wrapText="1"/>
    </xf>
    <xf numFmtId="167" fontId="7" fillId="2" borderId="0" xfId="2" applyNumberFormat="1" applyFont="1" applyFill="1" applyAlignment="1">
      <alignment horizontal="center" wrapText="1"/>
    </xf>
    <xf numFmtId="0" fontId="9" fillId="2" borderId="3" xfId="2" applyFont="1" applyFill="1" applyBorder="1" applyAlignment="1">
      <alignment horizontal="left"/>
    </xf>
    <xf numFmtId="0" fontId="9" fillId="2" borderId="0" xfId="2" applyFont="1" applyFill="1" applyBorder="1" applyAlignment="1">
      <alignment horizontal="left"/>
    </xf>
    <xf numFmtId="0" fontId="9" fillId="2" borderId="0" xfId="2" applyFont="1" applyFill="1" applyAlignment="1">
      <alignment horizontal="left"/>
    </xf>
    <xf numFmtId="0" fontId="10" fillId="2" borderId="0" xfId="2" applyFont="1" applyFill="1" applyAlignment="1">
      <alignment horizontal="center"/>
    </xf>
    <xf numFmtId="0" fontId="7" fillId="2" borderId="0" xfId="2" applyFont="1" applyFill="1" applyAlignment="1">
      <alignment horizontal="center"/>
    </xf>
    <xf numFmtId="4" fontId="7" fillId="2" borderId="0" xfId="2" applyNumberFormat="1" applyFont="1" applyFill="1" applyAlignment="1">
      <alignment horizontal="left" indent="2"/>
    </xf>
    <xf numFmtId="4" fontId="12" fillId="2" borderId="0" xfId="2" applyNumberFormat="1" applyFont="1" applyFill="1" applyAlignment="1">
      <alignment horizontal="left"/>
    </xf>
    <xf numFmtId="4" fontId="7" fillId="2" borderId="0" xfId="2" applyNumberFormat="1" applyFont="1" applyFill="1" applyAlignment="1">
      <alignment horizontal="left"/>
    </xf>
    <xf numFmtId="0" fontId="11" fillId="0" borderId="0" xfId="7" applyFont="1" applyAlignment="1">
      <alignment horizontal="center"/>
    </xf>
    <xf numFmtId="0" fontId="7" fillId="0" borderId="0" xfId="7" applyFont="1" applyAlignment="1">
      <alignment horizontal="center"/>
    </xf>
  </cellXfs>
  <cellStyles count="400">
    <cellStyle name="20% - Accent1 2" xfId="11"/>
    <cellStyle name="20% - Accent1 2 2" xfId="12"/>
    <cellStyle name="20% - Accent1 2 2 2" xfId="13"/>
    <cellStyle name="20% - Accent1 2 2 2 2" xfId="94"/>
    <cellStyle name="20% - Accent1 2 2 2 2 2" xfId="328"/>
    <cellStyle name="20% - Accent1 2 2 2 3" xfId="172"/>
    <cellStyle name="20% - Accent1 2 2 2 4" xfId="250"/>
    <cellStyle name="20% - Accent1 2 2 3" xfId="93"/>
    <cellStyle name="20% - Accent1 2 2 3 2" xfId="327"/>
    <cellStyle name="20% - Accent1 2 2 4" xfId="171"/>
    <cellStyle name="20% - Accent1 2 2 5" xfId="249"/>
    <cellStyle name="20% - Accent1 2 3" xfId="14"/>
    <cellStyle name="20% - Accent1 2 3 2" xfId="95"/>
    <cellStyle name="20% - Accent1 2 3 2 2" xfId="329"/>
    <cellStyle name="20% - Accent1 2 3 3" xfId="173"/>
    <cellStyle name="20% - Accent1 2 3 4" xfId="251"/>
    <cellStyle name="20% - Accent1 2 4" xfId="92"/>
    <cellStyle name="20% - Accent1 2 4 2" xfId="326"/>
    <cellStyle name="20% - Accent1 2 5" xfId="170"/>
    <cellStyle name="20% - Accent1 2 6" xfId="248"/>
    <cellStyle name="20% - Accent2 2" xfId="15"/>
    <cellStyle name="20% - Accent2 2 2" xfId="16"/>
    <cellStyle name="20% - Accent2 2 2 2" xfId="17"/>
    <cellStyle name="20% - Accent2 2 2 2 2" xfId="98"/>
    <cellStyle name="20% - Accent2 2 2 2 2 2" xfId="332"/>
    <cellStyle name="20% - Accent2 2 2 2 3" xfId="176"/>
    <cellStyle name="20% - Accent2 2 2 2 4" xfId="254"/>
    <cellStyle name="20% - Accent2 2 2 3" xfId="97"/>
    <cellStyle name="20% - Accent2 2 2 3 2" xfId="331"/>
    <cellStyle name="20% - Accent2 2 2 4" xfId="175"/>
    <cellStyle name="20% - Accent2 2 2 5" xfId="253"/>
    <cellStyle name="20% - Accent2 2 3" xfId="18"/>
    <cellStyle name="20% - Accent2 2 3 2" xfId="99"/>
    <cellStyle name="20% - Accent2 2 3 2 2" xfId="333"/>
    <cellStyle name="20% - Accent2 2 3 3" xfId="177"/>
    <cellStyle name="20% - Accent2 2 3 4" xfId="255"/>
    <cellStyle name="20% - Accent2 2 4" xfId="96"/>
    <cellStyle name="20% - Accent2 2 4 2" xfId="330"/>
    <cellStyle name="20% - Accent2 2 5" xfId="174"/>
    <cellStyle name="20% - Accent2 2 6" xfId="252"/>
    <cellStyle name="20% - Accent3 2" xfId="19"/>
    <cellStyle name="20% - Accent3 2 2" xfId="20"/>
    <cellStyle name="20% - Accent3 2 2 2" xfId="21"/>
    <cellStyle name="20% - Accent3 2 2 2 2" xfId="102"/>
    <cellStyle name="20% - Accent3 2 2 2 2 2" xfId="336"/>
    <cellStyle name="20% - Accent3 2 2 2 3" xfId="180"/>
    <cellStyle name="20% - Accent3 2 2 2 4" xfId="258"/>
    <cellStyle name="20% - Accent3 2 2 3" xfId="101"/>
    <cellStyle name="20% - Accent3 2 2 3 2" xfId="335"/>
    <cellStyle name="20% - Accent3 2 2 4" xfId="179"/>
    <cellStyle name="20% - Accent3 2 2 5" xfId="257"/>
    <cellStyle name="20% - Accent3 2 3" xfId="22"/>
    <cellStyle name="20% - Accent3 2 3 2" xfId="103"/>
    <cellStyle name="20% - Accent3 2 3 2 2" xfId="337"/>
    <cellStyle name="20% - Accent3 2 3 3" xfId="181"/>
    <cellStyle name="20% - Accent3 2 3 4" xfId="259"/>
    <cellStyle name="20% - Accent3 2 4" xfId="100"/>
    <cellStyle name="20% - Accent3 2 4 2" xfId="334"/>
    <cellStyle name="20% - Accent3 2 5" xfId="178"/>
    <cellStyle name="20% - Accent3 2 6" xfId="256"/>
    <cellStyle name="20% - Accent4 2" xfId="23"/>
    <cellStyle name="20% - Accent4 2 2" xfId="24"/>
    <cellStyle name="20% - Accent4 2 2 2" xfId="25"/>
    <cellStyle name="20% - Accent4 2 2 2 2" xfId="106"/>
    <cellStyle name="20% - Accent4 2 2 2 2 2" xfId="340"/>
    <cellStyle name="20% - Accent4 2 2 2 3" xfId="184"/>
    <cellStyle name="20% - Accent4 2 2 2 4" xfId="262"/>
    <cellStyle name="20% - Accent4 2 2 3" xfId="105"/>
    <cellStyle name="20% - Accent4 2 2 3 2" xfId="339"/>
    <cellStyle name="20% - Accent4 2 2 4" xfId="183"/>
    <cellStyle name="20% - Accent4 2 2 5" xfId="261"/>
    <cellStyle name="20% - Accent4 2 3" xfId="26"/>
    <cellStyle name="20% - Accent4 2 3 2" xfId="107"/>
    <cellStyle name="20% - Accent4 2 3 2 2" xfId="341"/>
    <cellStyle name="20% - Accent4 2 3 3" xfId="185"/>
    <cellStyle name="20% - Accent4 2 3 4" xfId="263"/>
    <cellStyle name="20% - Accent4 2 4" xfId="104"/>
    <cellStyle name="20% - Accent4 2 4 2" xfId="338"/>
    <cellStyle name="20% - Accent4 2 5" xfId="182"/>
    <cellStyle name="20% - Accent4 2 6" xfId="260"/>
    <cellStyle name="20% - Accent5 2" xfId="27"/>
    <cellStyle name="20% - Accent5 2 2" xfId="28"/>
    <cellStyle name="20% - Accent5 2 2 2" xfId="29"/>
    <cellStyle name="20% - Accent5 2 2 2 2" xfId="110"/>
    <cellStyle name="20% - Accent5 2 2 2 2 2" xfId="344"/>
    <cellStyle name="20% - Accent5 2 2 2 3" xfId="188"/>
    <cellStyle name="20% - Accent5 2 2 2 4" xfId="266"/>
    <cellStyle name="20% - Accent5 2 2 3" xfId="109"/>
    <cellStyle name="20% - Accent5 2 2 3 2" xfId="343"/>
    <cellStyle name="20% - Accent5 2 2 4" xfId="187"/>
    <cellStyle name="20% - Accent5 2 2 5" xfId="265"/>
    <cellStyle name="20% - Accent5 2 3" xfId="30"/>
    <cellStyle name="20% - Accent5 2 3 2" xfId="111"/>
    <cellStyle name="20% - Accent5 2 3 2 2" xfId="345"/>
    <cellStyle name="20% - Accent5 2 3 3" xfId="189"/>
    <cellStyle name="20% - Accent5 2 3 4" xfId="267"/>
    <cellStyle name="20% - Accent5 2 4" xfId="108"/>
    <cellStyle name="20% - Accent5 2 4 2" xfId="342"/>
    <cellStyle name="20% - Accent5 2 5" xfId="186"/>
    <cellStyle name="20% - Accent5 2 6" xfId="264"/>
    <cellStyle name="20% - Accent6 2" xfId="31"/>
    <cellStyle name="20% - Accent6 2 2" xfId="32"/>
    <cellStyle name="20% - Accent6 2 2 2" xfId="33"/>
    <cellStyle name="20% - Accent6 2 2 2 2" xfId="114"/>
    <cellStyle name="20% - Accent6 2 2 2 2 2" xfId="348"/>
    <cellStyle name="20% - Accent6 2 2 2 3" xfId="192"/>
    <cellStyle name="20% - Accent6 2 2 2 4" xfId="270"/>
    <cellStyle name="20% - Accent6 2 2 3" xfId="113"/>
    <cellStyle name="20% - Accent6 2 2 3 2" xfId="347"/>
    <cellStyle name="20% - Accent6 2 2 4" xfId="191"/>
    <cellStyle name="20% - Accent6 2 2 5" xfId="269"/>
    <cellStyle name="20% - Accent6 2 3" xfId="34"/>
    <cellStyle name="20% - Accent6 2 3 2" xfId="115"/>
    <cellStyle name="20% - Accent6 2 3 2 2" xfId="349"/>
    <cellStyle name="20% - Accent6 2 3 3" xfId="193"/>
    <cellStyle name="20% - Accent6 2 3 4" xfId="271"/>
    <cellStyle name="20% - Accent6 2 4" xfId="112"/>
    <cellStyle name="20% - Accent6 2 4 2" xfId="346"/>
    <cellStyle name="20% - Accent6 2 5" xfId="190"/>
    <cellStyle name="20% - Accent6 2 6" xfId="268"/>
    <cellStyle name="40% - Accent1 2" xfId="35"/>
    <cellStyle name="40% - Accent1 2 2" xfId="36"/>
    <cellStyle name="40% - Accent1 2 2 2" xfId="37"/>
    <cellStyle name="40% - Accent1 2 2 2 2" xfId="118"/>
    <cellStyle name="40% - Accent1 2 2 2 2 2" xfId="352"/>
    <cellStyle name="40% - Accent1 2 2 2 3" xfId="196"/>
    <cellStyle name="40% - Accent1 2 2 2 4" xfId="274"/>
    <cellStyle name="40% - Accent1 2 2 3" xfId="117"/>
    <cellStyle name="40% - Accent1 2 2 3 2" xfId="351"/>
    <cellStyle name="40% - Accent1 2 2 4" xfId="195"/>
    <cellStyle name="40% - Accent1 2 2 5" xfId="273"/>
    <cellStyle name="40% - Accent1 2 3" xfId="38"/>
    <cellStyle name="40% - Accent1 2 3 2" xfId="119"/>
    <cellStyle name="40% - Accent1 2 3 2 2" xfId="353"/>
    <cellStyle name="40% - Accent1 2 3 3" xfId="197"/>
    <cellStyle name="40% - Accent1 2 3 4" xfId="275"/>
    <cellStyle name="40% - Accent1 2 4" xfId="116"/>
    <cellStyle name="40% - Accent1 2 4 2" xfId="350"/>
    <cellStyle name="40% - Accent1 2 5" xfId="194"/>
    <cellStyle name="40% - Accent1 2 6" xfId="272"/>
    <cellStyle name="40% - Accent2 2" xfId="39"/>
    <cellStyle name="40% - Accent2 2 2" xfId="40"/>
    <cellStyle name="40% - Accent2 2 2 2" xfId="41"/>
    <cellStyle name="40% - Accent2 2 2 2 2" xfId="122"/>
    <cellStyle name="40% - Accent2 2 2 2 2 2" xfId="356"/>
    <cellStyle name="40% - Accent2 2 2 2 3" xfId="200"/>
    <cellStyle name="40% - Accent2 2 2 2 4" xfId="278"/>
    <cellStyle name="40% - Accent2 2 2 3" xfId="121"/>
    <cellStyle name="40% - Accent2 2 2 3 2" xfId="355"/>
    <cellStyle name="40% - Accent2 2 2 4" xfId="199"/>
    <cellStyle name="40% - Accent2 2 2 5" xfId="277"/>
    <cellStyle name="40% - Accent2 2 3" xfId="42"/>
    <cellStyle name="40% - Accent2 2 3 2" xfId="123"/>
    <cellStyle name="40% - Accent2 2 3 2 2" xfId="357"/>
    <cellStyle name="40% - Accent2 2 3 3" xfId="201"/>
    <cellStyle name="40% - Accent2 2 3 4" xfId="279"/>
    <cellStyle name="40% - Accent2 2 4" xfId="120"/>
    <cellStyle name="40% - Accent2 2 4 2" xfId="354"/>
    <cellStyle name="40% - Accent2 2 5" xfId="198"/>
    <cellStyle name="40% - Accent2 2 6" xfId="276"/>
    <cellStyle name="40% - Accent3 2" xfId="43"/>
    <cellStyle name="40% - Accent3 2 2" xfId="44"/>
    <cellStyle name="40% - Accent3 2 2 2" xfId="45"/>
    <cellStyle name="40% - Accent3 2 2 2 2" xfId="126"/>
    <cellStyle name="40% - Accent3 2 2 2 2 2" xfId="360"/>
    <cellStyle name="40% - Accent3 2 2 2 3" xfId="204"/>
    <cellStyle name="40% - Accent3 2 2 2 4" xfId="282"/>
    <cellStyle name="40% - Accent3 2 2 3" xfId="125"/>
    <cellStyle name="40% - Accent3 2 2 3 2" xfId="359"/>
    <cellStyle name="40% - Accent3 2 2 4" xfId="203"/>
    <cellStyle name="40% - Accent3 2 2 5" xfId="281"/>
    <cellStyle name="40% - Accent3 2 3" xfId="46"/>
    <cellStyle name="40% - Accent3 2 3 2" xfId="127"/>
    <cellStyle name="40% - Accent3 2 3 2 2" xfId="361"/>
    <cellStyle name="40% - Accent3 2 3 3" xfId="205"/>
    <cellStyle name="40% - Accent3 2 3 4" xfId="283"/>
    <cellStyle name="40% - Accent3 2 4" xfId="124"/>
    <cellStyle name="40% - Accent3 2 4 2" xfId="358"/>
    <cellStyle name="40% - Accent3 2 5" xfId="202"/>
    <cellStyle name="40% - Accent3 2 6" xfId="280"/>
    <cellStyle name="40% - Accent4 2" xfId="47"/>
    <cellStyle name="40% - Accent4 2 2" xfId="48"/>
    <cellStyle name="40% - Accent4 2 2 2" xfId="49"/>
    <cellStyle name="40% - Accent4 2 2 2 2" xfId="130"/>
    <cellStyle name="40% - Accent4 2 2 2 2 2" xfId="364"/>
    <cellStyle name="40% - Accent4 2 2 2 3" xfId="208"/>
    <cellStyle name="40% - Accent4 2 2 2 4" xfId="286"/>
    <cellStyle name="40% - Accent4 2 2 3" xfId="129"/>
    <cellStyle name="40% - Accent4 2 2 3 2" xfId="363"/>
    <cellStyle name="40% - Accent4 2 2 4" xfId="207"/>
    <cellStyle name="40% - Accent4 2 2 5" xfId="285"/>
    <cellStyle name="40% - Accent4 2 3" xfId="50"/>
    <cellStyle name="40% - Accent4 2 3 2" xfId="131"/>
    <cellStyle name="40% - Accent4 2 3 2 2" xfId="365"/>
    <cellStyle name="40% - Accent4 2 3 3" xfId="209"/>
    <cellStyle name="40% - Accent4 2 3 4" xfId="287"/>
    <cellStyle name="40% - Accent4 2 4" xfId="128"/>
    <cellStyle name="40% - Accent4 2 4 2" xfId="362"/>
    <cellStyle name="40% - Accent4 2 5" xfId="206"/>
    <cellStyle name="40% - Accent4 2 6" xfId="284"/>
    <cellStyle name="40% - Accent5 2" xfId="51"/>
    <cellStyle name="40% - Accent5 2 2" xfId="52"/>
    <cellStyle name="40% - Accent5 2 2 2" xfId="53"/>
    <cellStyle name="40% - Accent5 2 2 2 2" xfId="134"/>
    <cellStyle name="40% - Accent5 2 2 2 2 2" xfId="368"/>
    <cellStyle name="40% - Accent5 2 2 2 3" xfId="212"/>
    <cellStyle name="40% - Accent5 2 2 2 4" xfId="290"/>
    <cellStyle name="40% - Accent5 2 2 3" xfId="133"/>
    <cellStyle name="40% - Accent5 2 2 3 2" xfId="367"/>
    <cellStyle name="40% - Accent5 2 2 4" xfId="211"/>
    <cellStyle name="40% - Accent5 2 2 5" xfId="289"/>
    <cellStyle name="40% - Accent5 2 3" xfId="54"/>
    <cellStyle name="40% - Accent5 2 3 2" xfId="135"/>
    <cellStyle name="40% - Accent5 2 3 2 2" xfId="369"/>
    <cellStyle name="40% - Accent5 2 3 3" xfId="213"/>
    <cellStyle name="40% - Accent5 2 3 4" xfId="291"/>
    <cellStyle name="40% - Accent5 2 4" xfId="132"/>
    <cellStyle name="40% - Accent5 2 4 2" xfId="366"/>
    <cellStyle name="40% - Accent5 2 5" xfId="210"/>
    <cellStyle name="40% - Accent5 2 6" xfId="288"/>
    <cellStyle name="40% - Accent6 2" xfId="55"/>
    <cellStyle name="40% - Accent6 2 2" xfId="56"/>
    <cellStyle name="40% - Accent6 2 2 2" xfId="57"/>
    <cellStyle name="40% - Accent6 2 2 2 2" xfId="138"/>
    <cellStyle name="40% - Accent6 2 2 2 2 2" xfId="372"/>
    <cellStyle name="40% - Accent6 2 2 2 3" xfId="216"/>
    <cellStyle name="40% - Accent6 2 2 2 4" xfId="294"/>
    <cellStyle name="40% - Accent6 2 2 3" xfId="137"/>
    <cellStyle name="40% - Accent6 2 2 3 2" xfId="371"/>
    <cellStyle name="40% - Accent6 2 2 4" xfId="215"/>
    <cellStyle name="40% - Accent6 2 2 5" xfId="293"/>
    <cellStyle name="40% - Accent6 2 3" xfId="58"/>
    <cellStyle name="40% - Accent6 2 3 2" xfId="139"/>
    <cellStyle name="40% - Accent6 2 3 2 2" xfId="373"/>
    <cellStyle name="40% - Accent6 2 3 3" xfId="217"/>
    <cellStyle name="40% - Accent6 2 3 4" xfId="295"/>
    <cellStyle name="40% - Accent6 2 4" xfId="136"/>
    <cellStyle name="40% - Accent6 2 4 2" xfId="370"/>
    <cellStyle name="40% - Accent6 2 5" xfId="214"/>
    <cellStyle name="40% - Accent6 2 6" xfId="292"/>
    <cellStyle name="Comma" xfId="84" builtinId="3"/>
    <cellStyle name="Comma 2" xfId="3"/>
    <cellStyle name="Comma 3" xfId="9"/>
    <cellStyle name="Comma 3 2" xfId="59"/>
    <cellStyle name="Comma 3 2 2" xfId="60"/>
    <cellStyle name="Comma 3 2 2 2" xfId="141"/>
    <cellStyle name="Comma 3 2 2 2 2" xfId="375"/>
    <cellStyle name="Comma 3 2 2 3" xfId="219"/>
    <cellStyle name="Comma 3 2 2 4" xfId="297"/>
    <cellStyle name="Comma 3 2 3" xfId="140"/>
    <cellStyle name="Comma 3 2 3 2" xfId="374"/>
    <cellStyle name="Comma 3 2 4" xfId="218"/>
    <cellStyle name="Comma 3 2 5" xfId="296"/>
    <cellStyle name="Comma 3 3" xfId="61"/>
    <cellStyle name="Comma 3 3 2" xfId="142"/>
    <cellStyle name="Comma 3 3 2 2" xfId="376"/>
    <cellStyle name="Comma 3 3 3" xfId="220"/>
    <cellStyle name="Comma 3 3 4" xfId="298"/>
    <cellStyle name="Comma 3 4" xfId="90"/>
    <cellStyle name="Comma 3 4 2" xfId="324"/>
    <cellStyle name="Comma 3 5" xfId="168"/>
    <cellStyle name="Comma 3 6" xfId="246"/>
    <cellStyle name="Comma_charter school revenue frame" xfId="6"/>
    <cellStyle name="Currency 2" xfId="8"/>
    <cellStyle name="Currency 2 2" xfId="62"/>
    <cellStyle name="Currency 2 2 2" xfId="63"/>
    <cellStyle name="Currency 2 2 2 2" xfId="144"/>
    <cellStyle name="Currency 2 2 2 2 2" xfId="378"/>
    <cellStyle name="Currency 2 2 2 3" xfId="222"/>
    <cellStyle name="Currency 2 2 2 4" xfId="300"/>
    <cellStyle name="Currency 2 2 3" xfId="143"/>
    <cellStyle name="Currency 2 2 3 2" xfId="377"/>
    <cellStyle name="Currency 2 2 4" xfId="221"/>
    <cellStyle name="Currency 2 2 5" xfId="299"/>
    <cellStyle name="Currency 2 3" xfId="64"/>
    <cellStyle name="Currency 2 3 2" xfId="145"/>
    <cellStyle name="Currency 2 3 2 2" xfId="379"/>
    <cellStyle name="Currency 2 3 3" xfId="223"/>
    <cellStyle name="Currency 2 3 4" xfId="301"/>
    <cellStyle name="Currency 2 4" xfId="89"/>
    <cellStyle name="Currency 2 4 2" xfId="323"/>
    <cellStyle name="Currency 2 5" xfId="167"/>
    <cellStyle name="Currency 2 6" xfId="245"/>
    <cellStyle name="Currency 3" xfId="65"/>
    <cellStyle name="Currency 4" xfId="87"/>
    <cellStyle name="Currency 4 2" xfId="165"/>
    <cellStyle name="Currency 4 2 2" xfId="399"/>
    <cellStyle name="Currency 4 3" xfId="243"/>
    <cellStyle name="Currency 4 4" xfId="321"/>
    <cellStyle name="Currency_charter school revenue frame" xfId="5"/>
    <cellStyle name="n_nvision1" xfId="1"/>
    <cellStyle name="Normal" xfId="0" builtinId="0"/>
    <cellStyle name="Normal 2" xfId="2"/>
    <cellStyle name="Normal 3" xfId="7"/>
    <cellStyle name="Normal 3 2" xfId="66"/>
    <cellStyle name="Normal 3 2 2" xfId="67"/>
    <cellStyle name="Normal 3 2 2 2" xfId="147"/>
    <cellStyle name="Normal 3 2 2 2 2" xfId="381"/>
    <cellStyle name="Normal 3 2 2 3" xfId="225"/>
    <cellStyle name="Normal 3 2 2 4" xfId="303"/>
    <cellStyle name="Normal 3 2 3" xfId="146"/>
    <cellStyle name="Normal 3 2 3 2" xfId="380"/>
    <cellStyle name="Normal 3 2 4" xfId="224"/>
    <cellStyle name="Normal 3 2 5" xfId="302"/>
    <cellStyle name="Normal 3 3" xfId="68"/>
    <cellStyle name="Normal 3 3 2" xfId="148"/>
    <cellStyle name="Normal 3 3 2 2" xfId="382"/>
    <cellStyle name="Normal 3 3 3" xfId="226"/>
    <cellStyle name="Normal 3 3 4" xfId="304"/>
    <cellStyle name="Normal 3 4" xfId="88"/>
    <cellStyle name="Normal 3 4 2" xfId="322"/>
    <cellStyle name="Normal 3 5" xfId="166"/>
    <cellStyle name="Normal 3 6" xfId="244"/>
    <cellStyle name="Normal 4" xfId="69"/>
    <cellStyle name="Normal 4 2" xfId="70"/>
    <cellStyle name="Normal 4 2 2" xfId="71"/>
    <cellStyle name="Normal 4 2 2 2" xfId="151"/>
    <cellStyle name="Normal 4 2 2 2 2" xfId="385"/>
    <cellStyle name="Normal 4 2 2 3" xfId="229"/>
    <cellStyle name="Normal 4 2 2 4" xfId="307"/>
    <cellStyle name="Normal 4 2 3" xfId="150"/>
    <cellStyle name="Normal 4 2 3 2" xfId="384"/>
    <cellStyle name="Normal 4 2 4" xfId="228"/>
    <cellStyle name="Normal 4 2 5" xfId="306"/>
    <cellStyle name="Normal 4 3" xfId="72"/>
    <cellStyle name="Normal 4 3 2" xfId="152"/>
    <cellStyle name="Normal 4 3 2 2" xfId="386"/>
    <cellStyle name="Normal 4 3 3" xfId="230"/>
    <cellStyle name="Normal 4 3 4" xfId="308"/>
    <cellStyle name="Normal 4 4" xfId="149"/>
    <cellStyle name="Normal 4 4 2" xfId="383"/>
    <cellStyle name="Normal 4 5" xfId="227"/>
    <cellStyle name="Normal 4 6" xfId="305"/>
    <cellStyle name="Normal 5" xfId="86"/>
    <cellStyle name="Normal 5 2" xfId="164"/>
    <cellStyle name="Normal 5 2 2" xfId="398"/>
    <cellStyle name="Normal 5 3" xfId="242"/>
    <cellStyle name="Normal 5 4" xfId="320"/>
    <cellStyle name="Note 2" xfId="73"/>
    <cellStyle name="Note 2 2" xfId="74"/>
    <cellStyle name="Note 2 2 2" xfId="75"/>
    <cellStyle name="Note 2 2 2 2" xfId="155"/>
    <cellStyle name="Note 2 2 2 2 2" xfId="389"/>
    <cellStyle name="Note 2 2 2 3" xfId="233"/>
    <cellStyle name="Note 2 2 2 4" xfId="311"/>
    <cellStyle name="Note 2 2 3" xfId="154"/>
    <cellStyle name="Note 2 2 3 2" xfId="388"/>
    <cellStyle name="Note 2 2 4" xfId="232"/>
    <cellStyle name="Note 2 2 5" xfId="310"/>
    <cellStyle name="Note 2 3" xfId="76"/>
    <cellStyle name="Note 2 3 2" xfId="156"/>
    <cellStyle name="Note 2 3 2 2" xfId="390"/>
    <cellStyle name="Note 2 3 3" xfId="234"/>
    <cellStyle name="Note 2 3 4" xfId="312"/>
    <cellStyle name="Note 2 4" xfId="153"/>
    <cellStyle name="Note 2 4 2" xfId="387"/>
    <cellStyle name="Note 2 5" xfId="231"/>
    <cellStyle name="Note 2 6" xfId="309"/>
    <cellStyle name="Note 3" xfId="77"/>
    <cellStyle name="Note 3 2" xfId="78"/>
    <cellStyle name="Note 3 2 2" xfId="79"/>
    <cellStyle name="Note 3 2 2 2" xfId="159"/>
    <cellStyle name="Note 3 2 2 2 2" xfId="393"/>
    <cellStyle name="Note 3 2 2 3" xfId="237"/>
    <cellStyle name="Note 3 2 2 4" xfId="315"/>
    <cellStyle name="Note 3 2 3" xfId="158"/>
    <cellStyle name="Note 3 2 3 2" xfId="392"/>
    <cellStyle name="Note 3 2 4" xfId="236"/>
    <cellStyle name="Note 3 2 5" xfId="314"/>
    <cellStyle name="Note 3 3" xfId="80"/>
    <cellStyle name="Note 3 3 2" xfId="160"/>
    <cellStyle name="Note 3 3 2 2" xfId="394"/>
    <cellStyle name="Note 3 3 3" xfId="238"/>
    <cellStyle name="Note 3 3 4" xfId="316"/>
    <cellStyle name="Note 3 4" xfId="157"/>
    <cellStyle name="Note 3 4 2" xfId="391"/>
    <cellStyle name="Note 3 5" xfId="235"/>
    <cellStyle name="Note 3 6" xfId="313"/>
    <cellStyle name="Percent" xfId="85" builtinId="5"/>
    <cellStyle name="Percent 2" xfId="4"/>
    <cellStyle name="Percent 3" xfId="10"/>
    <cellStyle name="Percent 3 2" xfId="81"/>
    <cellStyle name="Percent 3 2 2" xfId="82"/>
    <cellStyle name="Percent 3 2 2 2" xfId="162"/>
    <cellStyle name="Percent 3 2 2 2 2" xfId="396"/>
    <cellStyle name="Percent 3 2 2 3" xfId="240"/>
    <cellStyle name="Percent 3 2 2 4" xfId="318"/>
    <cellStyle name="Percent 3 2 3" xfId="161"/>
    <cellStyle name="Percent 3 2 3 2" xfId="395"/>
    <cellStyle name="Percent 3 2 4" xfId="239"/>
    <cellStyle name="Percent 3 2 5" xfId="317"/>
    <cellStyle name="Percent 3 3" xfId="83"/>
    <cellStyle name="Percent 3 3 2" xfId="163"/>
    <cellStyle name="Percent 3 3 2 2" xfId="397"/>
    <cellStyle name="Percent 3 3 3" xfId="241"/>
    <cellStyle name="Percent 3 3 4" xfId="319"/>
    <cellStyle name="Percent 3 4" xfId="91"/>
    <cellStyle name="Percent 3 4 2" xfId="325"/>
    <cellStyle name="Percent 3 5" xfId="169"/>
    <cellStyle name="Percent 3 6" xfId="24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86"/>
  <sheetViews>
    <sheetView tabSelected="1" zoomScale="75" zoomScaleNormal="75" workbookViewId="0">
      <pane xSplit="1" ySplit="3" topLeftCell="B4" activePane="bottomRight" state="frozen"/>
      <selection activeCell="D4" activeCellId="11" sqref="D64:D73 D57:D62 D54:D56 D46:D52 D43:D44 D30:D38 D26:D28 D24 D19:D20 D16:D17 D12 D4:D7"/>
      <selection pane="topRight" activeCell="D4" activeCellId="11" sqref="D64:D73 D57:D62 D54:D56 D46:D52 D43:D44 D30:D38 D26:D28 D24 D19:D20 D16:D17 D12 D4:D7"/>
      <selection pane="bottomLeft" activeCell="D4" activeCellId="11" sqref="D64:D73 D57:D62 D54:D56 D46:D52 D43:D44 D30:D38 D26:D28 D24 D19:D20 D16:D17 D12 D4:D7"/>
      <selection pane="bottomRight" activeCell="G15" sqref="G15:O20"/>
    </sheetView>
  </sheetViews>
  <sheetFormatPr defaultRowHeight="20.5" x14ac:dyDescent="0.45"/>
  <cols>
    <col min="1" max="1" width="3.54296875" style="257" bestFit="1" customWidth="1"/>
    <col min="2" max="2" width="18.6328125" style="257" customWidth="1"/>
    <col min="3" max="3" width="27.453125" style="257" bestFit="1" customWidth="1"/>
    <col min="4" max="4" width="21.453125" style="259" bestFit="1" customWidth="1"/>
    <col min="5" max="5" width="9.08984375" style="268"/>
    <col min="6" max="6" width="10.54296875" style="260" bestFit="1" customWidth="1"/>
    <col min="7" max="226" width="9.08984375" style="257"/>
    <col min="227" max="227" width="9.08984375" customWidth="1"/>
    <col min="228" max="16384" width="8.7265625" style="257"/>
  </cols>
  <sheetData>
    <row r="1" spans="1:227" ht="26.25" customHeight="1" x14ac:dyDescent="0.45">
      <c r="B1" s="258" t="s">
        <v>401</v>
      </c>
      <c r="E1" s="260"/>
    </row>
    <row r="2" spans="1:227" ht="15" customHeight="1" x14ac:dyDescent="0.45">
      <c r="E2" s="260"/>
    </row>
    <row r="3" spans="1:227" ht="40.5" customHeight="1" x14ac:dyDescent="0.4">
      <c r="A3" s="261"/>
      <c r="B3" s="262" t="s">
        <v>379</v>
      </c>
      <c r="C3" s="262" t="s">
        <v>380</v>
      </c>
      <c r="D3" s="263" t="s">
        <v>381</v>
      </c>
      <c r="E3" s="260"/>
    </row>
    <row r="4" spans="1:227" s="260" customFormat="1" x14ac:dyDescent="0.45">
      <c r="A4" s="264">
        <v>1</v>
      </c>
      <c r="B4" s="265" t="s">
        <v>199</v>
      </c>
      <c r="C4" s="266" t="s">
        <v>402</v>
      </c>
      <c r="D4" s="267">
        <v>56063</v>
      </c>
      <c r="HS4" s="268"/>
    </row>
    <row r="5" spans="1:227" s="260" customFormat="1" x14ac:dyDescent="0.45">
      <c r="A5" s="264">
        <v>2</v>
      </c>
      <c r="B5" s="269" t="s">
        <v>214</v>
      </c>
      <c r="C5" s="270" t="str">
        <f>+C4</f>
        <v>FTE Mar 14</v>
      </c>
      <c r="D5" s="271">
        <v>39795</v>
      </c>
      <c r="G5" s="309"/>
      <c r="H5" s="309"/>
      <c r="I5" s="309"/>
      <c r="J5" s="309"/>
      <c r="K5" s="309"/>
      <c r="L5" s="309"/>
      <c r="M5" s="309"/>
      <c r="N5" s="309"/>
      <c r="O5" s="309"/>
      <c r="HS5" s="268"/>
    </row>
    <row r="6" spans="1:227" s="260" customFormat="1" ht="20.25" customHeight="1" x14ac:dyDescent="0.45">
      <c r="A6" s="264">
        <v>3</v>
      </c>
      <c r="B6" s="272" t="s">
        <v>217</v>
      </c>
      <c r="C6" s="270" t="str">
        <f>+C5</f>
        <v>FTE Mar 14</v>
      </c>
      <c r="D6" s="271">
        <v>71143</v>
      </c>
      <c r="F6" s="308"/>
      <c r="G6" s="337" t="s">
        <v>407</v>
      </c>
      <c r="H6" s="337"/>
      <c r="I6" s="337"/>
      <c r="J6" s="337"/>
      <c r="K6" s="337"/>
      <c r="L6" s="337"/>
      <c r="M6" s="337"/>
      <c r="N6" s="337"/>
      <c r="O6" s="337"/>
      <c r="HS6" s="268"/>
    </row>
    <row r="7" spans="1:227" s="260" customFormat="1" x14ac:dyDescent="0.45">
      <c r="A7" s="264">
        <v>4</v>
      </c>
      <c r="B7" s="273">
        <v>1461</v>
      </c>
      <c r="C7" s="270" t="str">
        <f>+C5</f>
        <v>FTE Mar 14</v>
      </c>
      <c r="D7" s="271">
        <v>313120</v>
      </c>
      <c r="F7" s="308"/>
      <c r="G7" s="338" t="s">
        <v>408</v>
      </c>
      <c r="H7" s="339"/>
      <c r="I7" s="339"/>
      <c r="J7" s="339"/>
      <c r="K7" s="339"/>
      <c r="L7" s="339"/>
      <c r="M7" s="339"/>
      <c r="N7" s="339"/>
      <c r="O7" s="340"/>
      <c r="HS7" s="268"/>
    </row>
    <row r="8" spans="1:227" x14ac:dyDescent="0.45">
      <c r="A8" s="264"/>
      <c r="B8" s="273">
        <v>1462</v>
      </c>
      <c r="C8" s="270" t="s">
        <v>382</v>
      </c>
      <c r="D8" s="274">
        <v>20833.330000000002</v>
      </c>
      <c r="E8" s="260"/>
      <c r="F8" s="308"/>
      <c r="G8" s="341"/>
      <c r="H8" s="342"/>
      <c r="I8" s="342"/>
      <c r="J8" s="342"/>
      <c r="K8" s="342"/>
      <c r="L8" s="342"/>
      <c r="M8" s="342"/>
      <c r="N8" s="342"/>
      <c r="O8" s="343"/>
    </row>
    <row r="9" spans="1:227" x14ac:dyDescent="0.45">
      <c r="A9" s="264"/>
      <c r="B9" s="273">
        <v>9100</v>
      </c>
      <c r="C9" s="270" t="s">
        <v>383</v>
      </c>
      <c r="D9" s="274">
        <v>-6031.16</v>
      </c>
      <c r="E9" s="260"/>
      <c r="F9" s="308"/>
      <c r="G9" s="341"/>
      <c r="H9" s="342"/>
      <c r="I9" s="342"/>
      <c r="J9" s="342"/>
      <c r="K9" s="342"/>
      <c r="L9" s="342"/>
      <c r="M9" s="342"/>
      <c r="N9" s="342"/>
      <c r="O9" s="343"/>
    </row>
    <row r="10" spans="1:227" x14ac:dyDescent="0.45">
      <c r="A10" s="264"/>
      <c r="B10" s="273">
        <v>9100</v>
      </c>
      <c r="C10" s="270" t="s">
        <v>384</v>
      </c>
      <c r="D10" s="274">
        <v>-459.82</v>
      </c>
      <c r="E10" s="260"/>
      <c r="F10" s="308"/>
      <c r="G10" s="341"/>
      <c r="H10" s="342"/>
      <c r="I10" s="342"/>
      <c r="J10" s="342"/>
      <c r="K10" s="342"/>
      <c r="L10" s="342"/>
      <c r="M10" s="342"/>
      <c r="N10" s="342"/>
      <c r="O10" s="343"/>
    </row>
    <row r="11" spans="1:227" s="260" customFormat="1" x14ac:dyDescent="0.45">
      <c r="A11" s="264"/>
      <c r="B11" s="275">
        <v>9100</v>
      </c>
      <c r="C11" s="276" t="s">
        <v>385</v>
      </c>
      <c r="D11" s="274">
        <v>-119.47</v>
      </c>
      <c r="F11" s="308"/>
      <c r="G11" s="341"/>
      <c r="H11" s="342"/>
      <c r="I11" s="342"/>
      <c r="J11" s="342"/>
      <c r="K11" s="342"/>
      <c r="L11" s="342"/>
      <c r="M11" s="342"/>
      <c r="N11" s="342"/>
      <c r="O11" s="343"/>
      <c r="HS11" s="268"/>
    </row>
    <row r="12" spans="1:227" s="260" customFormat="1" x14ac:dyDescent="0.45">
      <c r="A12" s="264">
        <v>5</v>
      </c>
      <c r="B12" s="273">
        <v>1571</v>
      </c>
      <c r="C12" s="270" t="str">
        <f>+C7</f>
        <v>FTE Mar 14</v>
      </c>
      <c r="D12" s="271">
        <v>560658</v>
      </c>
      <c r="G12" s="341"/>
      <c r="H12" s="342"/>
      <c r="I12" s="342"/>
      <c r="J12" s="342"/>
      <c r="K12" s="342"/>
      <c r="L12" s="342"/>
      <c r="M12" s="342"/>
      <c r="N12" s="342"/>
      <c r="O12" s="343"/>
      <c r="HS12" s="268"/>
    </row>
    <row r="13" spans="1:227" s="260" customFormat="1" x14ac:dyDescent="0.45">
      <c r="A13" s="264"/>
      <c r="B13" s="273">
        <v>1571</v>
      </c>
      <c r="C13" s="270" t="s">
        <v>386</v>
      </c>
      <c r="D13" s="274">
        <v>53867.4</v>
      </c>
      <c r="G13" s="341"/>
      <c r="H13" s="342"/>
      <c r="I13" s="342"/>
      <c r="J13" s="342"/>
      <c r="K13" s="342"/>
      <c r="L13" s="342"/>
      <c r="M13" s="342"/>
      <c r="N13" s="342"/>
      <c r="O13" s="343"/>
      <c r="HS13" s="268"/>
    </row>
    <row r="14" spans="1:227" s="260" customFormat="1" ht="21" thickBot="1" x14ac:dyDescent="0.5">
      <c r="A14" s="264"/>
      <c r="B14" s="273">
        <v>1572</v>
      </c>
      <c r="C14" s="270" t="s">
        <v>387</v>
      </c>
      <c r="D14" s="274">
        <v>31250</v>
      </c>
      <c r="G14" s="344"/>
      <c r="H14" s="345"/>
      <c r="I14" s="345"/>
      <c r="J14" s="345"/>
      <c r="K14" s="345"/>
      <c r="L14" s="345"/>
      <c r="M14" s="345"/>
      <c r="N14" s="345"/>
      <c r="O14" s="346"/>
      <c r="HS14" s="268"/>
    </row>
    <row r="15" spans="1:227" s="260" customFormat="1" ht="20.5" customHeight="1" x14ac:dyDescent="0.45">
      <c r="A15" s="264"/>
      <c r="B15" s="273">
        <v>9100</v>
      </c>
      <c r="C15" s="270" t="s">
        <v>383</v>
      </c>
      <c r="D15" s="274">
        <v>-8603.25</v>
      </c>
      <c r="G15" s="347" t="s">
        <v>409</v>
      </c>
      <c r="H15" s="348"/>
      <c r="I15" s="348"/>
      <c r="J15" s="348"/>
      <c r="K15" s="348"/>
      <c r="L15" s="348"/>
      <c r="M15" s="348"/>
      <c r="N15" s="348"/>
      <c r="O15" s="349"/>
      <c r="HS15" s="268"/>
    </row>
    <row r="16" spans="1:227" s="260" customFormat="1" x14ac:dyDescent="0.45">
      <c r="A16" s="264">
        <v>6</v>
      </c>
      <c r="B16" s="273">
        <v>2521</v>
      </c>
      <c r="C16" s="270" t="str">
        <f>+C12</f>
        <v>FTE Mar 14</v>
      </c>
      <c r="D16" s="271">
        <v>127341</v>
      </c>
      <c r="G16" s="341"/>
      <c r="H16" s="342"/>
      <c r="I16" s="342"/>
      <c r="J16" s="342"/>
      <c r="K16" s="342"/>
      <c r="L16" s="342"/>
      <c r="M16" s="342"/>
      <c r="N16" s="342"/>
      <c r="O16" s="343"/>
      <c r="HS16" s="268"/>
    </row>
    <row r="17" spans="1:227" s="260" customFormat="1" x14ac:dyDescent="0.45">
      <c r="A17" s="264">
        <v>7</v>
      </c>
      <c r="B17" s="273">
        <v>2531</v>
      </c>
      <c r="C17" s="270" t="str">
        <f>+C16</f>
        <v>FTE Mar 14</v>
      </c>
      <c r="D17" s="271">
        <v>51777</v>
      </c>
      <c r="G17" s="341"/>
      <c r="H17" s="342"/>
      <c r="I17" s="342"/>
      <c r="J17" s="342"/>
      <c r="K17" s="342"/>
      <c r="L17" s="342"/>
      <c r="M17" s="342"/>
      <c r="N17" s="342"/>
      <c r="O17" s="343"/>
      <c r="HS17" s="268"/>
    </row>
    <row r="18" spans="1:227" s="260" customFormat="1" x14ac:dyDescent="0.45">
      <c r="A18" s="264"/>
      <c r="B18" s="273">
        <v>2531</v>
      </c>
      <c r="C18" s="270" t="s">
        <v>388</v>
      </c>
      <c r="D18" s="274">
        <v>-625</v>
      </c>
      <c r="G18" s="341"/>
      <c r="H18" s="342"/>
      <c r="I18" s="342"/>
      <c r="J18" s="342"/>
      <c r="K18" s="342"/>
      <c r="L18" s="342"/>
      <c r="M18" s="342"/>
      <c r="N18" s="342"/>
      <c r="O18" s="343"/>
      <c r="HS18" s="268"/>
    </row>
    <row r="19" spans="1:227" s="260" customFormat="1" x14ac:dyDescent="0.45">
      <c r="A19" s="264">
        <v>8</v>
      </c>
      <c r="B19" s="273">
        <v>2641</v>
      </c>
      <c r="C19" s="270" t="str">
        <f>+C17</f>
        <v>FTE Mar 14</v>
      </c>
      <c r="D19" s="271">
        <v>42956</v>
      </c>
      <c r="G19" s="341"/>
      <c r="H19" s="342"/>
      <c r="I19" s="342"/>
      <c r="J19" s="342"/>
      <c r="K19" s="342"/>
      <c r="L19" s="342"/>
      <c r="M19" s="342"/>
      <c r="N19" s="342"/>
      <c r="O19" s="343"/>
      <c r="HS19" s="268"/>
    </row>
    <row r="20" spans="1:227" s="260" customFormat="1" x14ac:dyDescent="0.45">
      <c r="A20" s="264">
        <v>9</v>
      </c>
      <c r="B20" s="273">
        <v>2661</v>
      </c>
      <c r="C20" s="270" t="str">
        <f>+C19</f>
        <v>FTE Mar 14</v>
      </c>
      <c r="D20" s="271">
        <v>68151</v>
      </c>
      <c r="G20" s="350"/>
      <c r="H20" s="351"/>
      <c r="I20" s="351"/>
      <c r="J20" s="351"/>
      <c r="K20" s="351"/>
      <c r="L20" s="351"/>
      <c r="M20" s="351"/>
      <c r="N20" s="351"/>
      <c r="O20" s="352"/>
      <c r="HS20" s="268"/>
    </row>
    <row r="21" spans="1:227" s="260" customFormat="1" x14ac:dyDescent="0.45">
      <c r="A21" s="264"/>
      <c r="B21" s="273">
        <v>9100</v>
      </c>
      <c r="C21" s="270" t="s">
        <v>389</v>
      </c>
      <c r="D21" s="274">
        <v>-5685</v>
      </c>
      <c r="HS21" s="268"/>
    </row>
    <row r="22" spans="1:227" s="260" customFormat="1" x14ac:dyDescent="0.45">
      <c r="A22" s="264"/>
      <c r="B22" s="275">
        <v>9100</v>
      </c>
      <c r="C22" s="276" t="s">
        <v>384</v>
      </c>
      <c r="D22" s="274">
        <v>-230.39</v>
      </c>
      <c r="HS22" s="268"/>
    </row>
    <row r="23" spans="1:227" s="260" customFormat="1" x14ac:dyDescent="0.45">
      <c r="A23" s="264"/>
      <c r="B23" s="275">
        <v>9100</v>
      </c>
      <c r="C23" s="276" t="s">
        <v>385</v>
      </c>
      <c r="D23" s="274">
        <v>-49.32</v>
      </c>
      <c r="HS23" s="268"/>
    </row>
    <row r="24" spans="1:227" s="260" customFormat="1" x14ac:dyDescent="0.45">
      <c r="A24" s="264">
        <v>10</v>
      </c>
      <c r="B24" s="273">
        <v>2791</v>
      </c>
      <c r="C24" s="270" t="str">
        <f>+C20</f>
        <v>FTE Mar 14</v>
      </c>
      <c r="D24" s="271">
        <v>206732</v>
      </c>
      <c r="HS24" s="268"/>
    </row>
    <row r="25" spans="1:227" s="260" customFormat="1" x14ac:dyDescent="0.45">
      <c r="A25" s="264"/>
      <c r="B25" s="273">
        <v>2791</v>
      </c>
      <c r="C25" s="270" t="s">
        <v>390</v>
      </c>
      <c r="D25" s="274">
        <v>-590</v>
      </c>
      <c r="HS25" s="268"/>
    </row>
    <row r="26" spans="1:227" s="260" customFormat="1" x14ac:dyDescent="0.45">
      <c r="A26" s="264">
        <v>11</v>
      </c>
      <c r="B26" s="273">
        <v>2801</v>
      </c>
      <c r="C26" s="270" t="str">
        <f>+C24</f>
        <v>FTE Mar 14</v>
      </c>
      <c r="D26" s="271">
        <v>518950</v>
      </c>
      <c r="HS26" s="268"/>
    </row>
    <row r="27" spans="1:227" s="260" customFormat="1" x14ac:dyDescent="0.45">
      <c r="A27" s="264">
        <v>12</v>
      </c>
      <c r="B27" s="273">
        <v>2911</v>
      </c>
      <c r="C27" s="270" t="str">
        <f>+C26</f>
        <v>FTE Mar 14</v>
      </c>
      <c r="D27" s="271">
        <v>207516</v>
      </c>
      <c r="HS27" s="268"/>
    </row>
    <row r="28" spans="1:227" s="260" customFormat="1" x14ac:dyDescent="0.45">
      <c r="A28" s="264">
        <v>13</v>
      </c>
      <c r="B28" s="273">
        <v>2941</v>
      </c>
      <c r="C28" s="270" t="str">
        <f>+C27</f>
        <v>FTE Mar 14</v>
      </c>
      <c r="D28" s="271">
        <v>502642</v>
      </c>
      <c r="HS28" s="268"/>
    </row>
    <row r="29" spans="1:227" s="260" customFormat="1" x14ac:dyDescent="0.45">
      <c r="A29" s="264"/>
      <c r="B29" s="273">
        <v>2941</v>
      </c>
      <c r="C29" s="270" t="s">
        <v>390</v>
      </c>
      <c r="D29" s="274">
        <v>-17965</v>
      </c>
      <c r="HS29" s="268"/>
    </row>
    <row r="30" spans="1:227" s="260" customFormat="1" x14ac:dyDescent="0.45">
      <c r="A30" s="264">
        <v>14</v>
      </c>
      <c r="B30" s="269">
        <v>3083</v>
      </c>
      <c r="C30" s="270" t="str">
        <f>+C28</f>
        <v>FTE Mar 14</v>
      </c>
      <c r="D30" s="271">
        <v>157338</v>
      </c>
      <c r="HS30" s="268"/>
    </row>
    <row r="31" spans="1:227" s="260" customFormat="1" x14ac:dyDescent="0.45">
      <c r="A31" s="264">
        <v>15</v>
      </c>
      <c r="B31" s="273">
        <v>3344</v>
      </c>
      <c r="C31" s="270" t="str">
        <f>+C30</f>
        <v>FTE Mar 14</v>
      </c>
      <c r="D31" s="271">
        <v>42927</v>
      </c>
      <c r="HS31" s="268"/>
    </row>
    <row r="32" spans="1:227" s="260" customFormat="1" x14ac:dyDescent="0.45">
      <c r="A32" s="264">
        <v>16</v>
      </c>
      <c r="B32" s="269">
        <v>3345</v>
      </c>
      <c r="C32" s="270" t="str">
        <f>+C31</f>
        <v>FTE Mar 14</v>
      </c>
      <c r="D32" s="271">
        <v>94958</v>
      </c>
      <c r="HS32" s="268"/>
    </row>
    <row r="33" spans="1:227" s="260" customFormat="1" x14ac:dyDescent="0.45">
      <c r="A33" s="264">
        <v>17</v>
      </c>
      <c r="B33" s="275">
        <v>3347</v>
      </c>
      <c r="C33" s="276" t="str">
        <f>+C32</f>
        <v>FTE Mar 14</v>
      </c>
      <c r="D33" s="271">
        <v>60831</v>
      </c>
      <c r="HS33" s="268"/>
    </row>
    <row r="34" spans="1:227" s="260" customFormat="1" x14ac:dyDescent="0.45">
      <c r="A34" s="264">
        <v>18</v>
      </c>
      <c r="B34" s="275">
        <v>3381</v>
      </c>
      <c r="C34" s="276" t="str">
        <f>+C19</f>
        <v>FTE Mar 14</v>
      </c>
      <c r="D34" s="271">
        <v>538069</v>
      </c>
      <c r="HS34" s="268"/>
    </row>
    <row r="35" spans="1:227" s="260" customFormat="1" x14ac:dyDescent="0.45">
      <c r="A35" s="264">
        <v>19</v>
      </c>
      <c r="B35" s="275">
        <v>3382</v>
      </c>
      <c r="C35" s="276" t="str">
        <f>+C34</f>
        <v>FTE Mar 14</v>
      </c>
      <c r="D35" s="271">
        <v>71134</v>
      </c>
      <c r="HS35" s="268"/>
    </row>
    <row r="36" spans="1:227" s="260" customFormat="1" x14ac:dyDescent="0.45">
      <c r="A36" s="264"/>
      <c r="B36" s="275">
        <v>9100</v>
      </c>
      <c r="C36" s="276" t="s">
        <v>405</v>
      </c>
      <c r="D36" s="274">
        <v>-5830</v>
      </c>
      <c r="HS36" s="268"/>
    </row>
    <row r="37" spans="1:227" s="260" customFormat="1" x14ac:dyDescent="0.45">
      <c r="A37" s="264">
        <v>20</v>
      </c>
      <c r="B37" s="275">
        <v>3384</v>
      </c>
      <c r="C37" s="276" t="str">
        <f>+C35</f>
        <v>FTE Mar 14</v>
      </c>
      <c r="D37" s="271">
        <v>15133</v>
      </c>
      <c r="HS37" s="268"/>
    </row>
    <row r="38" spans="1:227" s="260" customFormat="1" x14ac:dyDescent="0.45">
      <c r="A38" s="264"/>
      <c r="B38" s="275">
        <v>9100</v>
      </c>
      <c r="C38" s="276" t="s">
        <v>403</v>
      </c>
      <c r="D38" s="274">
        <v>-887.18</v>
      </c>
      <c r="HS38" s="268"/>
    </row>
    <row r="39" spans="1:227" s="260" customFormat="1" x14ac:dyDescent="0.45">
      <c r="A39" s="264">
        <v>21</v>
      </c>
      <c r="B39" s="273">
        <v>3385</v>
      </c>
      <c r="C39" s="270" t="str">
        <f>+C37</f>
        <v>FTE Mar 14</v>
      </c>
      <c r="D39" s="271">
        <v>440438</v>
      </c>
      <c r="HS39" s="268"/>
    </row>
    <row r="40" spans="1:227" s="260" customFormat="1" x14ac:dyDescent="0.45">
      <c r="A40" s="264">
        <v>22</v>
      </c>
      <c r="B40" s="273">
        <v>3386</v>
      </c>
      <c r="C40" s="270" t="str">
        <f>+C39</f>
        <v>FTE Mar 14</v>
      </c>
      <c r="D40" s="271">
        <v>106841</v>
      </c>
      <c r="HS40" s="268"/>
    </row>
    <row r="41" spans="1:227" s="260" customFormat="1" x14ac:dyDescent="0.45">
      <c r="A41" s="264"/>
      <c r="B41" s="273">
        <v>9100</v>
      </c>
      <c r="C41" s="270" t="s">
        <v>389</v>
      </c>
      <c r="D41" s="274">
        <v>-3823.75</v>
      </c>
      <c r="HS41" s="268"/>
    </row>
    <row r="42" spans="1:227" s="260" customFormat="1" x14ac:dyDescent="0.45">
      <c r="A42" s="264"/>
      <c r="B42" s="273">
        <v>9100</v>
      </c>
      <c r="C42" s="276" t="s">
        <v>384</v>
      </c>
      <c r="D42" s="277">
        <v>-91.36</v>
      </c>
      <c r="HS42" s="268"/>
    </row>
    <row r="43" spans="1:227" s="260" customFormat="1" x14ac:dyDescent="0.45">
      <c r="A43" s="264"/>
      <c r="B43" s="273">
        <v>9100</v>
      </c>
      <c r="C43" s="276" t="s">
        <v>385</v>
      </c>
      <c r="D43" s="277">
        <v>-19.73</v>
      </c>
      <c r="HS43" s="268"/>
    </row>
    <row r="44" spans="1:227" s="260" customFormat="1" x14ac:dyDescent="0.45">
      <c r="A44" s="264"/>
      <c r="B44" s="273">
        <v>3386</v>
      </c>
      <c r="C44" s="276" t="s">
        <v>388</v>
      </c>
      <c r="D44" s="277">
        <v>-2180</v>
      </c>
      <c r="HS44" s="268"/>
    </row>
    <row r="45" spans="1:227" s="260" customFormat="1" x14ac:dyDescent="0.45">
      <c r="A45" s="264">
        <v>23</v>
      </c>
      <c r="B45" s="273">
        <v>3391</v>
      </c>
      <c r="C45" s="270" t="str">
        <f>+C40</f>
        <v>FTE Mar 14</v>
      </c>
      <c r="D45" s="271">
        <v>53267</v>
      </c>
      <c r="HS45" s="268"/>
    </row>
    <row r="46" spans="1:227" s="260" customFormat="1" x14ac:dyDescent="0.45">
      <c r="A46" s="264">
        <v>24</v>
      </c>
      <c r="B46" s="273">
        <v>3392</v>
      </c>
      <c r="C46" s="270" t="str">
        <f>+C45</f>
        <v>FTE Mar 14</v>
      </c>
      <c r="D46" s="271">
        <v>375166</v>
      </c>
      <c r="HS46" s="268"/>
    </row>
    <row r="47" spans="1:227" s="260" customFormat="1" x14ac:dyDescent="0.45">
      <c r="A47" s="264"/>
      <c r="B47" s="273">
        <v>3392</v>
      </c>
      <c r="C47" s="276" t="s">
        <v>390</v>
      </c>
      <c r="D47" s="274">
        <v>-6515</v>
      </c>
      <c r="HS47" s="268"/>
    </row>
    <row r="48" spans="1:227" s="260" customFormat="1" x14ac:dyDescent="0.45">
      <c r="A48" s="264">
        <v>25</v>
      </c>
      <c r="B48" s="273">
        <v>3394</v>
      </c>
      <c r="C48" s="270" t="str">
        <f>+C46</f>
        <v>FTE Mar 14</v>
      </c>
      <c r="D48" s="271">
        <v>118478</v>
      </c>
      <c r="HS48" s="268"/>
    </row>
    <row r="49" spans="1:227" s="260" customFormat="1" x14ac:dyDescent="0.45">
      <c r="A49" s="264"/>
      <c r="B49" s="275">
        <v>9100</v>
      </c>
      <c r="C49" s="276" t="s">
        <v>404</v>
      </c>
      <c r="D49" s="274">
        <v>-135.88999999999999</v>
      </c>
      <c r="HS49" s="268"/>
    </row>
    <row r="50" spans="1:227" s="260" customFormat="1" x14ac:dyDescent="0.45">
      <c r="A50" s="264">
        <v>26</v>
      </c>
      <c r="B50" s="275">
        <v>3395</v>
      </c>
      <c r="C50" s="276" t="str">
        <f>+C45</f>
        <v>FTE Mar 14</v>
      </c>
      <c r="D50" s="271">
        <v>289194</v>
      </c>
      <c r="HS50" s="268"/>
    </row>
    <row r="51" spans="1:227" s="260" customFormat="1" x14ac:dyDescent="0.45">
      <c r="A51" s="264">
        <v>27</v>
      </c>
      <c r="B51" s="275">
        <v>3396</v>
      </c>
      <c r="C51" s="276" t="str">
        <f>+C50</f>
        <v>FTE Mar 14</v>
      </c>
      <c r="D51" s="271">
        <v>527742</v>
      </c>
      <c r="HS51" s="268"/>
    </row>
    <row r="52" spans="1:227" s="260" customFormat="1" x14ac:dyDescent="0.45">
      <c r="A52" s="264">
        <v>28</v>
      </c>
      <c r="B52" s="275">
        <v>3398</v>
      </c>
      <c r="C52" s="276" t="str">
        <f>+C51</f>
        <v>FTE Mar 14</v>
      </c>
      <c r="D52" s="271">
        <v>40225</v>
      </c>
      <c r="HS52" s="268"/>
    </row>
    <row r="53" spans="1:227" s="260" customFormat="1" x14ac:dyDescent="0.45">
      <c r="A53" s="264"/>
      <c r="B53" s="275">
        <v>9100</v>
      </c>
      <c r="C53" s="276" t="s">
        <v>406</v>
      </c>
      <c r="D53" s="274">
        <v>-2145</v>
      </c>
      <c r="HS53" s="268"/>
    </row>
    <row r="54" spans="1:227" s="260" customFormat="1" x14ac:dyDescent="0.45">
      <c r="A54" s="264">
        <v>29</v>
      </c>
      <c r="B54" s="275">
        <v>3400</v>
      </c>
      <c r="C54" s="276" t="str">
        <f>+C52</f>
        <v>FTE Mar 14</v>
      </c>
      <c r="D54" s="271">
        <v>101848</v>
      </c>
      <c r="HS54" s="268"/>
    </row>
    <row r="55" spans="1:227" s="260" customFormat="1" x14ac:dyDescent="0.45">
      <c r="A55" s="264">
        <v>30</v>
      </c>
      <c r="B55" s="273">
        <v>3401</v>
      </c>
      <c r="C55" s="276" t="str">
        <f>+C54</f>
        <v>FTE Mar 14</v>
      </c>
      <c r="D55" s="278">
        <v>231117</v>
      </c>
      <c r="HS55" s="268"/>
    </row>
    <row r="56" spans="1:227" s="260" customFormat="1" x14ac:dyDescent="0.45">
      <c r="A56" s="264">
        <v>31</v>
      </c>
      <c r="B56" s="273">
        <v>3411</v>
      </c>
      <c r="C56" s="276" t="str">
        <f>+C55</f>
        <v>FTE Mar 14</v>
      </c>
      <c r="D56" s="278">
        <v>0</v>
      </c>
      <c r="HS56" s="268"/>
    </row>
    <row r="57" spans="1:227" s="260" customFormat="1" x14ac:dyDescent="0.45">
      <c r="A57" s="264"/>
      <c r="B57" s="273">
        <v>9100</v>
      </c>
      <c r="C57" s="279" t="s">
        <v>391</v>
      </c>
      <c r="D57" s="278">
        <v>0</v>
      </c>
      <c r="HS57" s="268"/>
    </row>
    <row r="58" spans="1:227" s="260" customFormat="1" x14ac:dyDescent="0.45">
      <c r="A58" s="264">
        <v>32</v>
      </c>
      <c r="B58" s="273">
        <v>3413</v>
      </c>
      <c r="C58" s="276" t="str">
        <f>+C55</f>
        <v>FTE Mar 14</v>
      </c>
      <c r="D58" s="278">
        <v>181142</v>
      </c>
      <c r="HS58" s="268"/>
    </row>
    <row r="59" spans="1:227" s="260" customFormat="1" x14ac:dyDescent="0.45">
      <c r="A59" s="264">
        <v>33</v>
      </c>
      <c r="B59" s="273">
        <v>3421</v>
      </c>
      <c r="C59" s="276" t="str">
        <f>+C58</f>
        <v>FTE Mar 14</v>
      </c>
      <c r="D59" s="278">
        <v>177241</v>
      </c>
      <c r="HS59" s="268"/>
    </row>
    <row r="60" spans="1:227" s="260" customFormat="1" x14ac:dyDescent="0.45">
      <c r="A60" s="264">
        <v>34</v>
      </c>
      <c r="B60" s="273">
        <v>3431</v>
      </c>
      <c r="C60" s="276" t="str">
        <f>+C59</f>
        <v>FTE Mar 14</v>
      </c>
      <c r="D60" s="278">
        <v>422771</v>
      </c>
      <c r="HS60" s="268"/>
    </row>
    <row r="61" spans="1:227" s="260" customFormat="1" x14ac:dyDescent="0.45">
      <c r="A61" s="264">
        <v>35</v>
      </c>
      <c r="B61" s="273">
        <v>3441</v>
      </c>
      <c r="C61" s="276" t="str">
        <f>+C58</f>
        <v>FTE Mar 14</v>
      </c>
      <c r="D61" s="278">
        <v>37572</v>
      </c>
      <c r="HS61" s="268"/>
    </row>
    <row r="62" spans="1:227" s="260" customFormat="1" x14ac:dyDescent="0.45">
      <c r="A62" s="264">
        <v>36</v>
      </c>
      <c r="B62" s="273">
        <v>3443</v>
      </c>
      <c r="C62" s="276" t="str">
        <f>+C54</f>
        <v>FTE Mar 14</v>
      </c>
      <c r="D62" s="271">
        <v>89776</v>
      </c>
      <c r="HS62" s="268"/>
    </row>
    <row r="63" spans="1:227" s="260" customFormat="1" x14ac:dyDescent="0.45">
      <c r="A63" s="264">
        <v>37</v>
      </c>
      <c r="B63" s="273">
        <v>3941</v>
      </c>
      <c r="C63" s="276" t="str">
        <f>+C62</f>
        <v>FTE Mar 14</v>
      </c>
      <c r="D63" s="271">
        <v>157716</v>
      </c>
      <c r="HS63" s="268"/>
    </row>
    <row r="64" spans="1:227" s="260" customFormat="1" x14ac:dyDescent="0.45">
      <c r="A64" s="264">
        <v>38</v>
      </c>
      <c r="B64" s="273">
        <v>3961</v>
      </c>
      <c r="C64" s="276" t="str">
        <f>+C63</f>
        <v>FTE Mar 14</v>
      </c>
      <c r="D64" s="271">
        <v>126463</v>
      </c>
      <c r="HS64" s="268"/>
    </row>
    <row r="65" spans="1:227" s="260" customFormat="1" x14ac:dyDescent="0.45">
      <c r="A65" s="264">
        <v>39</v>
      </c>
      <c r="B65" s="273">
        <v>3971</v>
      </c>
      <c r="C65" s="273" t="str">
        <f>+C64</f>
        <v>FTE Mar 14</v>
      </c>
      <c r="D65" s="271">
        <v>290530</v>
      </c>
      <c r="HS65" s="268"/>
    </row>
    <row r="66" spans="1:227" s="260" customFormat="1" x14ac:dyDescent="0.45">
      <c r="A66" s="280"/>
      <c r="B66" s="281">
        <v>3971</v>
      </c>
      <c r="C66" s="273" t="s">
        <v>388</v>
      </c>
      <c r="D66" s="310">
        <v>-28250</v>
      </c>
      <c r="HS66" s="268"/>
    </row>
    <row r="67" spans="1:227" s="260" customFormat="1" x14ac:dyDescent="0.45">
      <c r="A67" s="264">
        <v>40</v>
      </c>
      <c r="B67" s="273">
        <v>4000</v>
      </c>
      <c r="C67" s="273" t="str">
        <f>+C65</f>
        <v>FTE Mar 14</v>
      </c>
      <c r="D67" s="271">
        <v>360905</v>
      </c>
      <c r="HS67" s="268"/>
    </row>
    <row r="68" spans="1:227" s="260" customFormat="1" x14ac:dyDescent="0.45">
      <c r="A68" s="264">
        <v>41</v>
      </c>
      <c r="B68" s="273">
        <v>4002</v>
      </c>
      <c r="C68" s="273" t="str">
        <f t="shared" ref="C68:C75" si="0">+C67</f>
        <v>FTE Mar 14</v>
      </c>
      <c r="D68" s="271">
        <v>315544</v>
      </c>
      <c r="HS68" s="268"/>
    </row>
    <row r="69" spans="1:227" s="260" customFormat="1" x14ac:dyDescent="0.45">
      <c r="A69" s="264">
        <v>42</v>
      </c>
      <c r="B69" s="273">
        <v>4010</v>
      </c>
      <c r="C69" s="273" t="str">
        <f t="shared" si="0"/>
        <v>FTE Mar 14</v>
      </c>
      <c r="D69" s="271">
        <v>64983</v>
      </c>
      <c r="HS69" s="268"/>
    </row>
    <row r="70" spans="1:227" s="260" customFormat="1" x14ac:dyDescent="0.45">
      <c r="A70" s="264">
        <v>43</v>
      </c>
      <c r="B70" s="273">
        <v>4012</v>
      </c>
      <c r="C70" s="273" t="str">
        <f t="shared" si="0"/>
        <v>FTE Mar 14</v>
      </c>
      <c r="D70" s="271">
        <v>260983</v>
      </c>
      <c r="HS70" s="268"/>
    </row>
    <row r="71" spans="1:227" s="260" customFormat="1" x14ac:dyDescent="0.45">
      <c r="A71" s="264">
        <v>44</v>
      </c>
      <c r="B71" s="273">
        <v>4013</v>
      </c>
      <c r="C71" s="273" t="str">
        <f t="shared" si="0"/>
        <v>FTE Mar 14</v>
      </c>
      <c r="D71" s="271">
        <v>51057</v>
      </c>
      <c r="HS71" s="268"/>
    </row>
    <row r="72" spans="1:227" s="260" customFormat="1" x14ac:dyDescent="0.45">
      <c r="A72" s="264">
        <v>45</v>
      </c>
      <c r="B72" s="273">
        <v>4020</v>
      </c>
      <c r="C72" s="273" t="str">
        <f t="shared" si="0"/>
        <v>FTE Mar 14</v>
      </c>
      <c r="D72" s="271">
        <v>633919</v>
      </c>
      <c r="HS72" s="268"/>
    </row>
    <row r="73" spans="1:227" s="260" customFormat="1" x14ac:dyDescent="0.45">
      <c r="A73" s="264">
        <v>46</v>
      </c>
      <c r="B73" s="273">
        <v>4037</v>
      </c>
      <c r="C73" s="273" t="str">
        <f t="shared" si="0"/>
        <v>FTE Mar 14</v>
      </c>
      <c r="D73" s="271">
        <v>105481</v>
      </c>
      <c r="HS73" s="268"/>
    </row>
    <row r="74" spans="1:227" s="260" customFormat="1" x14ac:dyDescent="0.45">
      <c r="A74" s="264">
        <v>47</v>
      </c>
      <c r="B74" s="273">
        <v>4040</v>
      </c>
      <c r="C74" s="273" t="str">
        <f t="shared" si="0"/>
        <v>FTE Mar 14</v>
      </c>
      <c r="D74" s="271">
        <v>39644</v>
      </c>
      <c r="HS74" s="268"/>
    </row>
    <row r="75" spans="1:227" s="260" customFormat="1" x14ac:dyDescent="0.45">
      <c r="A75" s="264">
        <v>48</v>
      </c>
      <c r="B75" s="273">
        <v>4041</v>
      </c>
      <c r="C75" s="273" t="str">
        <f t="shared" si="0"/>
        <v>FTE Mar 14</v>
      </c>
      <c r="D75" s="271">
        <v>14211</v>
      </c>
      <c r="HS75" s="268"/>
    </row>
    <row r="76" spans="1:227" s="260" customFormat="1" x14ac:dyDescent="0.45">
      <c r="A76" s="264">
        <v>49</v>
      </c>
      <c r="B76" s="281"/>
      <c r="C76" s="281"/>
      <c r="D76" s="283"/>
      <c r="HS76" s="268"/>
    </row>
    <row r="77" spans="1:227" s="260" customFormat="1" x14ac:dyDescent="0.45">
      <c r="A77" s="282"/>
      <c r="B77" s="257"/>
      <c r="C77" s="257"/>
      <c r="D77" s="284"/>
      <c r="HS77" s="268"/>
    </row>
    <row r="78" spans="1:227" ht="20" x14ac:dyDescent="0.4">
      <c r="D78" s="311"/>
      <c r="E78" s="260"/>
      <c r="HS78" s="257"/>
    </row>
    <row r="79" spans="1:227" x14ac:dyDescent="0.45">
      <c r="D79" s="284"/>
      <c r="E79" s="260"/>
      <c r="HS79" s="257"/>
    </row>
    <row r="80" spans="1:227" x14ac:dyDescent="0.45">
      <c r="D80" s="284"/>
      <c r="E80" s="260"/>
    </row>
    <row r="81" spans="4:227" x14ac:dyDescent="0.45">
      <c r="E81" s="260"/>
    </row>
    <row r="82" spans="4:227" ht="20" x14ac:dyDescent="0.4">
      <c r="D82" s="257"/>
      <c r="E82" s="260"/>
    </row>
    <row r="83" spans="4:227" ht="20" x14ac:dyDescent="0.4">
      <c r="D83" s="257"/>
      <c r="E83" s="260"/>
      <c r="F83" s="257"/>
      <c r="HS83" s="257"/>
    </row>
    <row r="84" spans="4:227" ht="20" x14ac:dyDescent="0.4">
      <c r="D84" s="257"/>
      <c r="E84" s="260"/>
      <c r="F84" s="257"/>
      <c r="HS84" s="257"/>
    </row>
    <row r="85" spans="4:227" ht="20" x14ac:dyDescent="0.4">
      <c r="D85" s="257"/>
      <c r="E85" s="260"/>
      <c r="F85" s="257"/>
      <c r="HS85" s="257"/>
    </row>
    <row r="86" spans="4:227" x14ac:dyDescent="0.45">
      <c r="E86" s="260"/>
      <c r="F86" s="257"/>
      <c r="HS86" s="257"/>
    </row>
  </sheetData>
  <mergeCells count="3">
    <mergeCell ref="G6:O6"/>
    <mergeCell ref="G7:O14"/>
    <mergeCell ref="G15:O20"/>
  </mergeCells>
  <pageMargins left="0" right="0" top="0" bottom="0" header="0" footer="0"/>
  <pageSetup scale="55"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51"/>
  <sheetViews>
    <sheetView topLeftCell="B74"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'2641'!B2</f>
        <v>50</v>
      </c>
      <c r="W2" s="413" t="s">
        <v>4</v>
      </c>
      <c r="X2" s="414"/>
      <c r="Y2" s="415"/>
      <c r="Z2" s="415"/>
      <c r="AA2" s="415"/>
      <c r="AB2" s="415"/>
      <c r="AC2" s="415"/>
      <c r="AD2" s="9"/>
    </row>
    <row r="3" spans="1:30" ht="20" x14ac:dyDescent="0.4">
      <c r="B3" s="10" t="str">
        <f>"Revenue Estimate Worksheet for "&amp;B124</f>
        <v>Revenue Estimate Worksheet for Lakeside Academy Charter</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'2641'!G7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21.79</v>
      </c>
      <c r="E10" s="45">
        <v>0</v>
      </c>
      <c r="F10" s="45">
        <v>26.15</v>
      </c>
      <c r="G10" s="46">
        <f>IF(E10=0,D10*2,D10+E10)</f>
        <v>43.58</v>
      </c>
      <c r="H10" s="47"/>
      <c r="I10" s="48">
        <v>1.125</v>
      </c>
      <c r="J10" s="48"/>
      <c r="K10" s="49">
        <f>ROUND(G10*I10,4)</f>
        <v>49.027500000000003</v>
      </c>
      <c r="L10" s="50">
        <f>ROUND(ROUND(K10*$G$7,4)*($K$7),0)</f>
        <v>189963</v>
      </c>
      <c r="N10" s="51">
        <v>5101</v>
      </c>
      <c r="O10" s="52">
        <v>101</v>
      </c>
      <c r="Q10" s="53"/>
      <c r="V10" s="404" t="s">
        <v>28</v>
      </c>
      <c r="W10" s="404"/>
      <c r="X10" s="396">
        <f>IF('2641'!K$84=1,'2641'!G10,0)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4</v>
      </c>
      <c r="E11" s="13">
        <v>0</v>
      </c>
      <c r="F11" s="13">
        <v>4.88</v>
      </c>
      <c r="G11" s="46">
        <f t="shared" ref="G11:G25" si="2">IF(E11=0,D11*2,D11+E11)</f>
        <v>8</v>
      </c>
      <c r="H11" s="47"/>
      <c r="I11" s="56">
        <f>I10</f>
        <v>1.125</v>
      </c>
      <c r="J11" s="56"/>
      <c r="K11" s="49">
        <f t="shared" ref="K11:K25" si="3">ROUND(G11*I11,4)</f>
        <v>9</v>
      </c>
      <c r="L11" s="50">
        <f t="shared" ref="L11:L25" si="4">ROUND(ROUND(K11*$G$7,4)*($K$7),0)</f>
        <v>34872</v>
      </c>
      <c r="M11" s="1" t="str">
        <f>IF(ROUND(G11,2)=ROUND(SUM(G28:G30),2)," ","CHECK 2. PK-3 Lines Below")</f>
        <v xml:space="preserve"> </v>
      </c>
      <c r="N11" s="51">
        <v>5101</v>
      </c>
      <c r="O11" s="57" t="s">
        <v>31</v>
      </c>
      <c r="Q11" s="53"/>
      <c r="V11" s="357" t="s">
        <v>30</v>
      </c>
      <c r="W11" s="357"/>
      <c r="X11" s="396">
        <f>IF('2641'!K$84=1,'2641'!G11,0)</f>
        <v>0</v>
      </c>
      <c r="Y11" s="396"/>
      <c r="Z11" s="397">
        <v>1</v>
      </c>
      <c r="AA11" s="397"/>
      <c r="AB11" s="54">
        <f t="shared" si="0"/>
        <v>0</v>
      </c>
      <c r="AC11" s="55">
        <f t="shared" si="1"/>
        <v>0</v>
      </c>
      <c r="AD11" s="9"/>
    </row>
    <row r="12" spans="1:30" x14ac:dyDescent="0.3">
      <c r="A12" s="1" t="s">
        <v>32</v>
      </c>
      <c r="B12" s="13" t="s">
        <v>33</v>
      </c>
      <c r="C12" s="13"/>
      <c r="D12" s="13">
        <v>12.04</v>
      </c>
      <c r="E12" s="13">
        <v>0</v>
      </c>
      <c r="F12" s="13">
        <v>14.45</v>
      </c>
      <c r="G12" s="46">
        <f t="shared" si="2"/>
        <v>24.08</v>
      </c>
      <c r="H12" s="47"/>
      <c r="I12" s="56">
        <v>1</v>
      </c>
      <c r="J12" s="56"/>
      <c r="K12" s="49">
        <f t="shared" si="3"/>
        <v>24.08</v>
      </c>
      <c r="L12" s="50">
        <f t="shared" si="4"/>
        <v>93301</v>
      </c>
      <c r="N12" s="51">
        <v>5102</v>
      </c>
      <c r="O12" s="52">
        <v>102</v>
      </c>
      <c r="Q12" s="53"/>
      <c r="V12" s="357" t="s">
        <v>33</v>
      </c>
      <c r="W12" s="357"/>
      <c r="X12" s="396">
        <f>IF('2641'!K$84=1,'2641'!G12,0)</f>
        <v>0</v>
      </c>
      <c r="Y12" s="396"/>
      <c r="Z12" s="397">
        <v>1</v>
      </c>
      <c r="AA12" s="397"/>
      <c r="AB12" s="54">
        <f t="shared" si="0"/>
        <v>0</v>
      </c>
      <c r="AC12" s="55">
        <f t="shared" si="1"/>
        <v>0</v>
      </c>
      <c r="AD12" s="9"/>
    </row>
    <row r="13" spans="1:30" x14ac:dyDescent="0.3">
      <c r="A13" s="1" t="s">
        <v>34</v>
      </c>
      <c r="B13" s="13" t="s">
        <v>35</v>
      </c>
      <c r="C13" s="13"/>
      <c r="D13" s="13">
        <v>6</v>
      </c>
      <c r="E13" s="13">
        <v>0</v>
      </c>
      <c r="F13" s="13">
        <v>7.36</v>
      </c>
      <c r="G13" s="46">
        <f t="shared" si="2"/>
        <v>12</v>
      </c>
      <c r="H13" s="47"/>
      <c r="I13" s="56">
        <f>I12</f>
        <v>1</v>
      </c>
      <c r="J13" s="56"/>
      <c r="K13" s="49">
        <f t="shared" si="3"/>
        <v>12</v>
      </c>
      <c r="L13" s="50">
        <f t="shared" si="4"/>
        <v>46495</v>
      </c>
      <c r="M13" s="1" t="str">
        <f>IF(ROUND(G13,2)=ROUND(SUM(G31:G33),2)," ","CHECK 2. PK-3 Lines Below")</f>
        <v xml:space="preserve"> </v>
      </c>
      <c r="N13" s="51">
        <v>5102</v>
      </c>
      <c r="O13" s="57" t="s">
        <v>36</v>
      </c>
      <c r="Q13" s="53"/>
      <c r="V13" s="357" t="s">
        <v>35</v>
      </c>
      <c r="W13" s="357"/>
      <c r="X13" s="396">
        <f>IF('2641'!K$84=1,'2641'!G13,0)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IF('2641'!K$84=1,'2641'!G14,0)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IF('2641'!K$84=1,'2641'!G15,0)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IF('2641'!K$84=1,'2641'!G16,0)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IF('2641'!K$84=1,'2641'!G17,0)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IF('2641'!K$84=1,'2641'!G18,0)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IF('2641'!K$84=1,'2641'!G19,0)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IF('2641'!K$84=1,'2641'!G20,0)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IF('2641'!K$84=1,'2641'!G21,0)</f>
        <v>0</v>
      </c>
      <c r="Y21" s="396"/>
      <c r="Z21" s="397">
        <v>1</v>
      </c>
      <c r="AA21" s="397"/>
      <c r="AB21" s="54">
        <f t="shared" si="0"/>
        <v>0</v>
      </c>
      <c r="AC21" s="55">
        <f t="shared" si="1"/>
        <v>0</v>
      </c>
      <c r="AD21" s="9"/>
    </row>
    <row r="22" spans="1:30" ht="15.5" x14ac:dyDescent="0.35">
      <c r="A22" s="1" t="s">
        <v>54</v>
      </c>
      <c r="B22" s="13" t="s">
        <v>55</v>
      </c>
      <c r="C22" s="13"/>
      <c r="D22" s="13">
        <v>3.67</v>
      </c>
      <c r="E22" s="13">
        <v>0</v>
      </c>
      <c r="F22" s="13">
        <v>4.4000000000000004</v>
      </c>
      <c r="G22" s="46">
        <f t="shared" si="2"/>
        <v>7.34</v>
      </c>
      <c r="H22" s="47"/>
      <c r="I22" s="56">
        <v>1.145</v>
      </c>
      <c r="J22" s="56"/>
      <c r="K22" s="49">
        <f t="shared" si="3"/>
        <v>8.4042999999999992</v>
      </c>
      <c r="L22" s="50">
        <f t="shared" si="4"/>
        <v>32564</v>
      </c>
      <c r="N22" s="51">
        <v>5101</v>
      </c>
      <c r="O22" s="52">
        <v>130</v>
      </c>
      <c r="Q22" s="53"/>
      <c r="V22" s="357" t="s">
        <v>55</v>
      </c>
      <c r="W22" s="357"/>
      <c r="X22" s="396">
        <f>IF('2641'!K$84=1,'2641'!G22,0)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IF('2641'!K$84=1,'2641'!G23,0)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IF('2641'!K$84=1,'2641'!G24,0)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IF('2641'!K$84=1,'2641'!G25,0)</f>
        <v>0</v>
      </c>
      <c r="Y25" s="396"/>
      <c r="Z25" s="397">
        <v>1</v>
      </c>
      <c r="AA25" s="397"/>
      <c r="AB25" s="54">
        <f t="shared" si="0"/>
        <v>0</v>
      </c>
      <c r="AC25" s="55">
        <f t="shared" si="1"/>
        <v>0</v>
      </c>
      <c r="AD25" s="9"/>
    </row>
    <row r="26" spans="1:30" ht="20.25" customHeight="1" thickBot="1" x14ac:dyDescent="0.35">
      <c r="B26" s="61" t="s">
        <v>62</v>
      </c>
      <c r="C26" s="61"/>
      <c r="D26" s="62">
        <f t="shared" ref="D26:E26" si="5">SUM(D10:D25)</f>
        <v>47.5</v>
      </c>
      <c r="E26" s="62">
        <f t="shared" si="5"/>
        <v>0</v>
      </c>
      <c r="F26" s="62"/>
      <c r="G26" s="62">
        <f>SUM(G10:G25)</f>
        <v>95</v>
      </c>
      <c r="H26" s="63"/>
      <c r="I26" s="63"/>
      <c r="J26" s="64"/>
      <c r="K26" s="65">
        <f>SUM(K10:K25)</f>
        <v>102.51179999999999</v>
      </c>
      <c r="L26" s="66">
        <f>SUM(L10:L25)</f>
        <v>397195</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4</v>
      </c>
      <c r="E28" s="13">
        <v>0</v>
      </c>
      <c r="F28" s="78">
        <v>4</v>
      </c>
      <c r="G28" s="46">
        <f>IF(E28=0,D28*2,D28+E28)</f>
        <v>8</v>
      </c>
      <c r="H28" s="79"/>
      <c r="I28" s="80" t="s">
        <v>70</v>
      </c>
      <c r="J28" s="51">
        <v>251</v>
      </c>
      <c r="K28" s="81">
        <v>1047</v>
      </c>
      <c r="L28" s="82">
        <f>ROUND(G28*K28,0)</f>
        <v>8376</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5.5</v>
      </c>
      <c r="E31" s="13">
        <v>0</v>
      </c>
      <c r="F31" s="89">
        <v>5</v>
      </c>
      <c r="G31" s="46">
        <f t="shared" si="7"/>
        <v>11</v>
      </c>
      <c r="H31" s="79"/>
      <c r="I31" s="90" t="s">
        <v>74</v>
      </c>
      <c r="J31" s="51">
        <v>251</v>
      </c>
      <c r="K31" s="81">
        <v>1173</v>
      </c>
      <c r="L31" s="82">
        <f t="shared" si="8"/>
        <v>12903</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0.5</v>
      </c>
      <c r="E32" s="13">
        <v>0</v>
      </c>
      <c r="F32" s="89">
        <v>0.5</v>
      </c>
      <c r="G32" s="46">
        <f t="shared" si="7"/>
        <v>1</v>
      </c>
      <c r="H32" s="79"/>
      <c r="I32" s="90" t="s">
        <v>74</v>
      </c>
      <c r="J32" s="51">
        <v>252</v>
      </c>
      <c r="K32" s="81">
        <v>3506</v>
      </c>
      <c r="L32" s="82">
        <f t="shared" si="8"/>
        <v>3506</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10</v>
      </c>
      <c r="E37" s="62">
        <f t="shared" si="10"/>
        <v>0</v>
      </c>
      <c r="F37" s="62"/>
      <c r="G37" s="62">
        <f>SUM(G28:G36)</f>
        <v>20</v>
      </c>
      <c r="H37" s="63"/>
      <c r="I37" s="13" t="s">
        <v>82</v>
      </c>
      <c r="J37" s="13"/>
      <c r="K37" s="13"/>
      <c r="L37" s="50">
        <f>SUM(L28:L36)</f>
        <v>24785</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18240</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440220</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66.43180000000001</v>
      </c>
      <c r="D47" s="121"/>
      <c r="E47" s="121"/>
      <c r="F47" s="121"/>
      <c r="G47" s="122">
        <f>K7</f>
        <v>1.0326</v>
      </c>
      <c r="H47" s="122"/>
      <c r="I47" s="123">
        <v>1316.85</v>
      </c>
      <c r="J47" s="124" t="s">
        <v>97</v>
      </c>
      <c r="K47" s="125">
        <f>ROUND(C47*G47*I47,0)</f>
        <v>90333</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36.08</v>
      </c>
      <c r="D48" s="121"/>
      <c r="E48" s="121"/>
      <c r="F48" s="121"/>
      <c r="G48" s="122">
        <f>K7</f>
        <v>1.0326</v>
      </c>
      <c r="H48" s="122"/>
      <c r="I48" s="123">
        <v>898.23</v>
      </c>
      <c r="J48" s="124" t="s">
        <v>97</v>
      </c>
      <c r="K48" s="125">
        <f>ROUND(C48*G48*I48,0)</f>
        <v>33465</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102.51180000000001</v>
      </c>
      <c r="D50" s="144"/>
      <c r="E50" s="145"/>
      <c r="F50" s="145"/>
      <c r="G50" s="146" t="s">
        <v>99</v>
      </c>
      <c r="H50" s="146"/>
      <c r="I50" s="146"/>
      <c r="J50" s="146"/>
      <c r="K50" s="146"/>
      <c r="L50" s="50">
        <f>IF(B2=75,0,K49+K48+K47)</f>
        <v>123798</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102.51179999999999</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5.31E-4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95</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5.2999999999999998E-4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5.31E-4</v>
      </c>
      <c r="L59" s="50">
        <f>ROUND(I59*K59,0)</f>
        <v>2189</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5.31E-4</v>
      </c>
      <c r="L67" s="50">
        <f>ROUND(I67*K67,0)</f>
        <v>51387</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5.2999999999999998E-4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5.31E-4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5.31E-4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5.2999999999999998E-4</v>
      </c>
      <c r="L72" s="50">
        <f>ROUND(I72*K72,0)</f>
        <v>7482</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5.31E-4</v>
      </c>
      <c r="L77" s="50">
        <f>ROUND(I77*K77,0)</f>
        <v>17373</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5.31E-4</v>
      </c>
      <c r="L78" s="50">
        <f>ROUND(I78*K78,0)</f>
        <v>355</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642804</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'2641'!AC81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642804</v>
      </c>
      <c r="L86" s="82">
        <f>IF(G26=0,0,IF(G26&gt;250,-(((250/G26)*K86)*IF(M86="H",0.02,0.05)),IF(M86="H",-0.02*K86,-0.05*K86)))</f>
        <v>-32140.2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610663.80000000005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352926</v>
      </c>
      <c r="G89" s="13"/>
      <c r="H89" s="13"/>
      <c r="I89" s="13"/>
      <c r="J89" s="13"/>
      <c r="K89" s="206"/>
      <c r="L89" s="82">
        <v>-438838</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171825.80000000005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42956.450000000012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231</v>
      </c>
      <c r="C123" s="219" t="s">
        <v>200</v>
      </c>
    </row>
    <row r="124" spans="2:3" ht="15.5" hidden="1" x14ac:dyDescent="0.35">
      <c r="B124" s="223" t="s">
        <v>232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2.31481462833472E-5</v>
      </c>
      <c r="C135" s="225"/>
    </row>
    <row r="136" spans="2:3" ht="15.5" hidden="1" x14ac:dyDescent="0.35">
      <c r="B136" s="226">
        <f>NvsEndTime</f>
        <v>41646.469050925902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D151"/>
  <sheetViews>
    <sheetView topLeftCell="B77"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'2661'!B2</f>
        <v>50</v>
      </c>
      <c r="W2" s="413" t="s">
        <v>4</v>
      </c>
      <c r="X2" s="414"/>
      <c r="Y2" s="415"/>
      <c r="Z2" s="415"/>
      <c r="AA2" s="415"/>
      <c r="AB2" s="415"/>
      <c r="AC2" s="415"/>
      <c r="AD2" s="9"/>
    </row>
    <row r="3" spans="1:30" ht="20" x14ac:dyDescent="0.4">
      <c r="B3" s="10" t="str">
        <f>"Revenue Estimate Worksheet for "&amp;B124</f>
        <v>Revenue Estimate Worksheet for JosephLittlesNguzoSaba CSch</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'2661'!G7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36.08</v>
      </c>
      <c r="E10" s="45">
        <v>0</v>
      </c>
      <c r="F10" s="45">
        <v>46.9</v>
      </c>
      <c r="G10" s="46">
        <f>IF(E10=0,D10*2,D10+E10)</f>
        <v>72.16</v>
      </c>
      <c r="H10" s="47"/>
      <c r="I10" s="48">
        <v>1.125</v>
      </c>
      <c r="J10" s="48"/>
      <c r="K10" s="49">
        <f>ROUND(G10*I10,4)</f>
        <v>81.180000000000007</v>
      </c>
      <c r="L10" s="50">
        <f>ROUND(ROUND(K10*$G$7,4)*($K$7),0)</f>
        <v>314542</v>
      </c>
      <c r="N10" s="51">
        <v>5101</v>
      </c>
      <c r="O10" s="52">
        <v>101</v>
      </c>
      <c r="Q10" s="53"/>
      <c r="V10" s="404" t="s">
        <v>28</v>
      </c>
      <c r="W10" s="404"/>
      <c r="X10" s="396">
        <f>IF('2661'!K$84=1,'2661'!G10,0)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1</v>
      </c>
      <c r="E11" s="13">
        <v>0</v>
      </c>
      <c r="F11" s="13">
        <v>1.46</v>
      </c>
      <c r="G11" s="46">
        <f t="shared" ref="G11:G25" si="2">IF(E11=0,D11*2,D11+E11)</f>
        <v>2</v>
      </c>
      <c r="H11" s="47"/>
      <c r="I11" s="56">
        <f>I10</f>
        <v>1.125</v>
      </c>
      <c r="J11" s="56"/>
      <c r="K11" s="49">
        <f t="shared" ref="K11:K25" si="3">ROUND(G11*I11,4)</f>
        <v>2.25</v>
      </c>
      <c r="L11" s="50">
        <f t="shared" ref="L11:L25" si="4">ROUND(ROUND(K11*$G$7,4)*($K$7),0)</f>
        <v>8718</v>
      </c>
      <c r="M11" s="1" t="str">
        <f>IF(ROUND(G11,2)=ROUND(SUM(G28:G30),2)," ","CHECK 2. PK-3 Lines Below")</f>
        <v xml:space="preserve"> </v>
      </c>
      <c r="N11" s="51">
        <v>5101</v>
      </c>
      <c r="O11" s="57" t="s">
        <v>31</v>
      </c>
      <c r="Q11" s="53"/>
      <c r="V11" s="357" t="s">
        <v>30</v>
      </c>
      <c r="W11" s="357"/>
      <c r="X11" s="396">
        <f>IF('2661'!K$84=1,'2661'!G11,0)</f>
        <v>0</v>
      </c>
      <c r="Y11" s="396"/>
      <c r="Z11" s="397">
        <v>1</v>
      </c>
      <c r="AA11" s="397"/>
      <c r="AB11" s="54">
        <f t="shared" si="0"/>
        <v>0</v>
      </c>
      <c r="AC11" s="55">
        <f t="shared" si="1"/>
        <v>0</v>
      </c>
      <c r="AD11" s="9"/>
    </row>
    <row r="12" spans="1:30" x14ac:dyDescent="0.3">
      <c r="A12" s="1" t="s">
        <v>32</v>
      </c>
      <c r="B12" s="13" t="s">
        <v>33</v>
      </c>
      <c r="C12" s="13"/>
      <c r="D12" s="13">
        <v>27.58</v>
      </c>
      <c r="E12" s="13">
        <v>0</v>
      </c>
      <c r="F12" s="13">
        <v>31.72</v>
      </c>
      <c r="G12" s="46">
        <f t="shared" si="2"/>
        <v>55.16</v>
      </c>
      <c r="H12" s="47"/>
      <c r="I12" s="56">
        <v>1</v>
      </c>
      <c r="J12" s="56"/>
      <c r="K12" s="49">
        <f t="shared" si="3"/>
        <v>55.16</v>
      </c>
      <c r="L12" s="50">
        <f t="shared" si="4"/>
        <v>213724</v>
      </c>
      <c r="N12" s="51">
        <v>5102</v>
      </c>
      <c r="O12" s="52">
        <v>102</v>
      </c>
      <c r="Q12" s="53"/>
      <c r="V12" s="357" t="s">
        <v>33</v>
      </c>
      <c r="W12" s="357"/>
      <c r="X12" s="396">
        <f>IF('2661'!K$84=1,'2661'!G12,0)</f>
        <v>0</v>
      </c>
      <c r="Y12" s="396"/>
      <c r="Z12" s="397">
        <v>1</v>
      </c>
      <c r="AA12" s="397"/>
      <c r="AB12" s="54">
        <f t="shared" si="0"/>
        <v>0</v>
      </c>
      <c r="AC12" s="55">
        <f t="shared" si="1"/>
        <v>0</v>
      </c>
      <c r="AD12" s="9"/>
    </row>
    <row r="13" spans="1:30" x14ac:dyDescent="0.3">
      <c r="A13" s="1" t="s">
        <v>34</v>
      </c>
      <c r="B13" s="13" t="s">
        <v>35</v>
      </c>
      <c r="C13" s="13"/>
      <c r="D13" s="314">
        <v>6.08</v>
      </c>
      <c r="E13" s="13">
        <v>0</v>
      </c>
      <c r="F13" s="13">
        <v>7.47</v>
      </c>
      <c r="G13" s="46">
        <f t="shared" si="2"/>
        <v>12.16</v>
      </c>
      <c r="H13" s="47"/>
      <c r="I13" s="56">
        <f>I12</f>
        <v>1</v>
      </c>
      <c r="J13" s="56"/>
      <c r="K13" s="49">
        <f t="shared" si="3"/>
        <v>12.16</v>
      </c>
      <c r="L13" s="50">
        <f t="shared" si="4"/>
        <v>47115</v>
      </c>
      <c r="M13" s="1" t="str">
        <f>IF(ROUND(G13,2)=ROUND(SUM(G31:G33),2)," ","CHECK 2. PK-3 Lines Below")</f>
        <v xml:space="preserve"> </v>
      </c>
      <c r="N13" s="51">
        <v>5102</v>
      </c>
      <c r="O13" s="57" t="s">
        <v>36</v>
      </c>
      <c r="Q13" s="53"/>
      <c r="V13" s="357" t="s">
        <v>35</v>
      </c>
      <c r="W13" s="357"/>
      <c r="X13" s="396">
        <f>IF('2661'!K$84=1,'2661'!G13,0)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IF('2661'!K$84=1,'2661'!G14,0)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IF('2661'!K$84=1,'2661'!G15,0)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IF('2661'!K$84=1,'2661'!G16,0)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IF('2661'!K$84=1,'2661'!G17,0)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IF('2661'!K$84=1,'2661'!G18,0)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IF('2661'!K$84=1,'2661'!G19,0)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IF('2661'!K$84=1,'2661'!G20,0)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IF('2661'!K$84=1,'2661'!G21,0)</f>
        <v>0</v>
      </c>
      <c r="Y21" s="396"/>
      <c r="Z21" s="397">
        <v>1</v>
      </c>
      <c r="AA21" s="397"/>
      <c r="AB21" s="54">
        <f t="shared" si="0"/>
        <v>0</v>
      </c>
      <c r="AC21" s="55">
        <f t="shared" si="1"/>
        <v>0</v>
      </c>
      <c r="AD21" s="9"/>
    </row>
    <row r="22" spans="1:30" ht="15.5" x14ac:dyDescent="0.35">
      <c r="A22" s="1" t="s">
        <v>54</v>
      </c>
      <c r="B22" s="13" t="s">
        <v>55</v>
      </c>
      <c r="C22" s="13"/>
      <c r="D22" s="13">
        <v>1.84</v>
      </c>
      <c r="E22" s="13">
        <v>0</v>
      </c>
      <c r="F22" s="13">
        <v>2.36</v>
      </c>
      <c r="G22" s="46">
        <f t="shared" si="2"/>
        <v>3.68</v>
      </c>
      <c r="H22" s="47"/>
      <c r="I22" s="56">
        <v>1.145</v>
      </c>
      <c r="J22" s="56"/>
      <c r="K22" s="49">
        <f t="shared" si="3"/>
        <v>4.2135999999999996</v>
      </c>
      <c r="L22" s="50">
        <f t="shared" si="4"/>
        <v>16326</v>
      </c>
      <c r="N22" s="51">
        <v>5101</v>
      </c>
      <c r="O22" s="52">
        <v>130</v>
      </c>
      <c r="Q22" s="53"/>
      <c r="V22" s="357" t="s">
        <v>55</v>
      </c>
      <c r="W22" s="357"/>
      <c r="X22" s="396">
        <f>IF('2661'!K$84=1,'2661'!G22,0)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IF('2661'!K$84=1,'2661'!G23,0)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IF('2661'!K$84=1,'2661'!G24,0)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IF('2661'!K$84=1,'2661'!G25,0)</f>
        <v>0</v>
      </c>
      <c r="Y25" s="396"/>
      <c r="Z25" s="397">
        <v>1</v>
      </c>
      <c r="AA25" s="397"/>
      <c r="AB25" s="54">
        <f t="shared" si="0"/>
        <v>0</v>
      </c>
      <c r="AC25" s="55">
        <f t="shared" si="1"/>
        <v>0</v>
      </c>
      <c r="AD25" s="9"/>
    </row>
    <row r="26" spans="1:30" ht="20.25" customHeight="1" thickBot="1" x14ac:dyDescent="0.35">
      <c r="B26" s="61" t="s">
        <v>62</v>
      </c>
      <c r="C26" s="61"/>
      <c r="D26" s="62">
        <f t="shared" ref="D26:E26" si="5">SUM(D10:D25)</f>
        <v>72.58</v>
      </c>
      <c r="E26" s="62">
        <f t="shared" si="5"/>
        <v>0</v>
      </c>
      <c r="F26" s="62"/>
      <c r="G26" s="62">
        <f>SUM(G10:G25)</f>
        <v>145.16</v>
      </c>
      <c r="H26" s="63"/>
      <c r="I26" s="63"/>
      <c r="J26" s="64"/>
      <c r="K26" s="65">
        <f>SUM(K10:K25)</f>
        <v>154.96359999999999</v>
      </c>
      <c r="L26" s="66">
        <f>SUM(L10:L25)</f>
        <v>600425</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1</v>
      </c>
      <c r="E28" s="13">
        <v>0</v>
      </c>
      <c r="F28" s="78">
        <v>4</v>
      </c>
      <c r="G28" s="46">
        <f>IF(E28=0,D28*2,D28+E28)</f>
        <v>2</v>
      </c>
      <c r="H28" s="79"/>
      <c r="I28" s="80" t="s">
        <v>70</v>
      </c>
      <c r="J28" s="51">
        <v>251</v>
      </c>
      <c r="K28" s="81">
        <v>1047</v>
      </c>
      <c r="L28" s="82">
        <f>ROUND(G28*K28,0)</f>
        <v>2094</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4.58</v>
      </c>
      <c r="E31" s="13">
        <v>0</v>
      </c>
      <c r="F31" s="89">
        <v>3.5</v>
      </c>
      <c r="G31" s="46">
        <f t="shared" si="7"/>
        <v>9.16</v>
      </c>
      <c r="H31" s="79"/>
      <c r="I31" s="90" t="s">
        <v>74</v>
      </c>
      <c r="J31" s="51">
        <v>251</v>
      </c>
      <c r="K31" s="81">
        <v>1173</v>
      </c>
      <c r="L31" s="82">
        <f t="shared" si="8"/>
        <v>10745</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1.5</v>
      </c>
      <c r="E32" s="13">
        <v>0</v>
      </c>
      <c r="F32" s="89">
        <v>1.5</v>
      </c>
      <c r="G32" s="46">
        <f t="shared" si="7"/>
        <v>3</v>
      </c>
      <c r="H32" s="79"/>
      <c r="I32" s="90" t="s">
        <v>74</v>
      </c>
      <c r="J32" s="51">
        <v>252</v>
      </c>
      <c r="K32" s="81">
        <v>3506</v>
      </c>
      <c r="L32" s="82">
        <f t="shared" si="8"/>
        <v>10518</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7.08</v>
      </c>
      <c r="E37" s="62">
        <f t="shared" si="10"/>
        <v>0</v>
      </c>
      <c r="F37" s="62"/>
      <c r="G37" s="62">
        <f>SUM(G28:G36)</f>
        <v>14.16</v>
      </c>
      <c r="H37" s="63"/>
      <c r="I37" s="13" t="s">
        <v>82</v>
      </c>
      <c r="J37" s="13"/>
      <c r="K37" s="13"/>
      <c r="L37" s="50">
        <f>SUM(L28:L36)</f>
        <v>23357</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27871</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651653</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87.643600000000006</v>
      </c>
      <c r="D47" s="121"/>
      <c r="E47" s="121"/>
      <c r="F47" s="121"/>
      <c r="G47" s="122">
        <f>K7</f>
        <v>1.0326</v>
      </c>
      <c r="H47" s="122"/>
      <c r="I47" s="123">
        <v>1316.85</v>
      </c>
      <c r="J47" s="124" t="s">
        <v>97</v>
      </c>
      <c r="K47" s="125">
        <f>ROUND(C47*G47*I47,0)</f>
        <v>119176</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67.319999999999993</v>
      </c>
      <c r="D48" s="121"/>
      <c r="E48" s="121"/>
      <c r="F48" s="121"/>
      <c r="G48" s="122">
        <f>K7</f>
        <v>1.0326</v>
      </c>
      <c r="H48" s="122"/>
      <c r="I48" s="123">
        <v>898.23</v>
      </c>
      <c r="J48" s="124" t="s">
        <v>97</v>
      </c>
      <c r="K48" s="125">
        <f>ROUND(C48*G48*I48,0)</f>
        <v>62440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154.96359999999999</v>
      </c>
      <c r="D50" s="144"/>
      <c r="E50" s="145"/>
      <c r="F50" s="145"/>
      <c r="G50" s="146" t="s">
        <v>99</v>
      </c>
      <c r="H50" s="146"/>
      <c r="I50" s="146"/>
      <c r="J50" s="146"/>
      <c r="K50" s="146"/>
      <c r="L50" s="50">
        <f>IF(B2=75,0,K49+K48+K47)</f>
        <v>181616</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154.96359999999999</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8.0199999999999998E-4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145.16</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8.0900000000000004E-4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8.0199999999999998E-4</v>
      </c>
      <c r="L59" s="50">
        <f>ROUND(I59*K59,0)</f>
        <v>3307</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8.0199999999999998E-4</v>
      </c>
      <c r="L67" s="50">
        <f>ROUND(I67*K67,0)</f>
        <v>77613</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8.0900000000000004E-4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8.0199999999999998E-4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8.0199999999999998E-4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8.0900000000000004E-4</v>
      </c>
      <c r="L72" s="50">
        <f>ROUND(I72*K72,0)</f>
        <v>11421</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8.0199999999999998E-4</v>
      </c>
      <c r="L77" s="50">
        <f>ROUND(I77*K77,0)</f>
        <v>26240</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8.0199999999999998E-4</v>
      </c>
      <c r="L78" s="50">
        <f>ROUND(I78*K78,0)</f>
        <v>536</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952386</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'2661'!AC81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952386</v>
      </c>
      <c r="L86" s="82">
        <f>IF(G26=0,0,IF(G26&gt;250,-(((250/G26)*K86)*IF(M86="H",0.02,0.05)),IF(M86="H",-0.02*K86,-0.05*K86)))</f>
        <v>-47619.3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904766.7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495859</v>
      </c>
      <c r="G89" s="13"/>
      <c r="H89" s="13"/>
      <c r="I89" s="13"/>
      <c r="J89" s="13"/>
      <c r="K89" s="206"/>
      <c r="L89" s="82">
        <v>-632161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272605.69999999995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68151.424999999988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234</v>
      </c>
      <c r="C123" s="219" t="s">
        <v>200</v>
      </c>
    </row>
    <row r="124" spans="2:3" ht="15.5" hidden="1" x14ac:dyDescent="0.35">
      <c r="B124" s="223" t="s">
        <v>235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41646.4690625</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51"/>
  <sheetViews>
    <sheetView topLeftCell="B74"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5" width="8.90625" style="1"/>
    <col min="26" max="26" width="10" style="1" customWidth="1"/>
    <col min="27" max="27" width="8.90625" style="1"/>
    <col min="28" max="28" width="13.08984375" style="1" bestFit="1" customWidth="1"/>
    <col min="29" max="29" width="15.90625" style="1" bestFit="1" customWidth="1"/>
    <col min="30"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'2791'!B2</f>
        <v>50</v>
      </c>
      <c r="W2" s="413" t="s">
        <v>4</v>
      </c>
      <c r="X2" s="414"/>
      <c r="Y2" s="415"/>
      <c r="Z2" s="415"/>
      <c r="AA2" s="415"/>
      <c r="AB2" s="415"/>
      <c r="AC2" s="415"/>
      <c r="AD2" s="9"/>
    </row>
    <row r="3" spans="1:30" ht="20" x14ac:dyDescent="0.4">
      <c r="B3" s="10" t="str">
        <f>"Revenue Estimate Worksheet for "&amp;B124</f>
        <v>Revenue Estimate Worksheet for Renaissance Learning Center</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'2791'!G7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IF('2791'!K$84=1,'2791'!G10,0)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1</v>
      </c>
      <c r="E11" s="13">
        <v>0</v>
      </c>
      <c r="F11" s="13">
        <v>1.24</v>
      </c>
      <c r="G11" s="46">
        <f t="shared" ref="G11:G25" si="2">IF(E11=0,D11*2,D11+E11)</f>
        <v>2</v>
      </c>
      <c r="H11" s="47"/>
      <c r="I11" s="56">
        <f>I10</f>
        <v>1.125</v>
      </c>
      <c r="J11" s="56"/>
      <c r="K11" s="49">
        <f t="shared" ref="K11:K25" si="3">ROUND(G11*I11,4)</f>
        <v>2.25</v>
      </c>
      <c r="L11" s="50">
        <f t="shared" ref="L11:L25" si="4">ROUND(ROUND(K11*$G$7,4)*($K$7),0)</f>
        <v>8718</v>
      </c>
      <c r="M11" s="1" t="str">
        <f>IF(ROUND(G11,2)=ROUND(SUM(G28:G30),2)," ","CHECK 2. PK-3 Lines Below")</f>
        <v xml:space="preserve"> </v>
      </c>
      <c r="N11" s="51">
        <v>5101</v>
      </c>
      <c r="O11" s="57" t="s">
        <v>31</v>
      </c>
      <c r="Q11" s="53"/>
      <c r="V11" s="357" t="s">
        <v>30</v>
      </c>
      <c r="W11" s="357"/>
      <c r="X11" s="396">
        <f>IF('2791'!K$84=1,'2791'!G11,0)</f>
        <v>2</v>
      </c>
      <c r="Y11" s="396"/>
      <c r="Z11" s="397">
        <v>1</v>
      </c>
      <c r="AA11" s="397"/>
      <c r="AB11" s="54">
        <f t="shared" si="0"/>
        <v>2</v>
      </c>
      <c r="AC11" s="55">
        <f t="shared" si="1"/>
        <v>7749</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IF('2791'!K$84=1,'2791'!G12,0)</f>
        <v>0</v>
      </c>
      <c r="Y12" s="396"/>
      <c r="Z12" s="397">
        <v>1</v>
      </c>
      <c r="AA12" s="397"/>
      <c r="AB12" s="54">
        <f t="shared" si="0"/>
        <v>0</v>
      </c>
      <c r="AC12" s="55">
        <f t="shared" si="1"/>
        <v>0</v>
      </c>
      <c r="AD12" s="9"/>
    </row>
    <row r="13" spans="1:30" x14ac:dyDescent="0.3">
      <c r="A13" s="1" t="s">
        <v>34</v>
      </c>
      <c r="B13" s="13" t="s">
        <v>35</v>
      </c>
      <c r="C13" s="13"/>
      <c r="D13" s="13">
        <v>0.82</v>
      </c>
      <c r="E13" s="13">
        <v>0</v>
      </c>
      <c r="F13" s="13">
        <v>1.1000000000000001</v>
      </c>
      <c r="G13" s="46">
        <f t="shared" si="2"/>
        <v>1.64</v>
      </c>
      <c r="H13" s="47"/>
      <c r="I13" s="56">
        <f>I12</f>
        <v>1</v>
      </c>
      <c r="J13" s="56"/>
      <c r="K13" s="49">
        <f t="shared" si="3"/>
        <v>1.64</v>
      </c>
      <c r="L13" s="50">
        <f t="shared" si="4"/>
        <v>6354</v>
      </c>
      <c r="M13" s="1" t="str">
        <f>IF(ROUND(G13,2)=ROUND(SUM(G31:G33),2)," ","CHECK 2. PK-3 Lines Below")</f>
        <v xml:space="preserve"> </v>
      </c>
      <c r="N13" s="51">
        <v>5102</v>
      </c>
      <c r="O13" s="57" t="s">
        <v>36</v>
      </c>
      <c r="Q13" s="53"/>
      <c r="V13" s="357" t="s">
        <v>35</v>
      </c>
      <c r="W13" s="357"/>
      <c r="X13" s="396">
        <f>IF('2791'!K$84=1,'2791'!G13,0)</f>
        <v>1.64</v>
      </c>
      <c r="Y13" s="396"/>
      <c r="Z13" s="397">
        <v>1</v>
      </c>
      <c r="AA13" s="397"/>
      <c r="AB13" s="54">
        <f t="shared" si="0"/>
        <v>1.64</v>
      </c>
      <c r="AC13" s="55">
        <f t="shared" si="1"/>
        <v>6354</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IF('2791'!K$84=1,'2791'!G14,0)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IF('2791'!K$84=1,'2791'!G15,0)</f>
        <v>0</v>
      </c>
      <c r="Y15" s="396"/>
      <c r="Z15" s="397">
        <v>1</v>
      </c>
      <c r="AA15" s="397"/>
      <c r="AB15" s="54">
        <f t="shared" si="0"/>
        <v>0</v>
      </c>
      <c r="AC15" s="59">
        <f t="shared" si="1"/>
        <v>0</v>
      </c>
      <c r="AD15" s="9"/>
    </row>
    <row r="16" spans="1:30" ht="15.5" x14ac:dyDescent="0.35">
      <c r="A16" s="1" t="s">
        <v>42</v>
      </c>
      <c r="B16" s="13" t="s">
        <v>43</v>
      </c>
      <c r="C16" s="13"/>
      <c r="D16" s="13">
        <v>22.26</v>
      </c>
      <c r="E16" s="13">
        <v>0</v>
      </c>
      <c r="F16" s="13">
        <v>41.38</v>
      </c>
      <c r="G16" s="46">
        <f t="shared" si="2"/>
        <v>44.52</v>
      </c>
      <c r="H16" s="47"/>
      <c r="I16" s="56">
        <v>3.5579999999999998</v>
      </c>
      <c r="J16" s="56"/>
      <c r="K16" s="49">
        <f t="shared" si="3"/>
        <v>158.40219999999999</v>
      </c>
      <c r="L16" s="50">
        <f t="shared" si="4"/>
        <v>613749</v>
      </c>
      <c r="N16" s="51">
        <v>5101</v>
      </c>
      <c r="O16" s="1">
        <v>254</v>
      </c>
      <c r="Q16" s="53"/>
      <c r="V16" s="357" t="s">
        <v>43</v>
      </c>
      <c r="W16" s="357"/>
      <c r="X16" s="396">
        <f>IF('2791'!K$84=1,'2791'!G16,0)</f>
        <v>44.52</v>
      </c>
      <c r="Y16" s="396"/>
      <c r="Z16" s="397">
        <v>1</v>
      </c>
      <c r="AA16" s="397"/>
      <c r="AB16" s="54">
        <f t="shared" si="0"/>
        <v>44.52</v>
      </c>
      <c r="AC16" s="55">
        <f t="shared" si="1"/>
        <v>172498</v>
      </c>
      <c r="AD16" s="9"/>
    </row>
    <row r="17" spans="1:30" ht="15.5" x14ac:dyDescent="0.35">
      <c r="A17" s="1" t="s">
        <v>44</v>
      </c>
      <c r="B17" s="13" t="s">
        <v>45</v>
      </c>
      <c r="C17" s="13"/>
      <c r="D17" s="13">
        <v>13.5</v>
      </c>
      <c r="E17" s="13">
        <v>0</v>
      </c>
      <c r="F17" s="13">
        <v>41.38</v>
      </c>
      <c r="G17" s="46">
        <f t="shared" si="2"/>
        <v>27</v>
      </c>
      <c r="H17" s="47"/>
      <c r="I17" s="56">
        <f>I16</f>
        <v>3.5579999999999998</v>
      </c>
      <c r="J17" s="56"/>
      <c r="K17" s="49">
        <f t="shared" si="3"/>
        <v>96.066000000000003</v>
      </c>
      <c r="L17" s="50">
        <f t="shared" si="4"/>
        <v>372220</v>
      </c>
      <c r="N17" s="51">
        <v>5102</v>
      </c>
      <c r="O17" s="53">
        <v>254</v>
      </c>
      <c r="Q17" s="53"/>
      <c r="V17" s="357" t="s">
        <v>45</v>
      </c>
      <c r="W17" s="357"/>
      <c r="X17" s="396">
        <f>IF('2791'!K$84=1,'2791'!G17,0)</f>
        <v>27</v>
      </c>
      <c r="Y17" s="396"/>
      <c r="Z17" s="397">
        <v>1</v>
      </c>
      <c r="AA17" s="397"/>
      <c r="AB17" s="54">
        <f t="shared" si="0"/>
        <v>27</v>
      </c>
      <c r="AC17" s="55">
        <f t="shared" si="1"/>
        <v>104615</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IF('2791'!K$84=1,'2791'!G18,0)</f>
        <v>0</v>
      </c>
      <c r="Y18" s="396"/>
      <c r="Z18" s="397">
        <v>1</v>
      </c>
      <c r="AA18" s="397"/>
      <c r="AB18" s="54">
        <f t="shared" si="0"/>
        <v>0</v>
      </c>
      <c r="AC18" s="55">
        <f t="shared" si="1"/>
        <v>0</v>
      </c>
      <c r="AD18" s="9"/>
    </row>
    <row r="19" spans="1:30" ht="15" customHeight="1" x14ac:dyDescent="0.35">
      <c r="A19" s="1" t="s">
        <v>48</v>
      </c>
      <c r="B19" s="13" t="s">
        <v>49</v>
      </c>
      <c r="C19" s="13"/>
      <c r="D19" s="13">
        <v>7.5</v>
      </c>
      <c r="E19" s="13">
        <v>0</v>
      </c>
      <c r="F19" s="13">
        <v>18.100000000000001</v>
      </c>
      <c r="G19" s="46">
        <f t="shared" si="2"/>
        <v>15</v>
      </c>
      <c r="H19" s="47"/>
      <c r="I19" s="56">
        <v>5.0890000000000004</v>
      </c>
      <c r="J19" s="56"/>
      <c r="K19" s="49">
        <f t="shared" si="3"/>
        <v>76.334999999999994</v>
      </c>
      <c r="L19" s="50">
        <f t="shared" si="4"/>
        <v>295769</v>
      </c>
      <c r="N19" s="51">
        <v>5101</v>
      </c>
      <c r="O19" s="1">
        <v>255</v>
      </c>
      <c r="Q19" s="53"/>
      <c r="V19" s="357" t="s">
        <v>49</v>
      </c>
      <c r="W19" s="357"/>
      <c r="X19" s="396">
        <f>IF('2791'!K$84=1,'2791'!G19,0)</f>
        <v>15</v>
      </c>
      <c r="Y19" s="396"/>
      <c r="Z19" s="397">
        <v>1</v>
      </c>
      <c r="AA19" s="397"/>
      <c r="AB19" s="54">
        <f t="shared" si="0"/>
        <v>15</v>
      </c>
      <c r="AC19" s="55">
        <f t="shared" si="1"/>
        <v>58119</v>
      </c>
      <c r="AD19" s="9"/>
    </row>
    <row r="20" spans="1:30" ht="15" customHeight="1" x14ac:dyDescent="0.35">
      <c r="A20" s="1" t="s">
        <v>50</v>
      </c>
      <c r="B20" s="13" t="s">
        <v>51</v>
      </c>
      <c r="C20" s="13"/>
      <c r="D20" s="13">
        <v>8.5</v>
      </c>
      <c r="E20" s="13">
        <v>0</v>
      </c>
      <c r="F20" s="13">
        <v>18.100000000000001</v>
      </c>
      <c r="G20" s="46">
        <f t="shared" si="2"/>
        <v>17</v>
      </c>
      <c r="H20" s="47"/>
      <c r="I20" s="56">
        <f>I19</f>
        <v>5.0890000000000004</v>
      </c>
      <c r="J20" s="56"/>
      <c r="K20" s="49">
        <f t="shared" si="3"/>
        <v>86.513000000000005</v>
      </c>
      <c r="L20" s="50">
        <f t="shared" si="4"/>
        <v>335205</v>
      </c>
      <c r="N20" s="51">
        <v>5102</v>
      </c>
      <c r="O20" s="53">
        <v>255</v>
      </c>
      <c r="Q20" s="53"/>
      <c r="V20" s="357" t="s">
        <v>51</v>
      </c>
      <c r="W20" s="357"/>
      <c r="X20" s="396">
        <f>IF('2791'!K$84=1,'2791'!G20,0)</f>
        <v>17</v>
      </c>
      <c r="Y20" s="396"/>
      <c r="Z20" s="397">
        <v>1</v>
      </c>
      <c r="AA20" s="397"/>
      <c r="AB20" s="54">
        <f t="shared" si="0"/>
        <v>17</v>
      </c>
      <c r="AC20" s="55">
        <f t="shared" si="1"/>
        <v>65869</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IF('2791'!K$84=1,'2791'!G21,0)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IF('2791'!K$84=1,'2791'!G22,0)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IF('2791'!K$84=1,'2791'!G23,0)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IF('2791'!K$84=1,'2791'!G24,0)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IF('2791'!K$84=1,'2791'!G25,0)</f>
        <v>0</v>
      </c>
      <c r="Y25" s="396"/>
      <c r="Z25" s="397">
        <v>1</v>
      </c>
      <c r="AA25" s="397"/>
      <c r="AB25" s="54">
        <f t="shared" si="0"/>
        <v>0</v>
      </c>
      <c r="AC25" s="55">
        <f t="shared" si="1"/>
        <v>0</v>
      </c>
      <c r="AD25" s="9"/>
    </row>
    <row r="26" spans="1:30" ht="20.25" customHeight="1" thickBot="1" x14ac:dyDescent="0.35">
      <c r="B26" s="61" t="s">
        <v>62</v>
      </c>
      <c r="C26" s="61"/>
      <c r="D26" s="62">
        <f t="shared" ref="D26:E26" si="5">SUM(D10:D25)</f>
        <v>53.58</v>
      </c>
      <c r="E26" s="62">
        <f t="shared" si="5"/>
        <v>0</v>
      </c>
      <c r="F26" s="62"/>
      <c r="G26" s="62">
        <f>SUM(G10:G25)</f>
        <v>107.16</v>
      </c>
      <c r="H26" s="63"/>
      <c r="I26" s="63"/>
      <c r="J26" s="64"/>
      <c r="K26" s="65">
        <f>SUM(K10:K25)</f>
        <v>421.20619999999997</v>
      </c>
      <c r="L26" s="66">
        <f>SUM(L10:L25)</f>
        <v>1632015</v>
      </c>
      <c r="N26" s="53"/>
      <c r="O26" s="67"/>
      <c r="P26" s="53"/>
      <c r="Q26" s="53"/>
      <c r="V26" s="398" t="s">
        <v>62</v>
      </c>
      <c r="W26" s="398"/>
      <c r="X26" s="387">
        <f>SUM(X10:X25)</f>
        <v>107.16</v>
      </c>
      <c r="Y26" s="387"/>
      <c r="Z26" s="399"/>
      <c r="AA26" s="400"/>
      <c r="AB26" s="68">
        <f>SUM(AB10:AB25)</f>
        <v>107.16</v>
      </c>
      <c r="AC26" s="69">
        <f>SUM(AC10:AC25)</f>
        <v>415204</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0.5</v>
      </c>
      <c r="E29" s="13">
        <v>0</v>
      </c>
      <c r="F29" s="89">
        <v>0</v>
      </c>
      <c r="G29" s="46">
        <f t="shared" ref="G29:G36" si="7">IF(E29=0,D29*2,D29+E29)</f>
        <v>1</v>
      </c>
      <c r="H29" s="79"/>
      <c r="I29" s="51" t="s">
        <v>70</v>
      </c>
      <c r="J29" s="51">
        <v>252</v>
      </c>
      <c r="K29" s="81">
        <v>3380</v>
      </c>
      <c r="L29" s="82">
        <f t="shared" ref="L29:L36" si="8">ROUND(G29*K29,0)</f>
        <v>3380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0.5</v>
      </c>
      <c r="E30" s="13">
        <v>0</v>
      </c>
      <c r="F30" s="89">
        <v>0.5</v>
      </c>
      <c r="G30" s="46">
        <f t="shared" si="7"/>
        <v>1</v>
      </c>
      <c r="H30" s="79"/>
      <c r="I30" s="51" t="s">
        <v>70</v>
      </c>
      <c r="J30" s="51">
        <v>253</v>
      </c>
      <c r="K30" s="81">
        <v>6896</v>
      </c>
      <c r="L30" s="82">
        <f t="shared" si="8"/>
        <v>6896</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0.5</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0.82</v>
      </c>
      <c r="E33" s="13">
        <v>0</v>
      </c>
      <c r="F33" s="89">
        <v>1.5</v>
      </c>
      <c r="G33" s="46">
        <f t="shared" si="7"/>
        <v>1.64</v>
      </c>
      <c r="H33" s="79"/>
      <c r="I33" s="90" t="s">
        <v>74</v>
      </c>
      <c r="J33" s="51">
        <v>253</v>
      </c>
      <c r="K33" s="81">
        <v>7023</v>
      </c>
      <c r="L33" s="82">
        <f t="shared" si="8"/>
        <v>11518</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1.8199999999999998</v>
      </c>
      <c r="E37" s="62">
        <f t="shared" si="10"/>
        <v>0</v>
      </c>
      <c r="F37" s="62"/>
      <c r="G37" s="62">
        <f>SUM(G28:G36)</f>
        <v>3.6399999999999997</v>
      </c>
      <c r="H37" s="63"/>
      <c r="I37" s="13" t="s">
        <v>82</v>
      </c>
      <c r="J37" s="13"/>
      <c r="K37" s="13"/>
      <c r="L37" s="50">
        <f>SUM(L28:L36)</f>
        <v>21794</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20575</v>
      </c>
      <c r="N40" s="103"/>
      <c r="O40" s="103"/>
      <c r="P40" s="103"/>
      <c r="Q40" s="103"/>
      <c r="V40" s="382" t="s">
        <v>86</v>
      </c>
      <c r="W40" s="382"/>
      <c r="X40" s="383">
        <f>+G40</f>
        <v>179393.64</v>
      </c>
      <c r="Y40" s="383"/>
      <c r="Z40" s="383"/>
      <c r="AA40" s="383"/>
      <c r="AB40" s="55">
        <f>ROUND(X39/X40,0)</f>
        <v>192</v>
      </c>
      <c r="AC40" s="55">
        <f>ROUND(AB40*$X$26,0)</f>
        <v>20575</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1674384</v>
      </c>
      <c r="O44" s="1"/>
      <c r="V44" s="376" t="s">
        <v>90</v>
      </c>
      <c r="W44" s="376"/>
      <c r="X44" s="376"/>
      <c r="Y44" s="376"/>
      <c r="Z44" s="376"/>
      <c r="AA44" s="376"/>
      <c r="AB44" s="376"/>
      <c r="AC44" s="111">
        <f>SUM(AC26,AC37,AC40)</f>
        <v>435779</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236.98719999999997</v>
      </c>
      <c r="D47" s="121"/>
      <c r="E47" s="121"/>
      <c r="F47" s="121"/>
      <c r="G47" s="122">
        <f>K7</f>
        <v>1.0326</v>
      </c>
      <c r="H47" s="122"/>
      <c r="I47" s="123">
        <v>1316.85</v>
      </c>
      <c r="J47" s="124" t="s">
        <v>97</v>
      </c>
      <c r="K47" s="125">
        <f>ROUND(C47*G47*I47,0)</f>
        <v>322250</v>
      </c>
      <c r="L47" s="126"/>
      <c r="O47" s="1"/>
      <c r="V47" s="106" t="s">
        <v>96</v>
      </c>
      <c r="W47" s="127">
        <f>AB10+AB11+AB16+AB19+AB22</f>
        <v>61.52</v>
      </c>
      <c r="X47" s="369">
        <f>AB7</f>
        <v>1.0326</v>
      </c>
      <c r="Y47" s="369"/>
      <c r="Z47" s="128">
        <f>+I47</f>
        <v>1316.85</v>
      </c>
      <c r="AA47" s="129" t="s">
        <v>97</v>
      </c>
      <c r="AB47" s="130">
        <f>ROUND(W47*X47*Z47,0)</f>
        <v>83654</v>
      </c>
      <c r="AC47" s="131"/>
      <c r="AD47" s="9"/>
    </row>
    <row r="48" spans="1:30" ht="18" customHeight="1" x14ac:dyDescent="0.3">
      <c r="B48" s="132" t="s">
        <v>74</v>
      </c>
      <c r="C48" s="121">
        <f>K12+K13+K17+K20+K23</f>
        <v>184.21899999999999</v>
      </c>
      <c r="D48" s="121"/>
      <c r="E48" s="121"/>
      <c r="F48" s="121"/>
      <c r="G48" s="122">
        <f>K7</f>
        <v>1.0326</v>
      </c>
      <c r="H48" s="122"/>
      <c r="I48" s="123">
        <v>898.23</v>
      </c>
      <c r="J48" s="124" t="s">
        <v>97</v>
      </c>
      <c r="K48" s="125">
        <f>ROUND(C48*G48*I48,0)</f>
        <v>170865</v>
      </c>
      <c r="L48" s="61"/>
      <c r="O48" s="1"/>
      <c r="V48" s="133" t="s">
        <v>74</v>
      </c>
      <c r="W48" s="127">
        <f>AB12+AB13+AB17+AB20+AB23</f>
        <v>45.64</v>
      </c>
      <c r="X48" s="369">
        <f>AB7</f>
        <v>1.0326</v>
      </c>
      <c r="Y48" s="369"/>
      <c r="Z48" s="128">
        <f>+I48</f>
        <v>898.23</v>
      </c>
      <c r="AA48" s="129" t="s">
        <v>97</v>
      </c>
      <c r="AB48" s="130">
        <f>ROUND(W48*X48*Z48,0)</f>
        <v>42332</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421.20619999999997</v>
      </c>
      <c r="D50" s="144"/>
      <c r="E50" s="145"/>
      <c r="F50" s="145"/>
      <c r="G50" s="146" t="s">
        <v>99</v>
      </c>
      <c r="H50" s="146"/>
      <c r="I50" s="146"/>
      <c r="J50" s="146"/>
      <c r="K50" s="146"/>
      <c r="L50" s="50">
        <f>IF(B2=75,0,K49+K48+K47)</f>
        <v>493115</v>
      </c>
      <c r="N50" s="3"/>
      <c r="O50" s="1"/>
      <c r="V50" s="147" t="s">
        <v>98</v>
      </c>
      <c r="W50" s="148">
        <f>SUM(W47:W49)</f>
        <v>107.16</v>
      </c>
      <c r="X50" s="370" t="s">
        <v>99</v>
      </c>
      <c r="Y50" s="371"/>
      <c r="Z50" s="371"/>
      <c r="AA50" s="371"/>
      <c r="AB50" s="371"/>
      <c r="AC50" s="55">
        <f>IF(V2=75,0,AB49+AB48+AB47)</f>
        <v>125986</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421.20619999999997</v>
      </c>
      <c r="H53" s="56" t="s">
        <v>103</v>
      </c>
      <c r="I53" s="56"/>
      <c r="J53" s="152">
        <v>193142.74</v>
      </c>
      <c r="K53" s="152"/>
      <c r="L53" s="152"/>
      <c r="N53" s="3"/>
      <c r="O53" s="1"/>
      <c r="V53" s="364" t="s">
        <v>102</v>
      </c>
      <c r="W53" s="364"/>
      <c r="X53" s="153">
        <f>AB26</f>
        <v>107.16</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2.1810000000000002E-3</v>
      </c>
      <c r="L54" s="154"/>
      <c r="N54" s="67"/>
      <c r="O54" s="1"/>
      <c r="V54" s="364" t="s">
        <v>104</v>
      </c>
      <c r="W54" s="364"/>
      <c r="X54" s="364"/>
      <c r="Y54" s="364"/>
      <c r="Z54" s="364"/>
      <c r="AA54" s="364"/>
      <c r="AB54" s="367">
        <f>ROUND(X53/AA53,6)</f>
        <v>5.5500000000000005E-4</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107.16</v>
      </c>
      <c r="H56" s="56" t="s">
        <v>107</v>
      </c>
      <c r="I56" s="56"/>
      <c r="J56" s="152">
        <v>179393.64</v>
      </c>
      <c r="K56" s="152"/>
      <c r="L56" s="152"/>
      <c r="O56" s="1"/>
      <c r="V56" s="364" t="s">
        <v>106</v>
      </c>
      <c r="W56" s="364"/>
      <c r="X56" s="156">
        <f>X26</f>
        <v>107.16</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5.9699999999999998E-4</v>
      </c>
      <c r="L57" s="154"/>
      <c r="O57" s="1"/>
      <c r="V57" s="364" t="s">
        <v>108</v>
      </c>
      <c r="W57" s="364"/>
      <c r="X57" s="364"/>
      <c r="Y57" s="364"/>
      <c r="Z57" s="364"/>
      <c r="AA57" s="364"/>
      <c r="AB57" s="367">
        <f>ROUND(X56/AA56,6)</f>
        <v>5.9699999999999998E-4</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5.5500000000000005E-4</v>
      </c>
      <c r="AC58" s="55">
        <f>ROUND(Y58*AB58,0)</f>
        <v>2288</v>
      </c>
      <c r="AD58" s="9"/>
    </row>
    <row r="59" spans="2:30" x14ac:dyDescent="0.3">
      <c r="B59" s="61" t="s">
        <v>110</v>
      </c>
      <c r="C59" s="61"/>
      <c r="D59" s="61"/>
      <c r="E59" s="61"/>
      <c r="F59" s="61"/>
      <c r="G59" s="61"/>
      <c r="H59" s="160" t="s">
        <v>22</v>
      </c>
      <c r="I59" s="125">
        <f>G66+G65+G63+G62+G61</f>
        <v>4122856</v>
      </c>
      <c r="J59" s="161" t="s">
        <v>111</v>
      </c>
      <c r="K59" s="162">
        <f>K54</f>
        <v>2.1810000000000002E-3</v>
      </c>
      <c r="L59" s="50">
        <f>ROUND(I59*K59,0)</f>
        <v>8992</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5.5500000000000005E-4</v>
      </c>
      <c r="AC66" s="55">
        <f>ROUND(Y66*AB66,0)</f>
        <v>53710</v>
      </c>
      <c r="AD66" s="9"/>
    </row>
    <row r="67" spans="1:30" ht="20.25" customHeight="1" x14ac:dyDescent="0.3">
      <c r="B67" s="13" t="s">
        <v>119</v>
      </c>
      <c r="C67" s="13"/>
      <c r="D67" s="13"/>
      <c r="E67" s="13"/>
      <c r="F67" s="13"/>
      <c r="H67" s="160" t="s">
        <v>25</v>
      </c>
      <c r="I67" s="125">
        <v>96774526</v>
      </c>
      <c r="J67" s="161" t="s">
        <v>111</v>
      </c>
      <c r="K67" s="162">
        <f>K54</f>
        <v>2.1810000000000002E-3</v>
      </c>
      <c r="L67" s="50">
        <f>ROUND(I67*K67,0)</f>
        <v>211065</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5.9699999999999998E-4</v>
      </c>
      <c r="AC68" s="55">
        <f>ROUND(Y68*AB68,0)</f>
        <v>0</v>
      </c>
      <c r="AD68" s="9"/>
    </row>
    <row r="69" spans="1:30" ht="15" customHeight="1" x14ac:dyDescent="0.3">
      <c r="B69" s="166" t="s">
        <v>121</v>
      </c>
      <c r="C69" s="13"/>
      <c r="D69" s="13"/>
      <c r="E69" s="13"/>
      <c r="F69" s="13"/>
      <c r="H69" s="160" t="s">
        <v>23</v>
      </c>
      <c r="I69" s="125">
        <v>0</v>
      </c>
      <c r="J69" s="161" t="s">
        <v>111</v>
      </c>
      <c r="K69" s="162">
        <f>K57</f>
        <v>5.9699999999999998E-4</v>
      </c>
      <c r="L69" s="50">
        <f>ROUND(I69*K69,0)</f>
        <v>0</v>
      </c>
      <c r="O69" s="1"/>
      <c r="V69" s="354" t="s">
        <v>122</v>
      </c>
      <c r="W69" s="354"/>
      <c r="X69" s="354"/>
      <c r="Y69" s="360">
        <f>+I70</f>
        <v>0</v>
      </c>
      <c r="Z69" s="360"/>
      <c r="AA69" s="158" t="s">
        <v>111</v>
      </c>
      <c r="AB69" s="159">
        <f>AB54</f>
        <v>5.5500000000000005E-4</v>
      </c>
      <c r="AC69" s="55">
        <f>ROUND(Y69*AB69,0)</f>
        <v>0</v>
      </c>
      <c r="AD69" s="9"/>
    </row>
    <row r="70" spans="1:30" ht="20.25" customHeight="1" x14ac:dyDescent="0.3">
      <c r="B70" s="13" t="s">
        <v>122</v>
      </c>
      <c r="C70" s="13"/>
      <c r="D70" s="13"/>
      <c r="E70" s="13"/>
      <c r="F70" s="13"/>
      <c r="H70" s="160" t="s">
        <v>22</v>
      </c>
      <c r="I70" s="125">
        <v>0</v>
      </c>
      <c r="J70" s="161" t="s">
        <v>111</v>
      </c>
      <c r="K70" s="162">
        <f>K54</f>
        <v>2.1810000000000002E-3</v>
      </c>
      <c r="L70" s="50">
        <f>ROUND(I70*K70,0)</f>
        <v>0</v>
      </c>
      <c r="O70" s="1"/>
      <c r="V70" s="354" t="s">
        <v>123</v>
      </c>
      <c r="W70" s="354"/>
      <c r="X70" s="354"/>
      <c r="Y70" s="356">
        <f>+I71</f>
        <v>0</v>
      </c>
      <c r="Z70" s="356"/>
      <c r="AA70" s="158" t="s">
        <v>111</v>
      </c>
      <c r="AB70" s="159">
        <f>AB54</f>
        <v>5.5500000000000005E-4</v>
      </c>
      <c r="AC70" s="55">
        <f>ROUND(Y70*AB70,0)</f>
        <v>0</v>
      </c>
      <c r="AD70" s="9"/>
    </row>
    <row r="71" spans="1:30" ht="20.25" customHeight="1" x14ac:dyDescent="0.3">
      <c r="B71" s="13" t="s">
        <v>123</v>
      </c>
      <c r="C71" s="13"/>
      <c r="D71" s="13"/>
      <c r="E71" s="13"/>
      <c r="F71" s="13"/>
      <c r="H71" s="160" t="s">
        <v>22</v>
      </c>
      <c r="I71" s="125">
        <v>0</v>
      </c>
      <c r="J71" s="161" t="s">
        <v>111</v>
      </c>
      <c r="K71" s="162">
        <f>K54</f>
        <v>2.1810000000000002E-3</v>
      </c>
      <c r="L71" s="50">
        <f>ROUND(I71*K71,0)</f>
        <v>0</v>
      </c>
      <c r="O71" s="1"/>
      <c r="V71" s="354" t="s">
        <v>124</v>
      </c>
      <c r="W71" s="354"/>
      <c r="X71" s="354"/>
      <c r="Y71" s="356">
        <f>+I72</f>
        <v>14117224</v>
      </c>
      <c r="Z71" s="356"/>
      <c r="AA71" s="158" t="s">
        <v>111</v>
      </c>
      <c r="AB71" s="159">
        <f>AB57</f>
        <v>5.9699999999999998E-4</v>
      </c>
      <c r="AC71" s="55">
        <f>ROUND(Y71*AB71,0)</f>
        <v>8428</v>
      </c>
      <c r="AD71" s="9"/>
    </row>
    <row r="72" spans="1:30" ht="21" customHeight="1" x14ac:dyDescent="0.35">
      <c r="B72" s="13" t="s">
        <v>124</v>
      </c>
      <c r="C72" s="13"/>
      <c r="D72" s="13"/>
      <c r="E72" s="13"/>
      <c r="F72" s="13"/>
      <c r="H72" s="160" t="s">
        <v>23</v>
      </c>
      <c r="I72" s="125">
        <v>14117224</v>
      </c>
      <c r="J72" s="161" t="s">
        <v>111</v>
      </c>
      <c r="K72" s="162">
        <f>K57</f>
        <v>5.9699999999999998E-4</v>
      </c>
      <c r="L72" s="50">
        <f>ROUND(I72*K72,0)</f>
        <v>8428</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107</v>
      </c>
      <c r="AA74" s="171" t="s">
        <v>129</v>
      </c>
      <c r="AB74" s="172">
        <f>+K75</f>
        <v>360</v>
      </c>
      <c r="AC74" s="55">
        <f>ROUND(AB74*Z74,0)</f>
        <v>38520</v>
      </c>
      <c r="AD74" s="9"/>
    </row>
    <row r="75" spans="1:30" ht="19.5" customHeight="1" x14ac:dyDescent="0.3">
      <c r="A75" s="1" t="s">
        <v>130</v>
      </c>
      <c r="B75" s="173" t="s">
        <v>127</v>
      </c>
      <c r="C75" s="174" t="s">
        <v>128</v>
      </c>
      <c r="D75" s="173">
        <v>107</v>
      </c>
      <c r="E75" s="173">
        <v>0</v>
      </c>
      <c r="F75" s="173">
        <v>0</v>
      </c>
      <c r="G75" s="175">
        <f>IF(E75=0,D75,E75)</f>
        <v>107</v>
      </c>
      <c r="H75" s="176"/>
      <c r="I75" s="177">
        <f>AVERAGE(G75,D75)</f>
        <v>107</v>
      </c>
      <c r="J75" s="178" t="s">
        <v>129</v>
      </c>
      <c r="K75" s="179">
        <v>360</v>
      </c>
      <c r="L75" s="50">
        <f>ROUND(K75*I75,0)</f>
        <v>38520</v>
      </c>
      <c r="N75" s="1">
        <v>7802</v>
      </c>
      <c r="O75" s="1">
        <v>0</v>
      </c>
      <c r="V75" s="358" t="s">
        <v>127</v>
      </c>
      <c r="W75" s="358"/>
      <c r="X75" s="168" t="s">
        <v>131</v>
      </c>
      <c r="Y75" s="180"/>
      <c r="Z75" s="181">
        <f>+I76</f>
        <v>28</v>
      </c>
      <c r="AA75" s="171" t="s">
        <v>129</v>
      </c>
      <c r="AB75" s="182">
        <f>+K76</f>
        <v>1355</v>
      </c>
      <c r="AC75" s="55">
        <f>ROUND(AB75*Z75,0)</f>
        <v>37940</v>
      </c>
      <c r="AD75" s="9"/>
    </row>
    <row r="76" spans="1:30" ht="19.5" customHeight="1" x14ac:dyDescent="0.3">
      <c r="A76" s="1" t="s">
        <v>132</v>
      </c>
      <c r="B76" s="173" t="s">
        <v>127</v>
      </c>
      <c r="C76" s="174" t="s">
        <v>131</v>
      </c>
      <c r="D76" s="173">
        <v>28</v>
      </c>
      <c r="E76" s="173">
        <v>0</v>
      </c>
      <c r="F76" s="173">
        <v>0</v>
      </c>
      <c r="G76" s="175">
        <f>IF(E76=0,D76,E76)</f>
        <v>28</v>
      </c>
      <c r="H76" s="176"/>
      <c r="I76" s="177">
        <f>AVERAGE(G76,D76)</f>
        <v>28</v>
      </c>
      <c r="J76" s="178" t="s">
        <v>129</v>
      </c>
      <c r="K76" s="183">
        <v>1355</v>
      </c>
      <c r="L76" s="50">
        <f>ROUND(K76*I76,0)</f>
        <v>37940</v>
      </c>
      <c r="N76" s="1">
        <v>7802</v>
      </c>
      <c r="O76" s="1">
        <v>110</v>
      </c>
      <c r="V76" s="354" t="s">
        <v>133</v>
      </c>
      <c r="W76" s="354"/>
      <c r="X76" s="354"/>
      <c r="Y76" s="355">
        <f>+I77</f>
        <v>32718286</v>
      </c>
      <c r="Z76" s="355"/>
      <c r="AA76" s="171" t="s">
        <v>129</v>
      </c>
      <c r="AB76" s="159">
        <f>AB54</f>
        <v>5.5500000000000005E-4</v>
      </c>
      <c r="AC76" s="55">
        <f>ROUND(Y76*AB76,0)</f>
        <v>18159</v>
      </c>
      <c r="AD76" s="9"/>
    </row>
    <row r="77" spans="1:30" ht="26.25" customHeight="1" x14ac:dyDescent="0.3">
      <c r="B77" s="13" t="s">
        <v>133</v>
      </c>
      <c r="C77" s="13"/>
      <c r="D77" s="13"/>
      <c r="E77" s="13"/>
      <c r="F77" s="13"/>
      <c r="H77" s="160" t="s">
        <v>134</v>
      </c>
      <c r="I77" s="184">
        <v>32718286</v>
      </c>
      <c r="J77" s="161" t="s">
        <v>111</v>
      </c>
      <c r="K77" s="162">
        <f>K54</f>
        <v>2.1810000000000002E-3</v>
      </c>
      <c r="L77" s="50">
        <f>ROUND(I77*K77,0)</f>
        <v>71359</v>
      </c>
      <c r="O77" s="1"/>
      <c r="V77" s="354" t="str">
        <f>+B78</f>
        <v>15.  Additional Allocation (WFTE share)</v>
      </c>
      <c r="W77" s="354"/>
      <c r="X77" s="354"/>
      <c r="Y77" s="355">
        <f>+I78</f>
        <v>668680</v>
      </c>
      <c r="Z77" s="355"/>
      <c r="AA77" s="171" t="s">
        <v>129</v>
      </c>
      <c r="AB77" s="159">
        <f>AB54</f>
        <v>5.5500000000000005E-4</v>
      </c>
      <c r="AC77" s="55">
        <f>ROUND(Y77*AB77,0)</f>
        <v>371</v>
      </c>
      <c r="AD77" s="9"/>
    </row>
    <row r="78" spans="1:30" ht="26.25" customHeight="1" x14ac:dyDescent="0.3">
      <c r="B78" s="353" t="s">
        <v>135</v>
      </c>
      <c r="C78" s="353"/>
      <c r="D78" s="353"/>
      <c r="E78" s="13"/>
      <c r="F78" s="13"/>
      <c r="H78" s="160" t="s">
        <v>136</v>
      </c>
      <c r="I78" s="185">
        <v>668680</v>
      </c>
      <c r="J78" s="161" t="s">
        <v>111</v>
      </c>
      <c r="K78" s="162">
        <f>K54</f>
        <v>2.1810000000000002E-3</v>
      </c>
      <c r="L78" s="50">
        <f>ROUND(I78*K78,0)</f>
        <v>1458</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721181</v>
      </c>
      <c r="AD81" s="195"/>
    </row>
    <row r="82" spans="1:30" ht="22.5" customHeight="1" thickTop="1" thickBot="1" x14ac:dyDescent="0.35">
      <c r="B82" s="13" t="s">
        <v>141</v>
      </c>
      <c r="C82" s="13"/>
      <c r="D82" s="13"/>
      <c r="E82" s="13"/>
      <c r="F82" s="13"/>
      <c r="G82" s="13"/>
      <c r="H82" s="13"/>
      <c r="I82" s="13"/>
      <c r="J82" s="13"/>
      <c r="K82" s="13"/>
      <c r="L82" s="196">
        <f>SUM(L44:L81)</f>
        <v>2545261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'2791'!AC81</f>
        <v>721181</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721181</v>
      </c>
      <c r="L86" s="82">
        <f>IF(G26=0,0,IF(G26&gt;250,-(((250/G26)*K86)*IF(M86="H",0.02,0.05)),IF(M86="H",-0.02*K86,-0.05*K86)))</f>
        <v>-36059.050000000003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2509201.9500000002</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1270725</v>
      </c>
      <c r="G89" s="13"/>
      <c r="H89" s="13"/>
      <c r="I89" s="13"/>
      <c r="J89" s="13"/>
      <c r="K89" s="206"/>
      <c r="L89" s="82">
        <v>-1682274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826927.95000000019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206731.98750000005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237</v>
      </c>
      <c r="C123" s="219" t="s">
        <v>200</v>
      </c>
    </row>
    <row r="124" spans="2:3" ht="15.5" hidden="1" x14ac:dyDescent="0.35">
      <c r="B124" s="223" t="s">
        <v>238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41646.469074074099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51"/>
  <sheetViews>
    <sheetView topLeftCell="B77"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'2801'!B2</f>
        <v>50</v>
      </c>
      <c r="W2" s="413" t="s">
        <v>4</v>
      </c>
      <c r="X2" s="414"/>
      <c r="Y2" s="415"/>
      <c r="Z2" s="415"/>
      <c r="AA2" s="415"/>
      <c r="AB2" s="415"/>
      <c r="AC2" s="415"/>
      <c r="AD2" s="9"/>
    </row>
    <row r="3" spans="1:30" ht="20" x14ac:dyDescent="0.4">
      <c r="B3" s="10" t="str">
        <f>"Revenue Estimate Worksheet for "&amp;B124</f>
        <v>Revenue Estimate Worksheet for PB Maritime Academy Charter</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'2801'!G7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177.69</v>
      </c>
      <c r="E10" s="45">
        <v>0</v>
      </c>
      <c r="F10" s="45">
        <v>201.06</v>
      </c>
      <c r="G10" s="46">
        <f>IF(E10=0,D10*2,D10+E10)</f>
        <v>355.38</v>
      </c>
      <c r="H10" s="47"/>
      <c r="I10" s="48">
        <v>1.125</v>
      </c>
      <c r="J10" s="48"/>
      <c r="K10" s="49">
        <f>ROUND(G10*I10,4)</f>
        <v>399.80250000000001</v>
      </c>
      <c r="L10" s="50">
        <f>ROUND(ROUND(K10*$G$7,4)*($K$7),0)</f>
        <v>1549085</v>
      </c>
      <c r="N10" s="51">
        <v>5101</v>
      </c>
      <c r="O10" s="52">
        <v>101</v>
      </c>
      <c r="Q10" s="53"/>
      <c r="V10" s="404" t="s">
        <v>28</v>
      </c>
      <c r="W10" s="404"/>
      <c r="X10" s="396">
        <f>IF('2801'!K$84=1,'2801'!G10,0)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18.5</v>
      </c>
      <c r="E11" s="13">
        <v>0</v>
      </c>
      <c r="F11" s="13">
        <v>21.95</v>
      </c>
      <c r="G11" s="46">
        <f t="shared" ref="G11:G25" si="2">IF(E11=0,D11*2,D11+E11)</f>
        <v>37</v>
      </c>
      <c r="H11" s="47"/>
      <c r="I11" s="56">
        <f>I10</f>
        <v>1.125</v>
      </c>
      <c r="J11" s="56"/>
      <c r="K11" s="49">
        <f t="shared" ref="K11:K25" si="3">ROUND(G11*I11,4)</f>
        <v>41.625</v>
      </c>
      <c r="L11" s="50">
        <f t="shared" ref="L11:L25" si="4">ROUND(ROUND(K11*$G$7,4)*($K$7),0)</f>
        <v>161281</v>
      </c>
      <c r="M11" s="1" t="str">
        <f>IF(ROUND(G11,2)=ROUND(SUM(G28:G30),2)," ","CHECK 2. PK-3 Lines Below")</f>
        <v xml:space="preserve"> </v>
      </c>
      <c r="N11" s="51">
        <v>5101</v>
      </c>
      <c r="O11" s="57" t="s">
        <v>31</v>
      </c>
      <c r="Q11" s="53"/>
      <c r="V11" s="357" t="s">
        <v>30</v>
      </c>
      <c r="W11" s="357"/>
      <c r="X11" s="396">
        <f>IF('2801'!K$84=1,'2801'!G11,0)</f>
        <v>0</v>
      </c>
      <c r="Y11" s="396"/>
      <c r="Z11" s="397">
        <v>1</v>
      </c>
      <c r="AA11" s="397"/>
      <c r="AB11" s="54">
        <f t="shared" si="0"/>
        <v>0</v>
      </c>
      <c r="AC11" s="55">
        <f t="shared" si="1"/>
        <v>0</v>
      </c>
      <c r="AD11" s="9"/>
    </row>
    <row r="12" spans="1:30" x14ac:dyDescent="0.3">
      <c r="A12" s="1" t="s">
        <v>32</v>
      </c>
      <c r="B12" s="13" t="s">
        <v>33</v>
      </c>
      <c r="C12" s="13"/>
      <c r="D12" s="314">
        <v>241.36</v>
      </c>
      <c r="E12" s="13">
        <v>0</v>
      </c>
      <c r="F12" s="13">
        <v>277.86</v>
      </c>
      <c r="G12" s="46">
        <f t="shared" si="2"/>
        <v>482.72</v>
      </c>
      <c r="H12" s="47"/>
      <c r="I12" s="56">
        <v>1</v>
      </c>
      <c r="J12" s="56"/>
      <c r="K12" s="49">
        <f t="shared" si="3"/>
        <v>482.72</v>
      </c>
      <c r="L12" s="50">
        <f t="shared" si="4"/>
        <v>1870359</v>
      </c>
      <c r="N12" s="51">
        <v>5102</v>
      </c>
      <c r="O12" s="52">
        <v>102</v>
      </c>
      <c r="Q12" s="53"/>
      <c r="V12" s="357" t="s">
        <v>33</v>
      </c>
      <c r="W12" s="357"/>
      <c r="X12" s="396">
        <f>IF('2801'!K$84=1,'2801'!G12,0)</f>
        <v>0</v>
      </c>
      <c r="Y12" s="396"/>
      <c r="Z12" s="397">
        <v>1</v>
      </c>
      <c r="AA12" s="397"/>
      <c r="AB12" s="54">
        <f t="shared" si="0"/>
        <v>0</v>
      </c>
      <c r="AC12" s="55">
        <f t="shared" si="1"/>
        <v>0</v>
      </c>
      <c r="AD12" s="9"/>
    </row>
    <row r="13" spans="1:30" x14ac:dyDescent="0.3">
      <c r="A13" s="1" t="s">
        <v>34</v>
      </c>
      <c r="B13" s="13" t="s">
        <v>35</v>
      </c>
      <c r="C13" s="13"/>
      <c r="D13" s="314">
        <v>24.39</v>
      </c>
      <c r="E13" s="13">
        <v>0</v>
      </c>
      <c r="F13" s="13">
        <v>29.2</v>
      </c>
      <c r="G13" s="46">
        <f t="shared" si="2"/>
        <v>48.78</v>
      </c>
      <c r="H13" s="47"/>
      <c r="I13" s="56">
        <f>I12</f>
        <v>1</v>
      </c>
      <c r="J13" s="56"/>
      <c r="K13" s="49">
        <f t="shared" si="3"/>
        <v>48.78</v>
      </c>
      <c r="L13" s="50">
        <f t="shared" si="4"/>
        <v>189004</v>
      </c>
      <c r="M13" s="1" t="str">
        <f>IF(ROUND(G13,2)=ROUND(SUM(G31:G33),2)," ","CHECK 2. PK-3 Lines Below")</f>
        <v xml:space="preserve"> </v>
      </c>
      <c r="N13" s="51">
        <v>5102</v>
      </c>
      <c r="O13" s="57" t="s">
        <v>36</v>
      </c>
      <c r="Q13" s="53"/>
      <c r="V13" s="357" t="s">
        <v>35</v>
      </c>
      <c r="W13" s="357"/>
      <c r="X13" s="396">
        <f>IF('2801'!K$84=1,'2801'!G13,0)</f>
        <v>0</v>
      </c>
      <c r="Y13" s="396"/>
      <c r="Z13" s="397">
        <v>1</v>
      </c>
      <c r="AA13" s="397"/>
      <c r="AB13" s="54">
        <f t="shared" si="0"/>
        <v>0</v>
      </c>
      <c r="AC13" s="55">
        <f t="shared" si="1"/>
        <v>0</v>
      </c>
      <c r="AD13" s="9"/>
    </row>
    <row r="14" spans="1:30" x14ac:dyDescent="0.3">
      <c r="A14" s="1" t="s">
        <v>37</v>
      </c>
      <c r="B14" s="13" t="s">
        <v>38</v>
      </c>
      <c r="C14" s="13"/>
      <c r="D14" s="314">
        <v>8</v>
      </c>
      <c r="E14" s="13">
        <v>0</v>
      </c>
      <c r="F14" s="13">
        <v>0</v>
      </c>
      <c r="G14" s="46">
        <f t="shared" si="2"/>
        <v>16</v>
      </c>
      <c r="H14" s="47"/>
      <c r="I14" s="56">
        <v>1.0109999999999999</v>
      </c>
      <c r="J14" s="56"/>
      <c r="K14" s="49">
        <f t="shared" si="3"/>
        <v>16.175999999999998</v>
      </c>
      <c r="L14" s="50">
        <f t="shared" si="4"/>
        <v>62676</v>
      </c>
      <c r="N14" s="51">
        <v>5103</v>
      </c>
      <c r="O14" s="52">
        <v>103</v>
      </c>
      <c r="Q14" s="53"/>
      <c r="V14" s="357" t="s">
        <v>38</v>
      </c>
      <c r="W14" s="357"/>
      <c r="X14" s="396">
        <f>IF('2801'!K$84=1,'2801'!G14,0)</f>
        <v>0</v>
      </c>
      <c r="Y14" s="396"/>
      <c r="Z14" s="397">
        <v>1</v>
      </c>
      <c r="AA14" s="397"/>
      <c r="AB14" s="54">
        <f t="shared" si="0"/>
        <v>0</v>
      </c>
      <c r="AC14" s="55">
        <f t="shared" si="1"/>
        <v>0</v>
      </c>
      <c r="AD14" s="9"/>
    </row>
    <row r="15" spans="1:30" x14ac:dyDescent="0.3">
      <c r="A15" s="1" t="s">
        <v>39</v>
      </c>
      <c r="B15" s="13" t="s">
        <v>40</v>
      </c>
      <c r="C15" s="13"/>
      <c r="D15" s="314">
        <v>1.76</v>
      </c>
      <c r="E15" s="13">
        <v>0</v>
      </c>
      <c r="F15" s="13">
        <v>0</v>
      </c>
      <c r="G15" s="46">
        <f t="shared" si="2"/>
        <v>3.52</v>
      </c>
      <c r="H15" s="47"/>
      <c r="I15" s="56">
        <f>I14</f>
        <v>1.0109999999999999</v>
      </c>
      <c r="J15" s="56"/>
      <c r="K15" s="49">
        <f t="shared" si="3"/>
        <v>3.5587</v>
      </c>
      <c r="L15" s="58">
        <f t="shared" si="4"/>
        <v>13789</v>
      </c>
      <c r="M15" s="1" t="str">
        <f>IF(ROUND(G15,2)=ROUND(SUM(G34:G36),2)," ","CHECK 2. PK-3 Lines Below")</f>
        <v xml:space="preserve"> </v>
      </c>
      <c r="N15" s="51">
        <v>5103</v>
      </c>
      <c r="O15" s="57" t="s">
        <v>41</v>
      </c>
      <c r="Q15" s="53"/>
      <c r="V15" s="357" t="s">
        <v>40</v>
      </c>
      <c r="W15" s="357"/>
      <c r="X15" s="396">
        <f>IF('2801'!K$84=1,'2801'!G15,0)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IF('2801'!K$84=1,'2801'!G16,0)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IF('2801'!K$84=1,'2801'!G17,0)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IF('2801'!K$84=1,'2801'!G18,0)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IF('2801'!K$84=1,'2801'!G19,0)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IF('2801'!K$84=1,'2801'!G20,0)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IF('2801'!K$84=1,'2801'!G21,0)</f>
        <v>0</v>
      </c>
      <c r="Y21" s="396"/>
      <c r="Z21" s="397">
        <v>1</v>
      </c>
      <c r="AA21" s="397"/>
      <c r="AB21" s="54">
        <f t="shared" si="0"/>
        <v>0</v>
      </c>
      <c r="AC21" s="55">
        <f t="shared" si="1"/>
        <v>0</v>
      </c>
      <c r="AD21" s="9"/>
    </row>
    <row r="22" spans="1:30" ht="15.5" x14ac:dyDescent="0.35">
      <c r="A22" s="1" t="s">
        <v>54</v>
      </c>
      <c r="B22" s="13" t="s">
        <v>55</v>
      </c>
      <c r="C22" s="13"/>
      <c r="D22" s="314">
        <v>48.26</v>
      </c>
      <c r="E22" s="13">
        <v>0</v>
      </c>
      <c r="F22" s="13">
        <v>53.96</v>
      </c>
      <c r="G22" s="46">
        <f t="shared" si="2"/>
        <v>96.52</v>
      </c>
      <c r="H22" s="47"/>
      <c r="I22" s="56">
        <v>1.145</v>
      </c>
      <c r="J22" s="56"/>
      <c r="K22" s="49">
        <f t="shared" si="3"/>
        <v>110.5154</v>
      </c>
      <c r="L22" s="50">
        <f t="shared" si="4"/>
        <v>428206</v>
      </c>
      <c r="N22" s="51">
        <v>5101</v>
      </c>
      <c r="O22" s="52">
        <v>130</v>
      </c>
      <c r="Q22" s="53"/>
      <c r="V22" s="357" t="s">
        <v>55</v>
      </c>
      <c r="W22" s="357"/>
      <c r="X22" s="396">
        <f>IF('2801'!K$84=1,'2801'!G22,0)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IF('2801'!K$84=1,'2801'!G23,0)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IF('2801'!K$84=1,'2801'!G24,0)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IF('2801'!K$84=1,'2801'!G25,0)</f>
        <v>0</v>
      </c>
      <c r="Y25" s="396"/>
      <c r="Z25" s="397">
        <v>1</v>
      </c>
      <c r="AA25" s="397"/>
      <c r="AB25" s="54">
        <f t="shared" si="0"/>
        <v>0</v>
      </c>
      <c r="AC25" s="55">
        <f t="shared" si="1"/>
        <v>0</v>
      </c>
      <c r="AD25" s="9"/>
    </row>
    <row r="26" spans="1:30" ht="20.25" customHeight="1" thickBot="1" x14ac:dyDescent="0.35">
      <c r="B26" s="61" t="s">
        <v>62</v>
      </c>
      <c r="C26" s="61"/>
      <c r="D26" s="320">
        <f t="shared" ref="D26:E26" si="5">SUM(D10:D25)</f>
        <v>519.96</v>
      </c>
      <c r="E26" s="62">
        <f t="shared" si="5"/>
        <v>0</v>
      </c>
      <c r="F26" s="62"/>
      <c r="G26" s="62">
        <f>SUM(G10:G25)</f>
        <v>1039.92</v>
      </c>
      <c r="H26" s="63"/>
      <c r="I26" s="63"/>
      <c r="J26" s="64"/>
      <c r="K26" s="65">
        <f>SUM(K10:K25)</f>
        <v>1103.1776</v>
      </c>
      <c r="L26" s="66">
        <f>SUM(L10:L25)</f>
        <v>4274400</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18.5</v>
      </c>
      <c r="E28" s="13">
        <v>0</v>
      </c>
      <c r="F28" s="78">
        <v>12.5</v>
      </c>
      <c r="G28" s="46">
        <f>IF(E28=0,D28*2,D28+E28)</f>
        <v>37</v>
      </c>
      <c r="H28" s="79"/>
      <c r="I28" s="80" t="s">
        <v>70</v>
      </c>
      <c r="J28" s="51">
        <v>251</v>
      </c>
      <c r="K28" s="81">
        <v>1047</v>
      </c>
      <c r="L28" s="82">
        <f>ROUND(G28*K28,0)</f>
        <v>38739</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24.39</v>
      </c>
      <c r="E31" s="13">
        <v>0</v>
      </c>
      <c r="F31" s="89">
        <v>16</v>
      </c>
      <c r="G31" s="46">
        <f t="shared" si="7"/>
        <v>48.78</v>
      </c>
      <c r="H31" s="79"/>
      <c r="I31" s="90" t="s">
        <v>74</v>
      </c>
      <c r="J31" s="51">
        <v>251</v>
      </c>
      <c r="K31" s="81">
        <v>1173</v>
      </c>
      <c r="L31" s="82">
        <f t="shared" si="8"/>
        <v>57219</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1.76</v>
      </c>
      <c r="E34" s="13">
        <v>0</v>
      </c>
      <c r="F34" s="89">
        <v>0</v>
      </c>
      <c r="G34" s="46">
        <f t="shared" si="7"/>
        <v>3.52</v>
      </c>
      <c r="H34" s="79"/>
      <c r="I34" s="90" t="s">
        <v>78</v>
      </c>
      <c r="J34" s="51">
        <v>251</v>
      </c>
      <c r="K34" s="81">
        <v>835</v>
      </c>
      <c r="L34" s="82">
        <f t="shared" si="8"/>
        <v>2939</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44.65</v>
      </c>
      <c r="E37" s="62">
        <f t="shared" si="10"/>
        <v>0</v>
      </c>
      <c r="F37" s="62"/>
      <c r="G37" s="62">
        <f>SUM(G28:G36)</f>
        <v>89.3</v>
      </c>
      <c r="H37" s="63"/>
      <c r="I37" s="13" t="s">
        <v>82</v>
      </c>
      <c r="J37" s="13"/>
      <c r="K37" s="13"/>
      <c r="L37" s="50">
        <f>SUM(L28:L36)</f>
        <v>98897</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199665</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4572962</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551.94290000000001</v>
      </c>
      <c r="D47" s="121"/>
      <c r="E47" s="121"/>
      <c r="F47" s="121"/>
      <c r="G47" s="122">
        <f>K7</f>
        <v>1.0326</v>
      </c>
      <c r="H47" s="122"/>
      <c r="I47" s="123">
        <v>1316.85</v>
      </c>
      <c r="J47" s="124" t="s">
        <v>97</v>
      </c>
      <c r="K47" s="125">
        <f>ROUND(C47*G47*I47,0)</f>
        <v>750521</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531.5</v>
      </c>
      <c r="D48" s="121"/>
      <c r="E48" s="121"/>
      <c r="F48" s="121"/>
      <c r="G48" s="122">
        <f>K7</f>
        <v>1.0326</v>
      </c>
      <c r="H48" s="122"/>
      <c r="I48" s="123">
        <v>898.23</v>
      </c>
      <c r="J48" s="124" t="s">
        <v>97</v>
      </c>
      <c r="K48" s="125">
        <f>ROUND(C48*G48*I48,0)</f>
        <v>492973</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19.734699999999997</v>
      </c>
      <c r="D49" s="121"/>
      <c r="E49" s="121"/>
      <c r="F49" s="121"/>
      <c r="G49" s="122">
        <f>K7</f>
        <v>1.0326</v>
      </c>
      <c r="H49" s="122"/>
      <c r="I49" s="123">
        <v>900.39</v>
      </c>
      <c r="J49" s="124" t="s">
        <v>97</v>
      </c>
      <c r="K49" s="125">
        <f>ROUND(C49*G49*I49,0)</f>
        <v>18348</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1103.1776</v>
      </c>
      <c r="D50" s="144"/>
      <c r="E50" s="145"/>
      <c r="F50" s="145"/>
      <c r="G50" s="146" t="s">
        <v>99</v>
      </c>
      <c r="H50" s="146"/>
      <c r="I50" s="146"/>
      <c r="J50" s="146"/>
      <c r="K50" s="146"/>
      <c r="L50" s="50">
        <f>IF(B2=75,0,K49+K48+K47)</f>
        <v>1261842</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1103.1776</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5.7120000000000001E-3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1039.92</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5.7970000000000001E-3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5.7120000000000001E-3</v>
      </c>
      <c r="L59" s="50">
        <f>ROUND(I59*K59,0)</f>
        <v>23550</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5.7120000000000001E-3</v>
      </c>
      <c r="L67" s="50">
        <f>ROUND(I67*K67,0)</f>
        <v>552776</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5.7970000000000001E-3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5.7120000000000001E-3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5.7120000000000001E-3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5.7970000000000001E-3</v>
      </c>
      <c r="L72" s="50">
        <f>ROUND(I72*K72,0)</f>
        <v>81838</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419</v>
      </c>
      <c r="AA74" s="171" t="s">
        <v>129</v>
      </c>
      <c r="AB74" s="172">
        <f>+K75</f>
        <v>360</v>
      </c>
      <c r="AC74" s="55">
        <f>ROUND(AB74*Z74,0)</f>
        <v>150840</v>
      </c>
      <c r="AD74" s="9"/>
    </row>
    <row r="75" spans="1:30" ht="19.5" customHeight="1" x14ac:dyDescent="0.3">
      <c r="A75" s="1" t="s">
        <v>130</v>
      </c>
      <c r="B75" s="173" t="s">
        <v>127</v>
      </c>
      <c r="C75" s="174" t="s">
        <v>128</v>
      </c>
      <c r="D75" s="173">
        <v>419</v>
      </c>
      <c r="E75" s="173">
        <v>0</v>
      </c>
      <c r="F75" s="173">
        <v>0</v>
      </c>
      <c r="G75" s="175">
        <f>IF(E75=0,D75,E75)</f>
        <v>419</v>
      </c>
      <c r="H75" s="176"/>
      <c r="I75" s="177">
        <f>AVERAGE(G75,D75)</f>
        <v>419</v>
      </c>
      <c r="J75" s="178" t="s">
        <v>129</v>
      </c>
      <c r="K75" s="179">
        <v>360</v>
      </c>
      <c r="L75" s="50">
        <f>ROUND(K75*I75,0)</f>
        <v>150840</v>
      </c>
      <c r="N75" s="1">
        <v>7802</v>
      </c>
      <c r="O75" s="1">
        <v>0</v>
      </c>
      <c r="V75" s="358" t="s">
        <v>127</v>
      </c>
      <c r="W75" s="358"/>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5.7120000000000001E-3</v>
      </c>
      <c r="L77" s="50">
        <f>ROUND(I77*K77,0)</f>
        <v>186887</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5.7120000000000001E-3</v>
      </c>
      <c r="L78" s="50">
        <f>ROUND(I78*K78,0)</f>
        <v>3820</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152195</v>
      </c>
      <c r="AD81" s="195"/>
    </row>
    <row r="82" spans="1:30" ht="22.5" customHeight="1" thickTop="1" thickBot="1" x14ac:dyDescent="0.35">
      <c r="B82" s="13" t="s">
        <v>141</v>
      </c>
      <c r="C82" s="13"/>
      <c r="D82" s="13"/>
      <c r="E82" s="13"/>
      <c r="F82" s="13"/>
      <c r="G82" s="13"/>
      <c r="H82" s="13"/>
      <c r="I82" s="13"/>
      <c r="J82" s="13"/>
      <c r="K82" s="13"/>
      <c r="L82" s="196">
        <f>SUM(L44:L81)</f>
        <v>6835870</v>
      </c>
      <c r="M82" s="30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'2801'!AC81</f>
        <v>152195</v>
      </c>
      <c r="M84" s="306"/>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400</v>
      </c>
      <c r="C86" s="13"/>
      <c r="D86" s="13"/>
      <c r="E86" s="13"/>
      <c r="F86" s="13"/>
      <c r="G86" s="13"/>
      <c r="H86" s="13"/>
      <c r="I86" s="13"/>
      <c r="J86" s="204" t="s">
        <v>150</v>
      </c>
      <c r="K86" s="205">
        <f>IF(K84=1,L84,L82)</f>
        <v>6835870</v>
      </c>
      <c r="L86" s="82">
        <f>IF(G26=0,0,IF(G26&gt;250,-(((250/G26)*K86)*IF(M86="H",0.02,0.05)),IF(M86="H",-0.02*K86,-0.05*K86)))</f>
        <v>-32867.287868297557</v>
      </c>
      <c r="M86" s="197" t="str">
        <f>IF(B123="2801","H",IF(B123="2911","H",IF(B123="3382","H"," ")))</f>
        <v>H</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6803002.7121317023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3689372</v>
      </c>
      <c r="G89" s="13"/>
      <c r="H89" s="13"/>
      <c r="I89" s="13"/>
      <c r="J89" s="13"/>
      <c r="K89" s="206"/>
      <c r="L89" s="82">
        <v>-4727201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2075801.7121317023</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518950.42803292559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103850.11213170244</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239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240</v>
      </c>
      <c r="C123" s="219" t="s">
        <v>200</v>
      </c>
    </row>
    <row r="124" spans="2:3" ht="15.5" hidden="1" x14ac:dyDescent="0.35">
      <c r="B124" s="223" t="s">
        <v>241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41646.469085648103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51"/>
  <sheetViews>
    <sheetView topLeftCell="B74"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'2911'!B2</f>
        <v>50</v>
      </c>
      <c r="W2" s="413" t="s">
        <v>4</v>
      </c>
      <c r="X2" s="414"/>
      <c r="Y2" s="415"/>
      <c r="Z2" s="415"/>
      <c r="AA2" s="415"/>
      <c r="AB2" s="415"/>
      <c r="AC2" s="415"/>
      <c r="AD2" s="9"/>
    </row>
    <row r="3" spans="1:30" ht="20" x14ac:dyDescent="0.4">
      <c r="B3" s="10" t="str">
        <f>"Revenue Estimate Worksheet for "&amp;B124</f>
        <v>Revenue Estimate Worksheet for Western Academy Charter School</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'2911'!G7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69.37</v>
      </c>
      <c r="E10" s="45">
        <v>0</v>
      </c>
      <c r="F10" s="45">
        <v>83.23</v>
      </c>
      <c r="G10" s="46">
        <f>IF(E10=0,D10*2,D10+E10)</f>
        <v>138.74</v>
      </c>
      <c r="H10" s="47"/>
      <c r="I10" s="48">
        <v>1.125</v>
      </c>
      <c r="J10" s="48"/>
      <c r="K10" s="49">
        <f>ROUND(G10*I10,4)</f>
        <v>156.08250000000001</v>
      </c>
      <c r="L10" s="50">
        <f>ROUND(ROUND(K10*$G$7,4)*($K$7),0)</f>
        <v>604761</v>
      </c>
      <c r="N10" s="51">
        <v>5101</v>
      </c>
      <c r="O10" s="52">
        <v>101</v>
      </c>
      <c r="Q10" s="53"/>
      <c r="V10" s="404" t="s">
        <v>28</v>
      </c>
      <c r="W10" s="404"/>
      <c r="X10" s="396">
        <f>IF('2911'!K$84=1,'2911'!G10,0)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14.5</v>
      </c>
      <c r="E11" s="13">
        <v>0</v>
      </c>
      <c r="F11" s="13">
        <v>18.03</v>
      </c>
      <c r="G11" s="46">
        <f t="shared" ref="G11:G25" si="2">IF(E11=0,D11*2,D11+E11)</f>
        <v>29</v>
      </c>
      <c r="H11" s="47"/>
      <c r="I11" s="56">
        <f>I10</f>
        <v>1.125</v>
      </c>
      <c r="J11" s="56"/>
      <c r="K11" s="49">
        <f t="shared" ref="K11:K25" si="3">ROUND(G11*I11,4)</f>
        <v>32.625</v>
      </c>
      <c r="L11" s="50">
        <f t="shared" ref="L11:L25" si="4">ROUND(ROUND(K11*$G$7,4)*($K$7),0)</f>
        <v>126410</v>
      </c>
      <c r="M11" s="1" t="str">
        <f>IF(ROUND(G11,2)=ROUND(SUM(G28:G30),2)," ","CHECK 2. PK-3 Lines Below")</f>
        <v xml:space="preserve"> </v>
      </c>
      <c r="N11" s="51">
        <v>5101</v>
      </c>
      <c r="O11" s="57" t="s">
        <v>31</v>
      </c>
      <c r="Q11" s="53"/>
      <c r="V11" s="357" t="s">
        <v>30</v>
      </c>
      <c r="W11" s="357"/>
      <c r="X11" s="396">
        <f>IF('2911'!K$84=1,'2911'!G11,0)</f>
        <v>0</v>
      </c>
      <c r="Y11" s="396"/>
      <c r="Z11" s="397">
        <v>1</v>
      </c>
      <c r="AA11" s="397"/>
      <c r="AB11" s="54">
        <f t="shared" si="0"/>
        <v>0</v>
      </c>
      <c r="AC11" s="55">
        <f t="shared" si="1"/>
        <v>0</v>
      </c>
      <c r="AD11" s="9"/>
    </row>
    <row r="12" spans="1:30" x14ac:dyDescent="0.3">
      <c r="A12" s="1" t="s">
        <v>32</v>
      </c>
      <c r="B12" s="13" t="s">
        <v>33</v>
      </c>
      <c r="C12" s="13"/>
      <c r="D12" s="314">
        <v>91.19</v>
      </c>
      <c r="E12" s="13">
        <v>0</v>
      </c>
      <c r="F12" s="13">
        <v>129.19999999999999</v>
      </c>
      <c r="G12" s="46">
        <f t="shared" si="2"/>
        <v>182.38</v>
      </c>
      <c r="H12" s="47"/>
      <c r="I12" s="56">
        <v>1</v>
      </c>
      <c r="J12" s="56"/>
      <c r="K12" s="49">
        <f t="shared" si="3"/>
        <v>182.38</v>
      </c>
      <c r="L12" s="50">
        <f t="shared" si="4"/>
        <v>706654</v>
      </c>
      <c r="N12" s="51">
        <v>5102</v>
      </c>
      <c r="O12" s="52">
        <v>102</v>
      </c>
      <c r="Q12" s="53"/>
      <c r="V12" s="357" t="s">
        <v>33</v>
      </c>
      <c r="W12" s="357"/>
      <c r="X12" s="396">
        <f>IF('2911'!K$84=1,'2911'!G12,0)</f>
        <v>0</v>
      </c>
      <c r="Y12" s="396"/>
      <c r="Z12" s="397">
        <v>1</v>
      </c>
      <c r="AA12" s="397"/>
      <c r="AB12" s="54">
        <f t="shared" si="0"/>
        <v>0</v>
      </c>
      <c r="AC12" s="55">
        <f t="shared" si="1"/>
        <v>0</v>
      </c>
      <c r="AD12" s="9"/>
    </row>
    <row r="13" spans="1:30" x14ac:dyDescent="0.3">
      <c r="A13" s="1" t="s">
        <v>34</v>
      </c>
      <c r="B13" s="13" t="s">
        <v>35</v>
      </c>
      <c r="C13" s="13"/>
      <c r="D13" s="314">
        <v>15</v>
      </c>
      <c r="E13" s="13">
        <v>0</v>
      </c>
      <c r="F13" s="13">
        <v>20.63</v>
      </c>
      <c r="G13" s="46">
        <f t="shared" si="2"/>
        <v>30</v>
      </c>
      <c r="H13" s="47"/>
      <c r="I13" s="56">
        <f>I12</f>
        <v>1</v>
      </c>
      <c r="J13" s="56"/>
      <c r="K13" s="49">
        <f t="shared" si="3"/>
        <v>30</v>
      </c>
      <c r="L13" s="50">
        <f t="shared" si="4"/>
        <v>116239</v>
      </c>
      <c r="M13" s="1" t="str">
        <f>IF(ROUND(G13,2)=ROUND(SUM(G31:G33),2)," ","CHECK 2. PK-3 Lines Below")</f>
        <v xml:space="preserve"> </v>
      </c>
      <c r="N13" s="51">
        <v>5102</v>
      </c>
      <c r="O13" s="57" t="s">
        <v>36</v>
      </c>
      <c r="Q13" s="53"/>
      <c r="V13" s="357" t="s">
        <v>35</v>
      </c>
      <c r="W13" s="357"/>
      <c r="X13" s="396">
        <f>IF('2911'!K$84=1,'2911'!G13,0)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IF('2911'!K$84=1,'2911'!G14,0)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IF('2911'!K$84=1,'2911'!G15,0)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IF('2911'!K$84=1,'2911'!G16,0)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IF('2911'!K$84=1,'2911'!G17,0)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IF('2911'!K$84=1,'2911'!G18,0)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IF('2911'!K$84=1,'2911'!G19,0)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IF('2911'!K$84=1,'2911'!G20,0)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IF('2911'!K$84=1,'2911'!G21,0)</f>
        <v>0</v>
      </c>
      <c r="Y21" s="396"/>
      <c r="Z21" s="397">
        <v>1</v>
      </c>
      <c r="AA21" s="397"/>
      <c r="AB21" s="54">
        <f t="shared" si="0"/>
        <v>0</v>
      </c>
      <c r="AC21" s="55">
        <f t="shared" si="1"/>
        <v>0</v>
      </c>
      <c r="AD21" s="9"/>
    </row>
    <row r="22" spans="1:30" ht="15.5" x14ac:dyDescent="0.35">
      <c r="A22" s="1" t="s">
        <v>54</v>
      </c>
      <c r="B22" s="13" t="s">
        <v>55</v>
      </c>
      <c r="C22" s="13"/>
      <c r="D22" s="314">
        <v>1.19</v>
      </c>
      <c r="E22" s="13">
        <v>0</v>
      </c>
      <c r="F22" s="13">
        <v>1.43</v>
      </c>
      <c r="G22" s="46">
        <f t="shared" si="2"/>
        <v>2.38</v>
      </c>
      <c r="H22" s="47"/>
      <c r="I22" s="56">
        <v>1.145</v>
      </c>
      <c r="J22" s="56"/>
      <c r="K22" s="49">
        <f t="shared" si="3"/>
        <v>2.7250999999999999</v>
      </c>
      <c r="L22" s="50">
        <f t="shared" si="4"/>
        <v>10559</v>
      </c>
      <c r="N22" s="51">
        <v>5101</v>
      </c>
      <c r="O22" s="52">
        <v>130</v>
      </c>
      <c r="Q22" s="53"/>
      <c r="V22" s="357" t="s">
        <v>55</v>
      </c>
      <c r="W22" s="357"/>
      <c r="X22" s="396">
        <f>IF('2911'!K$84=1,'2911'!G22,0)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IF('2911'!K$84=1,'2911'!G23,0)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IF('2911'!K$84=1,'2911'!G24,0)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IF('2911'!K$84=1,'2911'!G25,0)</f>
        <v>0</v>
      </c>
      <c r="Y25" s="396"/>
      <c r="Z25" s="397">
        <v>1</v>
      </c>
      <c r="AA25" s="397"/>
      <c r="AB25" s="54">
        <f t="shared" si="0"/>
        <v>0</v>
      </c>
      <c r="AC25" s="55">
        <f t="shared" si="1"/>
        <v>0</v>
      </c>
      <c r="AD25" s="9"/>
    </row>
    <row r="26" spans="1:30" ht="20.25" customHeight="1" thickBot="1" x14ac:dyDescent="0.35">
      <c r="B26" s="61" t="s">
        <v>62</v>
      </c>
      <c r="C26" s="61"/>
      <c r="D26" s="320">
        <f t="shared" ref="D26:E26" si="5">SUM(D10:D25)</f>
        <v>191.25</v>
      </c>
      <c r="E26" s="62">
        <f t="shared" si="5"/>
        <v>0</v>
      </c>
      <c r="F26" s="62"/>
      <c r="G26" s="62">
        <f>SUM(G10:G25)</f>
        <v>382.5</v>
      </c>
      <c r="H26" s="63"/>
      <c r="I26" s="63"/>
      <c r="J26" s="64"/>
      <c r="K26" s="65">
        <f>SUM(K10:K25)</f>
        <v>403.81259999999997</v>
      </c>
      <c r="L26" s="66">
        <f>SUM(L10:L25)</f>
        <v>1564623</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11</v>
      </c>
      <c r="E28" s="13">
        <v>0</v>
      </c>
      <c r="F28" s="78">
        <v>11</v>
      </c>
      <c r="G28" s="46">
        <f>IF(E28=0,D28*2,D28+E28)</f>
        <v>22</v>
      </c>
      <c r="H28" s="79"/>
      <c r="I28" s="80" t="s">
        <v>70</v>
      </c>
      <c r="J28" s="51">
        <v>251</v>
      </c>
      <c r="K28" s="81">
        <v>1047</v>
      </c>
      <c r="L28" s="82">
        <f>ROUND(G28*K28,0)</f>
        <v>23034</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15</v>
      </c>
      <c r="E31" s="13">
        <v>0</v>
      </c>
      <c r="F31" s="89">
        <v>16.5</v>
      </c>
      <c r="G31" s="46">
        <f t="shared" si="7"/>
        <v>30</v>
      </c>
      <c r="H31" s="79"/>
      <c r="I31" s="90" t="s">
        <v>74</v>
      </c>
      <c r="J31" s="51">
        <v>251</v>
      </c>
      <c r="K31" s="81">
        <v>1173</v>
      </c>
      <c r="L31" s="82">
        <f t="shared" si="8"/>
        <v>35190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2</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29.5</v>
      </c>
      <c r="E37" s="62">
        <f t="shared" si="10"/>
        <v>0</v>
      </c>
      <c r="F37" s="62"/>
      <c r="G37" s="62">
        <f>SUM(G28:G36)</f>
        <v>59</v>
      </c>
      <c r="H37" s="63"/>
      <c r="I37" s="13" t="s">
        <v>82</v>
      </c>
      <c r="J37" s="13"/>
      <c r="K37" s="13"/>
      <c r="L37" s="50">
        <f>SUM(L28:L36)</f>
        <v>81884</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73440</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1719947</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191.43260000000001</v>
      </c>
      <c r="D47" s="121"/>
      <c r="E47" s="121"/>
      <c r="F47" s="121"/>
      <c r="G47" s="122">
        <f>K7</f>
        <v>1.0326</v>
      </c>
      <c r="H47" s="122"/>
      <c r="I47" s="123">
        <v>1316.85</v>
      </c>
      <c r="J47" s="124" t="s">
        <v>97</v>
      </c>
      <c r="K47" s="125">
        <f>ROUND(C47*G47*I47,0)</f>
        <v>260306</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212.38</v>
      </c>
      <c r="D48" s="121"/>
      <c r="E48" s="121"/>
      <c r="F48" s="121"/>
      <c r="G48" s="122">
        <f>K7</f>
        <v>1.0326</v>
      </c>
      <c r="H48" s="122"/>
      <c r="I48" s="123">
        <v>898.23</v>
      </c>
      <c r="J48" s="124" t="s">
        <v>97</v>
      </c>
      <c r="K48" s="125">
        <f>ROUND(C48*G48*I48,0)</f>
        <v>196985</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403.81259999999997</v>
      </c>
      <c r="D50" s="144"/>
      <c r="E50" s="145"/>
      <c r="F50" s="145"/>
      <c r="G50" s="146" t="s">
        <v>99</v>
      </c>
      <c r="H50" s="146"/>
      <c r="I50" s="146"/>
      <c r="J50" s="146"/>
      <c r="K50" s="146"/>
      <c r="L50" s="50">
        <f>IF(B2=75,0,K49+K48+K47)</f>
        <v>457291</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403.81259999999997</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2.091E-3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382.5</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2.1320000000000002E-3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2.091E-3</v>
      </c>
      <c r="L59" s="50">
        <f>ROUND(I59*K59,0)</f>
        <v>8621</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2.091E-3</v>
      </c>
      <c r="L67" s="50">
        <f>ROUND(I67*K67,0)</f>
        <v>202356</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2.1320000000000002E-3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2.091E-3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2.091E-3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2.1320000000000002E-3</v>
      </c>
      <c r="L72" s="50">
        <f>ROUND(I72*K72,0)</f>
        <v>30098</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2.091E-3</v>
      </c>
      <c r="L77" s="50">
        <f>ROUND(I77*K77,0)</f>
        <v>68414</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2.091E-3</v>
      </c>
      <c r="L78" s="50">
        <f>ROUND(I78*K78,0)</f>
        <v>1398</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2488125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306"/>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'2911'!AC81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400</v>
      </c>
      <c r="C86" s="13"/>
      <c r="D86" s="13"/>
      <c r="E86" s="13"/>
      <c r="F86" s="13"/>
      <c r="G86" s="13"/>
      <c r="H86" s="13"/>
      <c r="I86" s="13"/>
      <c r="J86" s="204" t="s">
        <v>150</v>
      </c>
      <c r="K86" s="205">
        <f>IF(K84=1,L84,L82)</f>
        <v>2488125</v>
      </c>
      <c r="L86" s="82">
        <f>IF(G26=0,0,IF(G26&gt;250,-(((250/G26)*K86)*IF(M86="H",0.02,0.05)),IF(M86="H",-0.02*K86,-0.05*K86)))</f>
        <v>-32524.50980392157</v>
      </c>
      <c r="M86" s="197" t="str">
        <f>IF(B123="2801","H",IF(B123="2911","H",IF(B123="3382","H"," ")))</f>
        <v>H</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2455600.4901960786</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1210504</v>
      </c>
      <c r="G89" s="13"/>
      <c r="H89" s="13"/>
      <c r="I89" s="13"/>
      <c r="J89" s="13"/>
      <c r="K89" s="206"/>
      <c r="L89" s="82">
        <v>-1625536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830064.49019607855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207516.12254901964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17237.99019607843</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242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243</v>
      </c>
      <c r="C123" s="219" t="s">
        <v>200</v>
      </c>
    </row>
    <row r="124" spans="2:3" ht="15.5" hidden="1" x14ac:dyDescent="0.35">
      <c r="B124" s="223" t="s">
        <v>244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41646.469097222202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51"/>
  <sheetViews>
    <sheetView topLeftCell="B80" zoomScale="80" zoomScaleNormal="80" workbookViewId="0">
      <selection activeCell="E24" sqref="E24"/>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29" width="15.90625" style="1" bestFit="1" customWidth="1"/>
    <col min="30"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'2941'!B2</f>
        <v>50</v>
      </c>
      <c r="W2" s="413" t="s">
        <v>4</v>
      </c>
      <c r="X2" s="414"/>
      <c r="Y2" s="415"/>
      <c r="Z2" s="415"/>
      <c r="AA2" s="415"/>
      <c r="AB2" s="415"/>
      <c r="AC2" s="415"/>
      <c r="AD2" s="9"/>
    </row>
    <row r="3" spans="1:30" ht="20" x14ac:dyDescent="0.4">
      <c r="B3" s="10" t="str">
        <f>"Revenue Estimate Worksheet for "&amp;B124</f>
        <v>Revenue Estimate Worksheet for Palm Beach School for Autism</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'2941'!G7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IF('2941'!K$84=1,'2941'!G10,0)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11</v>
      </c>
      <c r="E11" s="13">
        <v>0</v>
      </c>
      <c r="F11" s="13">
        <v>11.8</v>
      </c>
      <c r="G11" s="46">
        <f t="shared" ref="G11:G25" si="2">IF(E11=0,D11*2,D11+E11)</f>
        <v>22</v>
      </c>
      <c r="H11" s="47"/>
      <c r="I11" s="56">
        <f>I10</f>
        <v>1.125</v>
      </c>
      <c r="J11" s="56"/>
      <c r="K11" s="49">
        <f t="shared" ref="K11:K25" si="3">ROUND(G11*I11,4)</f>
        <v>24.75</v>
      </c>
      <c r="L11" s="50">
        <f t="shared" ref="L11:L25" si="4">ROUND(ROUND(K11*$G$7,4)*($K$7),0)</f>
        <v>95897</v>
      </c>
      <c r="M11" s="1" t="str">
        <f>IF(ROUND(G11,2)=ROUND(SUM(G28:G30),2)," ","CHECK 2. PK-3 Lines Below")</f>
        <v xml:space="preserve"> </v>
      </c>
      <c r="N11" s="51">
        <v>5101</v>
      </c>
      <c r="O11" s="57" t="s">
        <v>31</v>
      </c>
      <c r="Q11" s="53"/>
      <c r="V11" s="357" t="s">
        <v>30</v>
      </c>
      <c r="W11" s="357"/>
      <c r="X11" s="396">
        <f>IF('2941'!K$84=1,'2941'!G11,0)</f>
        <v>22</v>
      </c>
      <c r="Y11" s="396"/>
      <c r="Z11" s="397">
        <v>1</v>
      </c>
      <c r="AA11" s="397"/>
      <c r="AB11" s="54">
        <f t="shared" si="0"/>
        <v>22</v>
      </c>
      <c r="AC11" s="55">
        <f t="shared" si="1"/>
        <v>85242</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IF('2941'!K$84=1,'2941'!G12,0)</f>
        <v>0</v>
      </c>
      <c r="Y12" s="396"/>
      <c r="Z12" s="397">
        <v>1</v>
      </c>
      <c r="AA12" s="397"/>
      <c r="AB12" s="54">
        <f t="shared" si="0"/>
        <v>0</v>
      </c>
      <c r="AC12" s="55">
        <f t="shared" si="1"/>
        <v>0</v>
      </c>
      <c r="AD12" s="9"/>
    </row>
    <row r="13" spans="1:30" x14ac:dyDescent="0.3">
      <c r="A13" s="1" t="s">
        <v>34</v>
      </c>
      <c r="B13" s="13" t="s">
        <v>35</v>
      </c>
      <c r="C13" s="13"/>
      <c r="D13" s="13">
        <v>8</v>
      </c>
      <c r="E13" s="13">
        <v>0</v>
      </c>
      <c r="F13" s="13">
        <v>8.8000000000000007</v>
      </c>
      <c r="G13" s="46">
        <f t="shared" si="2"/>
        <v>16</v>
      </c>
      <c r="H13" s="47"/>
      <c r="I13" s="56">
        <f>I12</f>
        <v>1</v>
      </c>
      <c r="J13" s="56"/>
      <c r="K13" s="49">
        <f t="shared" si="3"/>
        <v>16</v>
      </c>
      <c r="L13" s="50">
        <f t="shared" si="4"/>
        <v>61994</v>
      </c>
      <c r="M13" s="1" t="str">
        <f>IF(ROUND(G13,2)=ROUND(SUM(G31:G33),2)," ","CHECK 2. PK-3 Lines Below")</f>
        <v xml:space="preserve"> </v>
      </c>
      <c r="N13" s="51">
        <v>5102</v>
      </c>
      <c r="O13" s="57" t="s">
        <v>36</v>
      </c>
      <c r="Q13" s="53"/>
      <c r="V13" s="357" t="s">
        <v>35</v>
      </c>
      <c r="W13" s="357"/>
      <c r="X13" s="396">
        <f>IF('2941'!K$84=1,'2941'!G13,0)</f>
        <v>16</v>
      </c>
      <c r="Y13" s="396"/>
      <c r="Z13" s="397">
        <v>1</v>
      </c>
      <c r="AA13" s="397"/>
      <c r="AB13" s="54">
        <f t="shared" si="0"/>
        <v>16</v>
      </c>
      <c r="AC13" s="55">
        <f t="shared" si="1"/>
        <v>61994</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IF('2941'!K$84=1,'2941'!G14,0)</f>
        <v>0</v>
      </c>
      <c r="Y14" s="396"/>
      <c r="Z14" s="397">
        <v>1</v>
      </c>
      <c r="AA14" s="397"/>
      <c r="AB14" s="54">
        <f t="shared" si="0"/>
        <v>0</v>
      </c>
      <c r="AC14" s="55">
        <f t="shared" si="1"/>
        <v>0</v>
      </c>
      <c r="AD14" s="9"/>
    </row>
    <row r="15" spans="1:30" x14ac:dyDescent="0.3">
      <c r="A15" s="1" t="s">
        <v>39</v>
      </c>
      <c r="B15" s="13" t="s">
        <v>40</v>
      </c>
      <c r="C15" s="13"/>
      <c r="D15" s="13">
        <v>1</v>
      </c>
      <c r="E15" s="13">
        <v>0</v>
      </c>
      <c r="F15" s="13">
        <v>0</v>
      </c>
      <c r="G15" s="46">
        <f t="shared" si="2"/>
        <v>2</v>
      </c>
      <c r="H15" s="47"/>
      <c r="I15" s="56">
        <f>I14</f>
        <v>1.0109999999999999</v>
      </c>
      <c r="J15" s="56"/>
      <c r="K15" s="49">
        <f t="shared" si="3"/>
        <v>2.0219999999999998</v>
      </c>
      <c r="L15" s="58">
        <f t="shared" si="4"/>
        <v>7834</v>
      </c>
      <c r="M15" s="1" t="str">
        <f>IF(ROUND(G15,2)=ROUND(SUM(G34:G36),2)," ","CHECK 2. PK-3 Lines Below")</f>
        <v xml:space="preserve"> </v>
      </c>
      <c r="N15" s="51">
        <v>5103</v>
      </c>
      <c r="O15" s="57" t="s">
        <v>41</v>
      </c>
      <c r="Q15" s="53"/>
      <c r="V15" s="357" t="s">
        <v>40</v>
      </c>
      <c r="W15" s="357"/>
      <c r="X15" s="396">
        <f>IF('2941'!K$84=1,'2941'!G15,0)</f>
        <v>2</v>
      </c>
      <c r="Y15" s="396"/>
      <c r="Z15" s="397">
        <v>1</v>
      </c>
      <c r="AA15" s="397"/>
      <c r="AB15" s="54">
        <f t="shared" si="0"/>
        <v>2</v>
      </c>
      <c r="AC15" s="59">
        <f t="shared" si="1"/>
        <v>7749</v>
      </c>
      <c r="AD15" s="9"/>
    </row>
    <row r="16" spans="1:30" ht="15.5" x14ac:dyDescent="0.35">
      <c r="A16" s="1" t="s">
        <v>42</v>
      </c>
      <c r="B16" s="13" t="s">
        <v>43</v>
      </c>
      <c r="C16" s="13"/>
      <c r="D16" s="13">
        <v>41</v>
      </c>
      <c r="E16" s="13">
        <v>0</v>
      </c>
      <c r="F16" s="13">
        <v>76.89</v>
      </c>
      <c r="G16" s="46">
        <f t="shared" si="2"/>
        <v>82</v>
      </c>
      <c r="H16" s="47"/>
      <c r="I16" s="56">
        <v>3.5579999999999998</v>
      </c>
      <c r="J16" s="56"/>
      <c r="K16" s="49">
        <f t="shared" si="3"/>
        <v>291.75599999999997</v>
      </c>
      <c r="L16" s="50">
        <f t="shared" si="4"/>
        <v>1130445</v>
      </c>
      <c r="N16" s="51">
        <v>5101</v>
      </c>
      <c r="O16" s="1">
        <v>254</v>
      </c>
      <c r="Q16" s="53"/>
      <c r="V16" s="357" t="s">
        <v>43</v>
      </c>
      <c r="W16" s="357"/>
      <c r="X16" s="396">
        <f>IF('2941'!K$84=1,'2941'!G16,0)</f>
        <v>82</v>
      </c>
      <c r="Y16" s="396"/>
      <c r="Z16" s="397">
        <v>1</v>
      </c>
      <c r="AA16" s="397"/>
      <c r="AB16" s="54">
        <f t="shared" si="0"/>
        <v>82</v>
      </c>
      <c r="AC16" s="55">
        <f t="shared" si="1"/>
        <v>317719</v>
      </c>
      <c r="AD16" s="9"/>
    </row>
    <row r="17" spans="1:30" ht="15.5" x14ac:dyDescent="0.35">
      <c r="A17" s="1" t="s">
        <v>44</v>
      </c>
      <c r="B17" s="13" t="s">
        <v>45</v>
      </c>
      <c r="C17" s="13"/>
      <c r="D17" s="13">
        <v>27</v>
      </c>
      <c r="E17" s="13">
        <v>0</v>
      </c>
      <c r="F17" s="13">
        <v>76.89</v>
      </c>
      <c r="G17" s="46">
        <f t="shared" si="2"/>
        <v>54</v>
      </c>
      <c r="H17" s="47"/>
      <c r="I17" s="56">
        <f>I16</f>
        <v>3.5579999999999998</v>
      </c>
      <c r="J17" s="56"/>
      <c r="K17" s="49">
        <f t="shared" si="3"/>
        <v>192.13200000000001</v>
      </c>
      <c r="L17" s="50">
        <f t="shared" si="4"/>
        <v>744439</v>
      </c>
      <c r="N17" s="51">
        <v>5102</v>
      </c>
      <c r="O17" s="53">
        <v>254</v>
      </c>
      <c r="Q17" s="53"/>
      <c r="V17" s="357" t="s">
        <v>45</v>
      </c>
      <c r="W17" s="357"/>
      <c r="X17" s="396">
        <f>IF('2941'!K$84=1,'2941'!G17,0)</f>
        <v>54</v>
      </c>
      <c r="Y17" s="396"/>
      <c r="Z17" s="397">
        <v>1</v>
      </c>
      <c r="AA17" s="397"/>
      <c r="AB17" s="54">
        <f t="shared" si="0"/>
        <v>54</v>
      </c>
      <c r="AC17" s="55">
        <f t="shared" si="1"/>
        <v>209230</v>
      </c>
      <c r="AD17" s="9"/>
    </row>
    <row r="18" spans="1:30" ht="15.5" x14ac:dyDescent="0.35">
      <c r="A18" s="1" t="s">
        <v>46</v>
      </c>
      <c r="B18" s="13" t="s">
        <v>47</v>
      </c>
      <c r="C18" s="13"/>
      <c r="D18" s="13">
        <v>3.5</v>
      </c>
      <c r="E18" s="13">
        <v>0</v>
      </c>
      <c r="F18" s="13">
        <v>0</v>
      </c>
      <c r="G18" s="46">
        <f t="shared" si="2"/>
        <v>7</v>
      </c>
      <c r="H18" s="47"/>
      <c r="I18" s="56">
        <f>I17</f>
        <v>3.5579999999999998</v>
      </c>
      <c r="J18" s="56"/>
      <c r="K18" s="49">
        <f t="shared" si="3"/>
        <v>24.905999999999999</v>
      </c>
      <c r="L18" s="50">
        <f t="shared" si="4"/>
        <v>96501</v>
      </c>
      <c r="N18" s="51">
        <v>5103</v>
      </c>
      <c r="O18" s="53">
        <v>254</v>
      </c>
      <c r="Q18" s="53"/>
      <c r="V18" s="357" t="s">
        <v>47</v>
      </c>
      <c r="W18" s="357"/>
      <c r="X18" s="396">
        <f>IF('2941'!K$84=1,'2941'!G18,0)</f>
        <v>7</v>
      </c>
      <c r="Y18" s="396"/>
      <c r="Z18" s="397">
        <v>1</v>
      </c>
      <c r="AA18" s="397"/>
      <c r="AB18" s="54">
        <f t="shared" si="0"/>
        <v>7</v>
      </c>
      <c r="AC18" s="55">
        <f t="shared" si="1"/>
        <v>27122</v>
      </c>
      <c r="AD18" s="9"/>
    </row>
    <row r="19" spans="1:30" ht="15" customHeight="1" x14ac:dyDescent="0.35">
      <c r="A19" s="1" t="s">
        <v>48</v>
      </c>
      <c r="B19" s="13" t="s">
        <v>49</v>
      </c>
      <c r="C19" s="13"/>
      <c r="D19" s="13">
        <v>13</v>
      </c>
      <c r="E19" s="13">
        <v>0</v>
      </c>
      <c r="F19" s="13">
        <v>34.1</v>
      </c>
      <c r="G19" s="46">
        <f t="shared" si="2"/>
        <v>26</v>
      </c>
      <c r="H19" s="47"/>
      <c r="I19" s="56">
        <v>5.0890000000000004</v>
      </c>
      <c r="J19" s="56"/>
      <c r="K19" s="49">
        <f t="shared" si="3"/>
        <v>132.31399999999999</v>
      </c>
      <c r="L19" s="50">
        <f t="shared" si="4"/>
        <v>512667</v>
      </c>
      <c r="N19" s="51">
        <v>5101</v>
      </c>
      <c r="O19" s="1">
        <v>255</v>
      </c>
      <c r="Q19" s="53"/>
      <c r="V19" s="357" t="s">
        <v>49</v>
      </c>
      <c r="W19" s="357"/>
      <c r="X19" s="396">
        <f>IF('2941'!K$84=1,'2941'!G19,0)</f>
        <v>26</v>
      </c>
      <c r="Y19" s="396"/>
      <c r="Z19" s="397">
        <v>1</v>
      </c>
      <c r="AA19" s="397"/>
      <c r="AB19" s="54">
        <f t="shared" si="0"/>
        <v>26</v>
      </c>
      <c r="AC19" s="55">
        <f t="shared" si="1"/>
        <v>100740</v>
      </c>
      <c r="AD19" s="9"/>
    </row>
    <row r="20" spans="1:30" ht="15" customHeight="1" x14ac:dyDescent="0.35">
      <c r="A20" s="1" t="s">
        <v>50</v>
      </c>
      <c r="B20" s="13" t="s">
        <v>51</v>
      </c>
      <c r="C20" s="13"/>
      <c r="D20" s="13">
        <v>16.5</v>
      </c>
      <c r="E20" s="13">
        <v>0</v>
      </c>
      <c r="F20" s="13">
        <v>34.1</v>
      </c>
      <c r="G20" s="46">
        <f t="shared" si="2"/>
        <v>33</v>
      </c>
      <c r="H20" s="47"/>
      <c r="I20" s="56">
        <f>I19</f>
        <v>5.0890000000000004</v>
      </c>
      <c r="J20" s="56"/>
      <c r="K20" s="49">
        <f t="shared" si="3"/>
        <v>167.93700000000001</v>
      </c>
      <c r="L20" s="50">
        <f t="shared" si="4"/>
        <v>650693</v>
      </c>
      <c r="N20" s="51">
        <v>5102</v>
      </c>
      <c r="O20" s="53">
        <v>255</v>
      </c>
      <c r="Q20" s="53"/>
      <c r="V20" s="357" t="s">
        <v>51</v>
      </c>
      <c r="W20" s="357"/>
      <c r="X20" s="396">
        <f>IF('2941'!K$84=1,'2941'!G20,0)</f>
        <v>33</v>
      </c>
      <c r="Y20" s="396"/>
      <c r="Z20" s="397">
        <v>1</v>
      </c>
      <c r="AA20" s="397"/>
      <c r="AB20" s="54">
        <f t="shared" si="0"/>
        <v>33</v>
      </c>
      <c r="AC20" s="55">
        <f t="shared" si="1"/>
        <v>127863</v>
      </c>
      <c r="AD20" s="9"/>
    </row>
    <row r="21" spans="1:30" ht="15" customHeight="1" x14ac:dyDescent="0.35">
      <c r="A21" s="1" t="s">
        <v>52</v>
      </c>
      <c r="B21" s="13" t="s">
        <v>53</v>
      </c>
      <c r="C21" s="13"/>
      <c r="D21" s="13">
        <v>1.5</v>
      </c>
      <c r="E21" s="13">
        <v>0</v>
      </c>
      <c r="F21" s="13">
        <v>0</v>
      </c>
      <c r="G21" s="46">
        <f t="shared" si="2"/>
        <v>3</v>
      </c>
      <c r="H21" s="47"/>
      <c r="I21" s="56">
        <f>I20</f>
        <v>5.0890000000000004</v>
      </c>
      <c r="J21" s="56"/>
      <c r="K21" s="49">
        <f t="shared" si="3"/>
        <v>15.266999999999999</v>
      </c>
      <c r="L21" s="50">
        <f t="shared" si="4"/>
        <v>59154</v>
      </c>
      <c r="N21" s="51">
        <v>5103</v>
      </c>
      <c r="O21" s="53">
        <v>255</v>
      </c>
      <c r="Q21" s="53"/>
      <c r="V21" s="357" t="s">
        <v>53</v>
      </c>
      <c r="W21" s="357"/>
      <c r="X21" s="396">
        <f>IF('2941'!K$84=1,'2941'!G21,0)</f>
        <v>3</v>
      </c>
      <c r="Y21" s="396"/>
      <c r="Z21" s="397">
        <v>1</v>
      </c>
      <c r="AA21" s="397"/>
      <c r="AB21" s="54">
        <f t="shared" si="0"/>
        <v>3</v>
      </c>
      <c r="AC21" s="55">
        <f t="shared" si="1"/>
        <v>11624</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IF('2941'!K$84=1,'2941'!G22,0)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IF('2941'!K$84=1,'2941'!G23,0)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IF('2941'!K$84=1,'2941'!G24,0)</f>
        <v>0</v>
      </c>
      <c r="Y24" s="396"/>
      <c r="Z24" s="397">
        <v>1</v>
      </c>
      <c r="AA24" s="397"/>
      <c r="AB24" s="54">
        <f t="shared" si="0"/>
        <v>0</v>
      </c>
      <c r="AC24" s="55">
        <f t="shared" si="1"/>
        <v>0</v>
      </c>
      <c r="AD24" s="9"/>
    </row>
    <row r="25" spans="1:30" ht="16" thickBot="1" x14ac:dyDescent="0.4">
      <c r="A25" s="1" t="s">
        <v>60</v>
      </c>
      <c r="B25" s="13" t="s">
        <v>61</v>
      </c>
      <c r="C25" s="13"/>
      <c r="D25" s="314"/>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IF('2941'!K$84=1,'2941'!G25,0)</f>
        <v>0</v>
      </c>
      <c r="Y25" s="396"/>
      <c r="Z25" s="397">
        <v>1</v>
      </c>
      <c r="AA25" s="397"/>
      <c r="AB25" s="54">
        <f t="shared" si="0"/>
        <v>0</v>
      </c>
      <c r="AC25" s="55">
        <f t="shared" si="1"/>
        <v>0</v>
      </c>
      <c r="AD25" s="9"/>
    </row>
    <row r="26" spans="1:30" ht="20.25" customHeight="1" thickBot="1" x14ac:dyDescent="0.35">
      <c r="B26" s="61" t="s">
        <v>62</v>
      </c>
      <c r="C26" s="61"/>
      <c r="D26" s="320">
        <f t="shared" ref="D26:E26" si="5">SUM(D10:D25)</f>
        <v>122.5</v>
      </c>
      <c r="E26" s="62">
        <f t="shared" si="5"/>
        <v>0</v>
      </c>
      <c r="F26" s="62"/>
      <c r="G26" s="62">
        <f>SUM(G10:G25)</f>
        <v>245</v>
      </c>
      <c r="H26" s="63"/>
      <c r="I26" s="63"/>
      <c r="J26" s="64"/>
      <c r="K26" s="65">
        <f>SUM(K10:K25)</f>
        <v>867.08399999999995</v>
      </c>
      <c r="L26" s="66">
        <f>SUM(L10:L25)</f>
        <v>3359624</v>
      </c>
      <c r="N26" s="53"/>
      <c r="O26" s="67"/>
      <c r="P26" s="53"/>
      <c r="Q26" s="53"/>
      <c r="V26" s="398" t="s">
        <v>62</v>
      </c>
      <c r="W26" s="398"/>
      <c r="X26" s="387">
        <f>SUM(X10:X25)</f>
        <v>245</v>
      </c>
      <c r="Y26" s="387"/>
      <c r="Z26" s="399"/>
      <c r="AA26" s="400"/>
      <c r="AB26" s="68">
        <f>SUM(AB10:AB25)</f>
        <v>245</v>
      </c>
      <c r="AC26" s="69">
        <f>SUM(AC10:AC25)</f>
        <v>949283</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11</v>
      </c>
      <c r="E30" s="13">
        <v>0</v>
      </c>
      <c r="F30" s="89">
        <v>15.5</v>
      </c>
      <c r="G30" s="46">
        <f t="shared" si="7"/>
        <v>22</v>
      </c>
      <c r="H30" s="79"/>
      <c r="I30" s="51" t="s">
        <v>70</v>
      </c>
      <c r="J30" s="51">
        <v>253</v>
      </c>
      <c r="K30" s="81">
        <v>6896</v>
      </c>
      <c r="L30" s="82">
        <f t="shared" si="8"/>
        <v>151712</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8</v>
      </c>
      <c r="E33" s="13">
        <v>0</v>
      </c>
      <c r="F33" s="89">
        <v>10</v>
      </c>
      <c r="G33" s="46">
        <f t="shared" si="7"/>
        <v>16</v>
      </c>
      <c r="H33" s="79"/>
      <c r="I33" s="90" t="s">
        <v>74</v>
      </c>
      <c r="J33" s="51">
        <v>253</v>
      </c>
      <c r="K33" s="81">
        <v>7023</v>
      </c>
      <c r="L33" s="82">
        <f t="shared" si="8"/>
        <v>112368</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1</v>
      </c>
      <c r="E36" s="13">
        <v>0</v>
      </c>
      <c r="F36" s="89">
        <v>0</v>
      </c>
      <c r="G36" s="46">
        <f t="shared" si="7"/>
        <v>2</v>
      </c>
      <c r="H36" s="79"/>
      <c r="I36" s="90" t="s">
        <v>78</v>
      </c>
      <c r="J36" s="51">
        <v>253</v>
      </c>
      <c r="K36" s="81">
        <v>6685</v>
      </c>
      <c r="L36" s="93">
        <f t="shared" si="8"/>
        <v>13370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20</v>
      </c>
      <c r="E37" s="62">
        <f t="shared" si="10"/>
        <v>0</v>
      </c>
      <c r="F37" s="62"/>
      <c r="G37" s="62">
        <f>SUM(G28:G36)</f>
        <v>40</v>
      </c>
      <c r="H37" s="63"/>
      <c r="I37" s="13" t="s">
        <v>82</v>
      </c>
      <c r="J37" s="13"/>
      <c r="K37" s="13"/>
      <c r="L37" s="50">
        <f>SUM(L28:L36)</f>
        <v>277450</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47040</v>
      </c>
      <c r="N40" s="103"/>
      <c r="O40" s="103"/>
      <c r="P40" s="103"/>
      <c r="Q40" s="103"/>
      <c r="V40" s="382" t="s">
        <v>86</v>
      </c>
      <c r="W40" s="382"/>
      <c r="X40" s="383">
        <f>+G40</f>
        <v>179393.64</v>
      </c>
      <c r="Y40" s="383"/>
      <c r="Z40" s="383"/>
      <c r="AA40" s="383"/>
      <c r="AB40" s="55">
        <f>ROUND(X39/X40,0)</f>
        <v>192</v>
      </c>
      <c r="AC40" s="55">
        <f>ROUND(AB40*$X$26,0)</f>
        <v>47040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3684114</v>
      </c>
      <c r="O44" s="1"/>
      <c r="V44" s="376" t="s">
        <v>90</v>
      </c>
      <c r="W44" s="376"/>
      <c r="X44" s="376"/>
      <c r="Y44" s="376"/>
      <c r="Z44" s="376"/>
      <c r="AA44" s="376"/>
      <c r="AB44" s="376"/>
      <c r="AC44" s="111">
        <f>SUM(AC26,AC37,AC40)</f>
        <v>996323</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448.81999999999994</v>
      </c>
      <c r="D47" s="121"/>
      <c r="E47" s="121"/>
      <c r="F47" s="121"/>
      <c r="G47" s="122">
        <f>K7</f>
        <v>1.0326</v>
      </c>
      <c r="H47" s="122"/>
      <c r="I47" s="123">
        <v>1316.85</v>
      </c>
      <c r="J47" s="124" t="s">
        <v>97</v>
      </c>
      <c r="K47" s="125">
        <f>ROUND(C47*G47*I47,0)</f>
        <v>610296</v>
      </c>
      <c r="L47" s="126"/>
      <c r="O47" s="1"/>
      <c r="V47" s="106" t="s">
        <v>96</v>
      </c>
      <c r="W47" s="127">
        <f>AB10+AB11+AB16+AB19+AB22</f>
        <v>130</v>
      </c>
      <c r="X47" s="369">
        <f>AB7</f>
        <v>1.0326</v>
      </c>
      <c r="Y47" s="369"/>
      <c r="Z47" s="128">
        <f>+I47</f>
        <v>1316.85</v>
      </c>
      <c r="AA47" s="129" t="s">
        <v>97</v>
      </c>
      <c r="AB47" s="130">
        <f>ROUND(W47*X47*Z47,0)</f>
        <v>176771</v>
      </c>
      <c r="AC47" s="131"/>
      <c r="AD47" s="9"/>
    </row>
    <row r="48" spans="1:30" ht="18" customHeight="1" x14ac:dyDescent="0.3">
      <c r="B48" s="132" t="s">
        <v>74</v>
      </c>
      <c r="C48" s="121">
        <f>K12+K13+K17+K20+K23</f>
        <v>376.06900000000002</v>
      </c>
      <c r="D48" s="121"/>
      <c r="E48" s="121"/>
      <c r="F48" s="121"/>
      <c r="G48" s="122">
        <f>K7</f>
        <v>1.0326</v>
      </c>
      <c r="H48" s="122"/>
      <c r="I48" s="123">
        <v>898.23</v>
      </c>
      <c r="J48" s="124" t="s">
        <v>97</v>
      </c>
      <c r="K48" s="125">
        <f>ROUND(C48*G48*I48,0)</f>
        <v>348809</v>
      </c>
      <c r="L48" s="61"/>
      <c r="O48" s="1"/>
      <c r="V48" s="133" t="s">
        <v>74</v>
      </c>
      <c r="W48" s="127">
        <f>AB12+AB13+AB17+AB20+AB23</f>
        <v>103</v>
      </c>
      <c r="X48" s="369">
        <f>AB7</f>
        <v>1.0326</v>
      </c>
      <c r="Y48" s="369"/>
      <c r="Z48" s="128">
        <f>+I48</f>
        <v>898.23</v>
      </c>
      <c r="AA48" s="129" t="s">
        <v>97</v>
      </c>
      <c r="AB48" s="130">
        <f>ROUND(W48*X48*Z48,0)</f>
        <v>95534</v>
      </c>
      <c r="AC48" s="134"/>
      <c r="AD48" s="9"/>
    </row>
    <row r="49" spans="2:30" ht="19.5" customHeight="1" thickBot="1" x14ac:dyDescent="0.4">
      <c r="B49" s="135" t="s">
        <v>78</v>
      </c>
      <c r="C49" s="136">
        <f>K14+K15+K18+K21+K24+K25</f>
        <v>42.194999999999993</v>
      </c>
      <c r="D49" s="121"/>
      <c r="E49" s="121"/>
      <c r="F49" s="121"/>
      <c r="G49" s="122">
        <f>K7</f>
        <v>1.0326</v>
      </c>
      <c r="H49" s="122"/>
      <c r="I49" s="123">
        <v>900.39</v>
      </c>
      <c r="J49" s="124" t="s">
        <v>97</v>
      </c>
      <c r="K49" s="125">
        <f>ROUND(C49*G49*I49,0)</f>
        <v>39230</v>
      </c>
      <c r="L49" s="61"/>
      <c r="M49" s="108"/>
      <c r="N49" s="137"/>
      <c r="O49" s="138"/>
      <c r="P49" s="67"/>
      <c r="Q49" s="139"/>
      <c r="V49" s="140" t="s">
        <v>78</v>
      </c>
      <c r="W49" s="141">
        <f>AB14+AB15+AB18+AB21+AB24+AB25</f>
        <v>12</v>
      </c>
      <c r="X49" s="369">
        <f>AB7</f>
        <v>1.0326</v>
      </c>
      <c r="Y49" s="369"/>
      <c r="Z49" s="128">
        <f>+I49</f>
        <v>900.39</v>
      </c>
      <c r="AA49" s="129" t="s">
        <v>97</v>
      </c>
      <c r="AB49" s="130">
        <f>ROUND(W49*X49*Z49,0)</f>
        <v>11157</v>
      </c>
      <c r="AC49" s="134"/>
      <c r="AD49" s="109"/>
    </row>
    <row r="50" spans="2:30" ht="24" customHeight="1" thickBot="1" x14ac:dyDescent="0.35">
      <c r="B50" s="142" t="s">
        <v>98</v>
      </c>
      <c r="C50" s="143">
        <f>SUM(C47:C49)</f>
        <v>867.08399999999983</v>
      </c>
      <c r="D50" s="144"/>
      <c r="E50" s="145"/>
      <c r="F50" s="145"/>
      <c r="G50" s="146" t="s">
        <v>99</v>
      </c>
      <c r="H50" s="146"/>
      <c r="I50" s="146"/>
      <c r="J50" s="146"/>
      <c r="K50" s="146"/>
      <c r="L50" s="50">
        <f>IF(B2=75,0,K49+K48+K47)</f>
        <v>998335</v>
      </c>
      <c r="N50" s="3"/>
      <c r="O50" s="1"/>
      <c r="V50" s="147" t="s">
        <v>98</v>
      </c>
      <c r="W50" s="148">
        <f>SUM(W47:W49)</f>
        <v>245</v>
      </c>
      <c r="X50" s="370" t="s">
        <v>99</v>
      </c>
      <c r="Y50" s="371"/>
      <c r="Z50" s="371"/>
      <c r="AA50" s="371"/>
      <c r="AB50" s="371"/>
      <c r="AC50" s="55">
        <f>IF(V2=75,0,AB49+AB48+AB47)</f>
        <v>283462</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867.08399999999995</v>
      </c>
      <c r="H53" s="56" t="s">
        <v>103</v>
      </c>
      <c r="I53" s="56"/>
      <c r="J53" s="152">
        <v>193142.74</v>
      </c>
      <c r="K53" s="152"/>
      <c r="L53" s="152"/>
      <c r="N53" s="3"/>
      <c r="O53" s="1"/>
      <c r="V53" s="364" t="s">
        <v>102</v>
      </c>
      <c r="W53" s="364"/>
      <c r="X53" s="153">
        <f>AB26</f>
        <v>245</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4.4889999999999999E-3</v>
      </c>
      <c r="L54" s="154"/>
      <c r="N54" s="67"/>
      <c r="O54" s="1"/>
      <c r="V54" s="364" t="s">
        <v>104</v>
      </c>
      <c r="W54" s="364"/>
      <c r="X54" s="364"/>
      <c r="Y54" s="364"/>
      <c r="Z54" s="364"/>
      <c r="AA54" s="364"/>
      <c r="AB54" s="367">
        <f>ROUND(X53/AA53,6)</f>
        <v>1.268E-3</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245</v>
      </c>
      <c r="H56" s="56" t="s">
        <v>107</v>
      </c>
      <c r="I56" s="56"/>
      <c r="J56" s="152">
        <v>179393.64</v>
      </c>
      <c r="K56" s="152"/>
      <c r="L56" s="152"/>
      <c r="O56" s="1"/>
      <c r="V56" s="364" t="s">
        <v>106</v>
      </c>
      <c r="W56" s="364"/>
      <c r="X56" s="156">
        <f>X26</f>
        <v>245</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1.366E-3</v>
      </c>
      <c r="L57" s="154"/>
      <c r="O57" s="1"/>
      <c r="V57" s="364" t="s">
        <v>108</v>
      </c>
      <c r="W57" s="364"/>
      <c r="X57" s="364"/>
      <c r="Y57" s="364"/>
      <c r="Z57" s="364"/>
      <c r="AA57" s="364"/>
      <c r="AB57" s="367">
        <f>ROUND(X56/AA56,6)</f>
        <v>1.366E-3</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1.268E-3</v>
      </c>
      <c r="AC58" s="55">
        <f>ROUND(Y58*AB58,0)</f>
        <v>5228</v>
      </c>
      <c r="AD58" s="9"/>
    </row>
    <row r="59" spans="2:30" x14ac:dyDescent="0.3">
      <c r="B59" s="61" t="s">
        <v>110</v>
      </c>
      <c r="C59" s="61"/>
      <c r="D59" s="61"/>
      <c r="E59" s="61"/>
      <c r="F59" s="61"/>
      <c r="G59" s="61"/>
      <c r="H59" s="160" t="s">
        <v>22</v>
      </c>
      <c r="I59" s="125">
        <f>G66+G65+G63+G62+G61</f>
        <v>4122856</v>
      </c>
      <c r="J59" s="161" t="s">
        <v>111</v>
      </c>
      <c r="K59" s="162">
        <f>K54</f>
        <v>4.4889999999999999E-3</v>
      </c>
      <c r="L59" s="50">
        <f>ROUND(I59*K59,0)</f>
        <v>18508</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1.268E-3</v>
      </c>
      <c r="AC66" s="55">
        <f>ROUND(Y66*AB66,0)</f>
        <v>122710</v>
      </c>
      <c r="AD66" s="9"/>
    </row>
    <row r="67" spans="1:30" ht="20.25" customHeight="1" x14ac:dyDescent="0.3">
      <c r="B67" s="13" t="s">
        <v>119</v>
      </c>
      <c r="C67" s="13"/>
      <c r="D67" s="13"/>
      <c r="E67" s="13"/>
      <c r="F67" s="13"/>
      <c r="H67" s="160" t="s">
        <v>25</v>
      </c>
      <c r="I67" s="125">
        <v>96774526</v>
      </c>
      <c r="J67" s="161" t="s">
        <v>111</v>
      </c>
      <c r="K67" s="162">
        <f>K54</f>
        <v>4.4889999999999999E-3</v>
      </c>
      <c r="L67" s="50">
        <f>ROUND(I67*K67,0)</f>
        <v>434421</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1.366E-3</v>
      </c>
      <c r="AC68" s="55">
        <f>ROUND(Y68*AB68,0)</f>
        <v>0</v>
      </c>
      <c r="AD68" s="9"/>
    </row>
    <row r="69" spans="1:30" ht="15" customHeight="1" x14ac:dyDescent="0.3">
      <c r="B69" s="166" t="s">
        <v>121</v>
      </c>
      <c r="C69" s="13"/>
      <c r="D69" s="13"/>
      <c r="E69" s="13"/>
      <c r="F69" s="13"/>
      <c r="H69" s="160" t="s">
        <v>23</v>
      </c>
      <c r="I69" s="125">
        <v>0</v>
      </c>
      <c r="J69" s="161" t="s">
        <v>111</v>
      </c>
      <c r="K69" s="162">
        <f>K57</f>
        <v>1.366E-3</v>
      </c>
      <c r="L69" s="50">
        <f>ROUND(I69*K69,0)</f>
        <v>0</v>
      </c>
      <c r="O69" s="1"/>
      <c r="V69" s="354" t="s">
        <v>122</v>
      </c>
      <c r="W69" s="354"/>
      <c r="X69" s="354"/>
      <c r="Y69" s="360">
        <f>+I70</f>
        <v>0</v>
      </c>
      <c r="Z69" s="360"/>
      <c r="AA69" s="158" t="s">
        <v>111</v>
      </c>
      <c r="AB69" s="159">
        <f>AB54</f>
        <v>1.268E-3</v>
      </c>
      <c r="AC69" s="55">
        <f>ROUND(Y69*AB69,0)</f>
        <v>0</v>
      </c>
      <c r="AD69" s="9"/>
    </row>
    <row r="70" spans="1:30" ht="20.25" customHeight="1" x14ac:dyDescent="0.3">
      <c r="B70" s="13" t="s">
        <v>122</v>
      </c>
      <c r="C70" s="13"/>
      <c r="D70" s="13"/>
      <c r="E70" s="13"/>
      <c r="F70" s="13"/>
      <c r="H70" s="160" t="s">
        <v>22</v>
      </c>
      <c r="I70" s="125">
        <v>0</v>
      </c>
      <c r="J70" s="161" t="s">
        <v>111</v>
      </c>
      <c r="K70" s="162">
        <f>K54</f>
        <v>4.4889999999999999E-3</v>
      </c>
      <c r="L70" s="50">
        <f>ROUND(I70*K70,0)</f>
        <v>0</v>
      </c>
      <c r="O70" s="1"/>
      <c r="V70" s="354" t="s">
        <v>123</v>
      </c>
      <c r="W70" s="354"/>
      <c r="X70" s="354"/>
      <c r="Y70" s="356">
        <f>+I71</f>
        <v>0</v>
      </c>
      <c r="Z70" s="356"/>
      <c r="AA70" s="158" t="s">
        <v>111</v>
      </c>
      <c r="AB70" s="159">
        <f>AB54</f>
        <v>1.268E-3</v>
      </c>
      <c r="AC70" s="55">
        <f>ROUND(Y70*AB70,0)</f>
        <v>0</v>
      </c>
      <c r="AD70" s="9"/>
    </row>
    <row r="71" spans="1:30" ht="20.25" customHeight="1" x14ac:dyDescent="0.3">
      <c r="B71" s="13" t="s">
        <v>123</v>
      </c>
      <c r="C71" s="13"/>
      <c r="D71" s="13"/>
      <c r="E71" s="13"/>
      <c r="F71" s="13"/>
      <c r="H71" s="160" t="s">
        <v>22</v>
      </c>
      <c r="I71" s="125">
        <v>0</v>
      </c>
      <c r="J71" s="161" t="s">
        <v>111</v>
      </c>
      <c r="K71" s="162">
        <f>K54</f>
        <v>4.4889999999999999E-3</v>
      </c>
      <c r="L71" s="50">
        <f>ROUND(I71*K71,0)</f>
        <v>0</v>
      </c>
      <c r="O71" s="1"/>
      <c r="V71" s="354" t="s">
        <v>124</v>
      </c>
      <c r="W71" s="354"/>
      <c r="X71" s="354"/>
      <c r="Y71" s="356">
        <f>+I72</f>
        <v>14117224</v>
      </c>
      <c r="Z71" s="356"/>
      <c r="AA71" s="158" t="s">
        <v>111</v>
      </c>
      <c r="AB71" s="159">
        <f>AB57</f>
        <v>1.366E-3</v>
      </c>
      <c r="AC71" s="55">
        <f>ROUND(Y71*AB71,0)</f>
        <v>19284</v>
      </c>
      <c r="AD71" s="9"/>
    </row>
    <row r="72" spans="1:30" ht="21" customHeight="1" x14ac:dyDescent="0.35">
      <c r="B72" s="13" t="s">
        <v>124</v>
      </c>
      <c r="C72" s="13"/>
      <c r="D72" s="13"/>
      <c r="E72" s="13"/>
      <c r="F72" s="13"/>
      <c r="H72" s="160" t="s">
        <v>23</v>
      </c>
      <c r="I72" s="125">
        <v>14117224</v>
      </c>
      <c r="J72" s="161" t="s">
        <v>111</v>
      </c>
      <c r="K72" s="162">
        <f>K57</f>
        <v>1.366E-3</v>
      </c>
      <c r="L72" s="50">
        <f>ROUND(I72*K72,0)</f>
        <v>19284</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185</v>
      </c>
      <c r="AA74" s="171" t="s">
        <v>129</v>
      </c>
      <c r="AB74" s="172">
        <f>+K75</f>
        <v>360</v>
      </c>
      <c r="AC74" s="55">
        <f>ROUND(AB74*Z74,0)</f>
        <v>66600</v>
      </c>
      <c r="AD74" s="9"/>
    </row>
    <row r="75" spans="1:30" ht="19.5" customHeight="1" x14ac:dyDescent="0.3">
      <c r="A75" s="1" t="s">
        <v>130</v>
      </c>
      <c r="B75" s="173" t="s">
        <v>127</v>
      </c>
      <c r="C75" s="174" t="s">
        <v>128</v>
      </c>
      <c r="D75" s="173">
        <v>185</v>
      </c>
      <c r="E75" s="173">
        <v>0</v>
      </c>
      <c r="F75" s="173">
        <v>0</v>
      </c>
      <c r="G75" s="175">
        <f>IF(E75=0,D75,E75)</f>
        <v>185</v>
      </c>
      <c r="H75" s="176"/>
      <c r="I75" s="177">
        <f>AVERAGE(G75,D75)</f>
        <v>185</v>
      </c>
      <c r="J75" s="178" t="s">
        <v>129</v>
      </c>
      <c r="K75" s="179">
        <v>360</v>
      </c>
      <c r="L75" s="50">
        <f>ROUND(K75*I75,0)</f>
        <v>66600</v>
      </c>
      <c r="N75" s="1">
        <v>7802</v>
      </c>
      <c r="O75" s="1">
        <v>0</v>
      </c>
      <c r="V75" s="358" t="s">
        <v>127</v>
      </c>
      <c r="W75" s="358"/>
      <c r="X75" s="168" t="s">
        <v>131</v>
      </c>
      <c r="Y75" s="180"/>
      <c r="Z75" s="181">
        <f>+I76</f>
        <v>43</v>
      </c>
      <c r="AA75" s="171" t="s">
        <v>129</v>
      </c>
      <c r="AB75" s="182">
        <f>+K76</f>
        <v>1355</v>
      </c>
      <c r="AC75" s="55">
        <f>ROUND(AB75*Z75,0)</f>
        <v>58265</v>
      </c>
      <c r="AD75" s="9"/>
    </row>
    <row r="76" spans="1:30" ht="19.5" customHeight="1" x14ac:dyDescent="0.3">
      <c r="A76" s="1" t="s">
        <v>132</v>
      </c>
      <c r="B76" s="173" t="s">
        <v>127</v>
      </c>
      <c r="C76" s="174" t="s">
        <v>131</v>
      </c>
      <c r="D76" s="173">
        <v>43</v>
      </c>
      <c r="E76" s="173">
        <v>0</v>
      </c>
      <c r="F76" s="173">
        <v>0</v>
      </c>
      <c r="G76" s="175">
        <f>IF(E76=0,D76,E76)</f>
        <v>43</v>
      </c>
      <c r="H76" s="176"/>
      <c r="I76" s="177">
        <f>AVERAGE(G76,D76)</f>
        <v>43</v>
      </c>
      <c r="J76" s="178" t="s">
        <v>129</v>
      </c>
      <c r="K76" s="183">
        <v>1355</v>
      </c>
      <c r="L76" s="50">
        <f>ROUND(K76*I76,0)</f>
        <v>58265</v>
      </c>
      <c r="N76" s="1">
        <v>7802</v>
      </c>
      <c r="O76" s="1">
        <v>110</v>
      </c>
      <c r="V76" s="354" t="s">
        <v>133</v>
      </c>
      <c r="W76" s="354"/>
      <c r="X76" s="354"/>
      <c r="Y76" s="355">
        <f>+I77</f>
        <v>32718286</v>
      </c>
      <c r="Z76" s="355"/>
      <c r="AA76" s="171" t="s">
        <v>129</v>
      </c>
      <c r="AB76" s="159">
        <f>AB54</f>
        <v>1.268E-3</v>
      </c>
      <c r="AC76" s="55">
        <f>ROUND(Y76*AB76,0)</f>
        <v>41487</v>
      </c>
      <c r="AD76" s="9"/>
    </row>
    <row r="77" spans="1:30" ht="26.25" customHeight="1" x14ac:dyDescent="0.3">
      <c r="B77" s="13" t="s">
        <v>133</v>
      </c>
      <c r="C77" s="13"/>
      <c r="D77" s="13"/>
      <c r="E77" s="13"/>
      <c r="F77" s="13"/>
      <c r="H77" s="160" t="s">
        <v>134</v>
      </c>
      <c r="I77" s="184">
        <v>32718286</v>
      </c>
      <c r="J77" s="161" t="s">
        <v>111</v>
      </c>
      <c r="K77" s="162">
        <f>K54</f>
        <v>4.4889999999999999E-3</v>
      </c>
      <c r="L77" s="50">
        <f>ROUND(I77*K77,0)</f>
        <v>146872</v>
      </c>
      <c r="O77" s="1"/>
      <c r="V77" s="354" t="str">
        <f>+B78</f>
        <v>15.  Additional Allocation (WFTE share)</v>
      </c>
      <c r="W77" s="354"/>
      <c r="X77" s="354"/>
      <c r="Y77" s="355">
        <f>+I78</f>
        <v>668680</v>
      </c>
      <c r="Z77" s="355"/>
      <c r="AA77" s="171" t="s">
        <v>129</v>
      </c>
      <c r="AB77" s="159">
        <f>AB54</f>
        <v>1.268E-3</v>
      </c>
      <c r="AC77" s="55">
        <f>ROUND(Y77*AB77,0)</f>
        <v>848</v>
      </c>
      <c r="AD77" s="9"/>
    </row>
    <row r="78" spans="1:30" ht="26.25" customHeight="1" x14ac:dyDescent="0.3">
      <c r="B78" s="353" t="s">
        <v>135</v>
      </c>
      <c r="C78" s="353"/>
      <c r="D78" s="353"/>
      <c r="E78" s="13"/>
      <c r="F78" s="13"/>
      <c r="H78" s="160" t="s">
        <v>136</v>
      </c>
      <c r="I78" s="185">
        <v>668680</v>
      </c>
      <c r="J78" s="161" t="s">
        <v>111</v>
      </c>
      <c r="K78" s="162">
        <f>K54</f>
        <v>4.4889999999999999E-3</v>
      </c>
      <c r="L78" s="50">
        <f>ROUND(I78*K78,0)</f>
        <v>3002</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1594207</v>
      </c>
      <c r="AD81" s="195"/>
    </row>
    <row r="82" spans="1:30" ht="22.5" customHeight="1" thickTop="1" thickBot="1" x14ac:dyDescent="0.35">
      <c r="B82" s="13" t="s">
        <v>141</v>
      </c>
      <c r="C82" s="13"/>
      <c r="D82" s="13"/>
      <c r="E82" s="13"/>
      <c r="F82" s="13"/>
      <c r="G82" s="13"/>
      <c r="H82" s="13"/>
      <c r="I82" s="13"/>
      <c r="J82" s="13"/>
      <c r="K82" s="13"/>
      <c r="L82" s="196">
        <f>SUM(L44:L81)</f>
        <v>5429401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'2941'!AC81</f>
        <v>1594207</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1594207</v>
      </c>
      <c r="L86" s="82">
        <f>IF(G26=0,0,IF(G26&gt;250,-(((250/G26)*K86)*IF(M86="H",0.02,0.05)),IF(M86="H",-0.02*K86,-0.05*K86)))</f>
        <v>-79710.350000000006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5349690.6500000004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2357563</v>
      </c>
      <c r="G89" s="13"/>
      <c r="H89" s="13"/>
      <c r="I89" s="13"/>
      <c r="J89" s="13"/>
      <c r="K89" s="206"/>
      <c r="L89" s="82">
        <v>-3339123</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2010567.6500000004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502641.91250000009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245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246</v>
      </c>
      <c r="C123" s="219" t="s">
        <v>200</v>
      </c>
    </row>
    <row r="124" spans="2:3" ht="15.5" hidden="1" x14ac:dyDescent="0.35">
      <c r="B124" s="223" t="s">
        <v>247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41646.4691087963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51"/>
  <sheetViews>
    <sheetView topLeftCell="B74"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5" width="8.90625" style="1"/>
    <col min="26" max="26" width="13.08984375" style="1" bestFit="1" customWidth="1"/>
    <col min="27" max="27" width="8.90625" style="1"/>
    <col min="28" max="28" width="13.08984375" style="1" bestFit="1" customWidth="1"/>
    <col min="29" max="29" width="15.90625" style="1" bestFit="1" customWidth="1"/>
    <col min="30"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'3083'!B2</f>
        <v>50</v>
      </c>
      <c r="W2" s="413" t="s">
        <v>4</v>
      </c>
      <c r="X2" s="414"/>
      <c r="Y2" s="415"/>
      <c r="Z2" s="415"/>
      <c r="AA2" s="415"/>
      <c r="AB2" s="415"/>
      <c r="AC2" s="415"/>
      <c r="AD2" s="9"/>
    </row>
    <row r="3" spans="1:30" ht="20" x14ac:dyDescent="0.4">
      <c r="B3" s="10" t="str">
        <f>"Revenue Estimate Worksheet for "&amp;B124</f>
        <v>Revenue Estimate Worksheet for Renaissance Learning Academy</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'3083'!G7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IF('3083'!K$84=1,'3083'!G10,0)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IF('3083'!K$84=1,'3083'!G11,0)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IF('3083'!K$84=1,'3083'!G12,0)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IF('3083'!K$84=1,'3083'!G13,0)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IF('3083'!K$84=1,'3083'!G14,0)</f>
        <v>0</v>
      </c>
      <c r="Y14" s="396"/>
      <c r="Z14" s="397">
        <v>1</v>
      </c>
      <c r="AA14" s="397"/>
      <c r="AB14" s="54">
        <f t="shared" si="0"/>
        <v>0</v>
      </c>
      <c r="AC14" s="55">
        <f t="shared" si="1"/>
        <v>0</v>
      </c>
      <c r="AD14" s="9"/>
    </row>
    <row r="15" spans="1:30" x14ac:dyDescent="0.3">
      <c r="A15" s="1" t="s">
        <v>39</v>
      </c>
      <c r="B15" s="13" t="s">
        <v>40</v>
      </c>
      <c r="C15" s="13"/>
      <c r="D15" s="314">
        <v>9.34</v>
      </c>
      <c r="E15" s="13">
        <v>0</v>
      </c>
      <c r="F15" s="13">
        <v>9.98</v>
      </c>
      <c r="G15" s="46">
        <f t="shared" si="2"/>
        <v>18.68</v>
      </c>
      <c r="H15" s="47"/>
      <c r="I15" s="56">
        <f>I14</f>
        <v>1.0109999999999999</v>
      </c>
      <c r="J15" s="56"/>
      <c r="K15" s="49">
        <f t="shared" si="3"/>
        <v>18.8855</v>
      </c>
      <c r="L15" s="58">
        <f t="shared" si="4"/>
        <v>73174</v>
      </c>
      <c r="M15" s="1" t="str">
        <f>IF(ROUND(G15,2)=ROUND(SUM(G34:G36),2)," ","CHECK 2. PK-3 Lines Below")</f>
        <v xml:space="preserve"> </v>
      </c>
      <c r="N15" s="51">
        <v>5103</v>
      </c>
      <c r="O15" s="57" t="s">
        <v>41</v>
      </c>
      <c r="Q15" s="53"/>
      <c r="V15" s="357" t="s">
        <v>40</v>
      </c>
      <c r="W15" s="357"/>
      <c r="X15" s="396">
        <f>IF('3083'!K$84=1,'3083'!G15,0)</f>
        <v>18.68</v>
      </c>
      <c r="Y15" s="396"/>
      <c r="Z15" s="397">
        <v>1</v>
      </c>
      <c r="AA15" s="397"/>
      <c r="AB15" s="54">
        <f t="shared" si="0"/>
        <v>18.68</v>
      </c>
      <c r="AC15" s="59">
        <f t="shared" si="1"/>
        <v>72378</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IF('3083'!K$84=1,'3083'!G16,0)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IF('3083'!K$84=1,'3083'!G17,0)</f>
        <v>0</v>
      </c>
      <c r="Y17" s="396"/>
      <c r="Z17" s="397">
        <v>1</v>
      </c>
      <c r="AA17" s="397"/>
      <c r="AB17" s="54">
        <f t="shared" si="0"/>
        <v>0</v>
      </c>
      <c r="AC17" s="55">
        <f t="shared" si="1"/>
        <v>0</v>
      </c>
      <c r="AD17" s="9"/>
    </row>
    <row r="18" spans="1:30" ht="15.5" x14ac:dyDescent="0.35">
      <c r="A18" s="1" t="s">
        <v>46</v>
      </c>
      <c r="B18" s="13" t="s">
        <v>47</v>
      </c>
      <c r="C18" s="13"/>
      <c r="D18" s="13">
        <v>21.5</v>
      </c>
      <c r="E18" s="13">
        <v>0</v>
      </c>
      <c r="F18" s="13">
        <v>22.6</v>
      </c>
      <c r="G18" s="46">
        <f t="shared" si="2"/>
        <v>43</v>
      </c>
      <c r="H18" s="47"/>
      <c r="I18" s="56">
        <f>I17</f>
        <v>3.5579999999999998</v>
      </c>
      <c r="J18" s="56"/>
      <c r="K18" s="49">
        <f t="shared" si="3"/>
        <v>152.994</v>
      </c>
      <c r="L18" s="50">
        <f t="shared" si="4"/>
        <v>592794</v>
      </c>
      <c r="N18" s="51">
        <v>5103</v>
      </c>
      <c r="O18" s="53">
        <v>254</v>
      </c>
      <c r="Q18" s="53"/>
      <c r="V18" s="357" t="s">
        <v>47</v>
      </c>
      <c r="W18" s="357"/>
      <c r="X18" s="396">
        <f>IF('3083'!K$84=1,'3083'!G18,0)</f>
        <v>43</v>
      </c>
      <c r="Y18" s="396"/>
      <c r="Z18" s="397">
        <v>1</v>
      </c>
      <c r="AA18" s="397"/>
      <c r="AB18" s="54">
        <f t="shared" si="0"/>
        <v>43</v>
      </c>
      <c r="AC18" s="55">
        <f t="shared" si="1"/>
        <v>166609</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IF('3083'!K$84=1,'3083'!G19,0)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IF('3083'!K$84=1,'3083'!G20,0)</f>
        <v>0</v>
      </c>
      <c r="Y20" s="396"/>
      <c r="Z20" s="397">
        <v>1</v>
      </c>
      <c r="AA20" s="397"/>
      <c r="AB20" s="54">
        <f t="shared" si="0"/>
        <v>0</v>
      </c>
      <c r="AC20" s="55">
        <f t="shared" si="1"/>
        <v>0</v>
      </c>
      <c r="AD20" s="9"/>
    </row>
    <row r="21" spans="1:30" ht="15" customHeight="1" x14ac:dyDescent="0.35">
      <c r="A21" s="1" t="s">
        <v>52</v>
      </c>
      <c r="B21" s="13" t="s">
        <v>53</v>
      </c>
      <c r="C21" s="13"/>
      <c r="D21" s="13">
        <v>13.26</v>
      </c>
      <c r="E21" s="13">
        <v>0</v>
      </c>
      <c r="F21" s="13">
        <v>14.18</v>
      </c>
      <c r="G21" s="46">
        <f t="shared" si="2"/>
        <v>26.52</v>
      </c>
      <c r="H21" s="47"/>
      <c r="I21" s="56">
        <f>I20</f>
        <v>5.0890000000000004</v>
      </c>
      <c r="J21" s="56"/>
      <c r="K21" s="49">
        <f t="shared" si="3"/>
        <v>134.96029999999999</v>
      </c>
      <c r="L21" s="50">
        <f t="shared" si="4"/>
        <v>522921</v>
      </c>
      <c r="N21" s="51">
        <v>5103</v>
      </c>
      <c r="O21" s="53">
        <v>255</v>
      </c>
      <c r="Q21" s="53"/>
      <c r="V21" s="357" t="s">
        <v>53</v>
      </c>
      <c r="W21" s="357"/>
      <c r="X21" s="396">
        <f>IF('3083'!K$84=1,'3083'!G21,0)</f>
        <v>26.52</v>
      </c>
      <c r="Y21" s="396"/>
      <c r="Z21" s="397">
        <v>1</v>
      </c>
      <c r="AA21" s="397"/>
      <c r="AB21" s="54">
        <f t="shared" si="0"/>
        <v>26.52</v>
      </c>
      <c r="AC21" s="55">
        <f t="shared" si="1"/>
        <v>102755</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IF('3083'!K$84=1,'3083'!G22,0)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IF('3083'!K$84=1,'3083'!G23,0)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IF('3083'!K$84=1,'3083'!G24,0)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IF('3083'!K$84=1,'3083'!G25,0)</f>
        <v>0</v>
      </c>
      <c r="Y25" s="396"/>
      <c r="Z25" s="397">
        <v>1</v>
      </c>
      <c r="AA25" s="397"/>
      <c r="AB25" s="54">
        <f t="shared" si="0"/>
        <v>0</v>
      </c>
      <c r="AC25" s="55">
        <f t="shared" si="1"/>
        <v>0</v>
      </c>
      <c r="AD25" s="9"/>
    </row>
    <row r="26" spans="1:30" ht="20.25" customHeight="1" thickBot="1" x14ac:dyDescent="0.35">
      <c r="B26" s="61" t="s">
        <v>62</v>
      </c>
      <c r="C26" s="61"/>
      <c r="D26" s="62">
        <f t="shared" ref="D26:E26" si="5">SUM(D10:D25)</f>
        <v>44.1</v>
      </c>
      <c r="E26" s="62">
        <f t="shared" si="5"/>
        <v>0</v>
      </c>
      <c r="F26" s="62"/>
      <c r="G26" s="62">
        <f>SUM(G10:G25)</f>
        <v>88.2</v>
      </c>
      <c r="H26" s="63"/>
      <c r="I26" s="63"/>
      <c r="J26" s="64"/>
      <c r="K26" s="65">
        <f>SUM(K10:K25)</f>
        <v>306.83979999999997</v>
      </c>
      <c r="L26" s="66">
        <f>SUM(L10:L25)</f>
        <v>1188889</v>
      </c>
      <c r="N26" s="53"/>
      <c r="O26" s="67"/>
      <c r="P26" s="53"/>
      <c r="Q26" s="53"/>
      <c r="V26" s="398" t="s">
        <v>62</v>
      </c>
      <c r="W26" s="398"/>
      <c r="X26" s="387">
        <f>SUM(X10:X25)</f>
        <v>88.2</v>
      </c>
      <c r="Y26" s="387"/>
      <c r="Z26" s="399"/>
      <c r="AA26" s="400"/>
      <c r="AB26" s="68">
        <f>SUM(AB10:AB25)</f>
        <v>88.2</v>
      </c>
      <c r="AC26" s="69">
        <f>SUM(AC10:AC25)</f>
        <v>341742</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9.34</v>
      </c>
      <c r="E36" s="13">
        <v>0</v>
      </c>
      <c r="F36" s="89">
        <v>11</v>
      </c>
      <c r="G36" s="46">
        <f t="shared" si="7"/>
        <v>18.68</v>
      </c>
      <c r="H36" s="79"/>
      <c r="I36" s="90" t="s">
        <v>78</v>
      </c>
      <c r="J36" s="51">
        <v>253</v>
      </c>
      <c r="K36" s="81">
        <v>6685</v>
      </c>
      <c r="L36" s="93">
        <f t="shared" si="8"/>
        <v>124876</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9.34</v>
      </c>
      <c r="E37" s="62">
        <f t="shared" si="10"/>
        <v>0</v>
      </c>
      <c r="F37" s="62"/>
      <c r="G37" s="62">
        <f>SUM(G28:G36)</f>
        <v>18.68</v>
      </c>
      <c r="H37" s="63"/>
      <c r="I37" s="13" t="s">
        <v>82</v>
      </c>
      <c r="J37" s="13"/>
      <c r="K37" s="13"/>
      <c r="L37" s="50">
        <f>SUM(L28:L36)</f>
        <v>124876</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16934</v>
      </c>
      <c r="N40" s="103"/>
      <c r="O40" s="103"/>
      <c r="P40" s="103"/>
      <c r="Q40" s="103"/>
      <c r="V40" s="382" t="s">
        <v>86</v>
      </c>
      <c r="W40" s="382"/>
      <c r="X40" s="383">
        <f>+G40</f>
        <v>179393.64</v>
      </c>
      <c r="Y40" s="383"/>
      <c r="Z40" s="383"/>
      <c r="AA40" s="383"/>
      <c r="AB40" s="55">
        <f>ROUND(X39/X40,0)</f>
        <v>192</v>
      </c>
      <c r="AC40" s="55">
        <f>ROUND(AB40*$X$26,0)</f>
        <v>16934</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1330699</v>
      </c>
      <c r="O44" s="1"/>
      <c r="V44" s="376" t="s">
        <v>90</v>
      </c>
      <c r="W44" s="376"/>
      <c r="X44" s="376"/>
      <c r="Y44" s="376"/>
      <c r="Z44" s="376"/>
      <c r="AA44" s="376"/>
      <c r="AB44" s="376"/>
      <c r="AC44" s="111">
        <f>SUM(AC26,AC37,AC40)</f>
        <v>358676</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306.83979999999997</v>
      </c>
      <c r="D49" s="121"/>
      <c r="E49" s="121"/>
      <c r="F49" s="121"/>
      <c r="G49" s="122">
        <f>K7</f>
        <v>1.0326</v>
      </c>
      <c r="H49" s="122"/>
      <c r="I49" s="123">
        <v>900.39</v>
      </c>
      <c r="J49" s="124" t="s">
        <v>97</v>
      </c>
      <c r="K49" s="125">
        <f>ROUND(C49*G49*I49,0)</f>
        <v>285282</v>
      </c>
      <c r="L49" s="61"/>
      <c r="M49" s="108"/>
      <c r="N49" s="137"/>
      <c r="O49" s="138"/>
      <c r="P49" s="67"/>
      <c r="Q49" s="139"/>
      <c r="V49" s="140" t="s">
        <v>78</v>
      </c>
      <c r="W49" s="141">
        <f>AB14+AB15+AB18+AB21+AB24+AB25</f>
        <v>88.2</v>
      </c>
      <c r="X49" s="369">
        <f>AB7</f>
        <v>1.0326</v>
      </c>
      <c r="Y49" s="369"/>
      <c r="Z49" s="128">
        <f>+I49</f>
        <v>900.39</v>
      </c>
      <c r="AA49" s="129" t="s">
        <v>97</v>
      </c>
      <c r="AB49" s="130">
        <f>ROUND(W49*X49*Z49,0)</f>
        <v>82003</v>
      </c>
      <c r="AC49" s="134"/>
      <c r="AD49" s="109"/>
    </row>
    <row r="50" spans="2:30" ht="24" customHeight="1" thickBot="1" x14ac:dyDescent="0.35">
      <c r="B50" s="142" t="s">
        <v>98</v>
      </c>
      <c r="C50" s="143">
        <f>SUM(C47:C49)</f>
        <v>306.83979999999997</v>
      </c>
      <c r="D50" s="144"/>
      <c r="E50" s="145"/>
      <c r="F50" s="145"/>
      <c r="G50" s="146" t="s">
        <v>99</v>
      </c>
      <c r="H50" s="146"/>
      <c r="I50" s="146"/>
      <c r="J50" s="146"/>
      <c r="K50" s="146"/>
      <c r="L50" s="50">
        <f>IF(B2=75,0,K49+K48+K47)</f>
        <v>285282</v>
      </c>
      <c r="N50" s="3"/>
      <c r="O50" s="1"/>
      <c r="V50" s="147" t="s">
        <v>98</v>
      </c>
      <c r="W50" s="148">
        <f>SUM(W47:W49)</f>
        <v>88.2</v>
      </c>
      <c r="X50" s="370" t="s">
        <v>99</v>
      </c>
      <c r="Y50" s="371"/>
      <c r="Z50" s="371"/>
      <c r="AA50" s="371"/>
      <c r="AB50" s="371"/>
      <c r="AC50" s="55">
        <f>IF(V2=75,0,AB49+AB48+AB47)</f>
        <v>82003</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306.83979999999997</v>
      </c>
      <c r="H53" s="56" t="s">
        <v>103</v>
      </c>
      <c r="I53" s="56"/>
      <c r="J53" s="152">
        <v>193142.74</v>
      </c>
      <c r="K53" s="152"/>
      <c r="L53" s="152"/>
      <c r="N53" s="3"/>
      <c r="O53" s="1"/>
      <c r="V53" s="364" t="s">
        <v>102</v>
      </c>
      <c r="W53" s="364"/>
      <c r="X53" s="153">
        <f>AB26</f>
        <v>88.2</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1.5889999999999999E-3</v>
      </c>
      <c r="L54" s="154"/>
      <c r="N54" s="67"/>
      <c r="O54" s="1"/>
      <c r="V54" s="364" t="s">
        <v>104</v>
      </c>
      <c r="W54" s="364"/>
      <c r="X54" s="364"/>
      <c r="Y54" s="364"/>
      <c r="Z54" s="364"/>
      <c r="AA54" s="364"/>
      <c r="AB54" s="367">
        <f>ROUND(X53/AA53,6)</f>
        <v>4.57E-4</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88.2</v>
      </c>
      <c r="H56" s="56" t="s">
        <v>107</v>
      </c>
      <c r="I56" s="56"/>
      <c r="J56" s="152">
        <v>179393.64</v>
      </c>
      <c r="K56" s="152"/>
      <c r="L56" s="152"/>
      <c r="O56" s="1"/>
      <c r="V56" s="364" t="s">
        <v>106</v>
      </c>
      <c r="W56" s="364"/>
      <c r="X56" s="156">
        <f>X26</f>
        <v>88.2</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4.9200000000000003E-4</v>
      </c>
      <c r="L57" s="154"/>
      <c r="O57" s="1"/>
      <c r="V57" s="364" t="s">
        <v>108</v>
      </c>
      <c r="W57" s="364"/>
      <c r="X57" s="364"/>
      <c r="Y57" s="364"/>
      <c r="Z57" s="364"/>
      <c r="AA57" s="364"/>
      <c r="AB57" s="367">
        <f>ROUND(X56/AA56,6)</f>
        <v>4.9200000000000003E-4</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4.57E-4</v>
      </c>
      <c r="AC58" s="55">
        <f>ROUND(Y58*AB58,0)</f>
        <v>1884</v>
      </c>
      <c r="AD58" s="9"/>
    </row>
    <row r="59" spans="2:30" x14ac:dyDescent="0.3">
      <c r="B59" s="61" t="s">
        <v>110</v>
      </c>
      <c r="C59" s="61"/>
      <c r="D59" s="61"/>
      <c r="E59" s="61"/>
      <c r="F59" s="61"/>
      <c r="G59" s="61"/>
      <c r="H59" s="160" t="s">
        <v>22</v>
      </c>
      <c r="I59" s="125">
        <f>G66+G65+G63+G62+G61</f>
        <v>4122856</v>
      </c>
      <c r="J59" s="161" t="s">
        <v>111</v>
      </c>
      <c r="K59" s="162">
        <f>K54</f>
        <v>1.5889999999999999E-3</v>
      </c>
      <c r="L59" s="50">
        <f>ROUND(I59*K59,0)</f>
        <v>6551</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4.57E-4</v>
      </c>
      <c r="AC66" s="55">
        <f>ROUND(Y66*AB66,0)</f>
        <v>44226</v>
      </c>
      <c r="AD66" s="9"/>
    </row>
    <row r="67" spans="1:30" ht="20.25" customHeight="1" x14ac:dyDescent="0.3">
      <c r="B67" s="13" t="s">
        <v>119</v>
      </c>
      <c r="C67" s="13"/>
      <c r="D67" s="13"/>
      <c r="E67" s="13"/>
      <c r="F67" s="13"/>
      <c r="H67" s="160" t="s">
        <v>25</v>
      </c>
      <c r="I67" s="125">
        <v>96774526</v>
      </c>
      <c r="J67" s="161" t="s">
        <v>111</v>
      </c>
      <c r="K67" s="162">
        <f>K54</f>
        <v>1.5889999999999999E-3</v>
      </c>
      <c r="L67" s="50">
        <f>ROUND(I67*K67,0)</f>
        <v>153775</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4.9200000000000003E-4</v>
      </c>
      <c r="AC68" s="55">
        <f>ROUND(Y68*AB68,0)</f>
        <v>0</v>
      </c>
      <c r="AD68" s="9"/>
    </row>
    <row r="69" spans="1:30" ht="15" customHeight="1" x14ac:dyDescent="0.3">
      <c r="B69" s="166" t="s">
        <v>121</v>
      </c>
      <c r="C69" s="13"/>
      <c r="D69" s="13"/>
      <c r="E69" s="13"/>
      <c r="F69" s="13"/>
      <c r="H69" s="160" t="s">
        <v>23</v>
      </c>
      <c r="I69" s="125">
        <v>0</v>
      </c>
      <c r="J69" s="161" t="s">
        <v>111</v>
      </c>
      <c r="K69" s="162">
        <f>K57</f>
        <v>4.9200000000000003E-4</v>
      </c>
      <c r="L69" s="50">
        <f>ROUND(I69*K69,0)</f>
        <v>0</v>
      </c>
      <c r="O69" s="1"/>
      <c r="V69" s="354" t="s">
        <v>122</v>
      </c>
      <c r="W69" s="354"/>
      <c r="X69" s="354"/>
      <c r="Y69" s="360">
        <f>+I70</f>
        <v>0</v>
      </c>
      <c r="Z69" s="360"/>
      <c r="AA69" s="158" t="s">
        <v>111</v>
      </c>
      <c r="AB69" s="159">
        <f>AB54</f>
        <v>4.57E-4</v>
      </c>
      <c r="AC69" s="55">
        <f>ROUND(Y69*AB69,0)</f>
        <v>0</v>
      </c>
      <c r="AD69" s="9"/>
    </row>
    <row r="70" spans="1:30" ht="20.25" customHeight="1" x14ac:dyDescent="0.3">
      <c r="B70" s="13" t="s">
        <v>122</v>
      </c>
      <c r="C70" s="13"/>
      <c r="D70" s="13"/>
      <c r="E70" s="13"/>
      <c r="F70" s="13"/>
      <c r="H70" s="160" t="s">
        <v>22</v>
      </c>
      <c r="I70" s="125">
        <v>0</v>
      </c>
      <c r="J70" s="161" t="s">
        <v>111</v>
      </c>
      <c r="K70" s="162">
        <f>K54</f>
        <v>1.5889999999999999E-3</v>
      </c>
      <c r="L70" s="50">
        <f>ROUND(I70*K70,0)</f>
        <v>0</v>
      </c>
      <c r="O70" s="1"/>
      <c r="V70" s="354" t="s">
        <v>123</v>
      </c>
      <c r="W70" s="354"/>
      <c r="X70" s="354"/>
      <c r="Y70" s="356">
        <f>+I71</f>
        <v>0</v>
      </c>
      <c r="Z70" s="356"/>
      <c r="AA70" s="158" t="s">
        <v>111</v>
      </c>
      <c r="AB70" s="159">
        <f>AB54</f>
        <v>4.57E-4</v>
      </c>
      <c r="AC70" s="55">
        <f>ROUND(Y70*AB70,0)</f>
        <v>0</v>
      </c>
      <c r="AD70" s="9"/>
    </row>
    <row r="71" spans="1:30" ht="20.25" customHeight="1" x14ac:dyDescent="0.3">
      <c r="B71" s="13" t="s">
        <v>123</v>
      </c>
      <c r="C71" s="13"/>
      <c r="D71" s="13"/>
      <c r="E71" s="13"/>
      <c r="F71" s="13"/>
      <c r="H71" s="160" t="s">
        <v>22</v>
      </c>
      <c r="I71" s="125">
        <v>0</v>
      </c>
      <c r="J71" s="161" t="s">
        <v>111</v>
      </c>
      <c r="K71" s="162">
        <f>K54</f>
        <v>1.5889999999999999E-3</v>
      </c>
      <c r="L71" s="50">
        <f>ROUND(I71*K71,0)</f>
        <v>0</v>
      </c>
      <c r="O71" s="1"/>
      <c r="V71" s="354" t="s">
        <v>124</v>
      </c>
      <c r="W71" s="354"/>
      <c r="X71" s="354"/>
      <c r="Y71" s="356">
        <f>+I72</f>
        <v>14117224</v>
      </c>
      <c r="Z71" s="356"/>
      <c r="AA71" s="158" t="s">
        <v>111</v>
      </c>
      <c r="AB71" s="159">
        <f>AB57</f>
        <v>4.9200000000000003E-4</v>
      </c>
      <c r="AC71" s="55">
        <f>ROUND(Y71*AB71,0)</f>
        <v>6946</v>
      </c>
      <c r="AD71" s="9"/>
    </row>
    <row r="72" spans="1:30" ht="21" customHeight="1" x14ac:dyDescent="0.35">
      <c r="B72" s="13" t="s">
        <v>124</v>
      </c>
      <c r="C72" s="13"/>
      <c r="D72" s="13"/>
      <c r="E72" s="13"/>
      <c r="F72" s="13"/>
      <c r="H72" s="160" t="s">
        <v>23</v>
      </c>
      <c r="I72" s="125">
        <v>14117224</v>
      </c>
      <c r="J72" s="161" t="s">
        <v>111</v>
      </c>
      <c r="K72" s="162">
        <f>K57</f>
        <v>4.9200000000000003E-4</v>
      </c>
      <c r="L72" s="50">
        <f>ROUND(I72*K72,0)</f>
        <v>6946</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88</v>
      </c>
      <c r="AA74" s="171" t="s">
        <v>129</v>
      </c>
      <c r="AB74" s="172">
        <f>+K75</f>
        <v>360</v>
      </c>
      <c r="AC74" s="55">
        <f>ROUND(AB74*Z74,0)</f>
        <v>31680</v>
      </c>
      <c r="AD74" s="9"/>
    </row>
    <row r="75" spans="1:30" ht="19.5" customHeight="1" x14ac:dyDescent="0.3">
      <c r="A75" s="1" t="s">
        <v>130</v>
      </c>
      <c r="B75" s="173" t="s">
        <v>127</v>
      </c>
      <c r="C75" s="174" t="s">
        <v>128</v>
      </c>
      <c r="D75" s="173">
        <v>88</v>
      </c>
      <c r="E75" s="173">
        <v>0</v>
      </c>
      <c r="F75" s="173">
        <v>0</v>
      </c>
      <c r="G75" s="175">
        <f>IF(E75=0,D75,E75)</f>
        <v>88</v>
      </c>
      <c r="H75" s="176"/>
      <c r="I75" s="177">
        <f>AVERAGE(G75,D75)</f>
        <v>88</v>
      </c>
      <c r="J75" s="178" t="s">
        <v>129</v>
      </c>
      <c r="K75" s="179">
        <v>360</v>
      </c>
      <c r="L75" s="50">
        <f>ROUND(K75*I75,0)</f>
        <v>31680</v>
      </c>
      <c r="N75" s="1">
        <v>7802</v>
      </c>
      <c r="O75" s="1">
        <v>0</v>
      </c>
      <c r="V75" s="358" t="s">
        <v>127</v>
      </c>
      <c r="W75" s="358"/>
      <c r="X75" s="168" t="s">
        <v>131</v>
      </c>
      <c r="Y75" s="180"/>
      <c r="Z75" s="181">
        <f>+I76</f>
        <v>34</v>
      </c>
      <c r="AA75" s="171" t="s">
        <v>129</v>
      </c>
      <c r="AB75" s="182">
        <f>+K76</f>
        <v>1355</v>
      </c>
      <c r="AC75" s="55">
        <f>ROUND(AB75*Z75,0)</f>
        <v>46070</v>
      </c>
      <c r="AD75" s="9"/>
    </row>
    <row r="76" spans="1:30" ht="19.5" customHeight="1" x14ac:dyDescent="0.3">
      <c r="A76" s="1" t="s">
        <v>132</v>
      </c>
      <c r="B76" s="173" t="s">
        <v>127</v>
      </c>
      <c r="C76" s="174" t="s">
        <v>131</v>
      </c>
      <c r="D76" s="173">
        <v>34</v>
      </c>
      <c r="E76" s="173">
        <v>0</v>
      </c>
      <c r="F76" s="173">
        <v>0</v>
      </c>
      <c r="G76" s="175">
        <f>IF(E76=0,D76,E76)</f>
        <v>34</v>
      </c>
      <c r="H76" s="176"/>
      <c r="I76" s="177">
        <f>AVERAGE(G76,D76)</f>
        <v>34</v>
      </c>
      <c r="J76" s="178" t="s">
        <v>129</v>
      </c>
      <c r="K76" s="183">
        <v>1355</v>
      </c>
      <c r="L76" s="50">
        <f>ROUND(K76*I76,0)</f>
        <v>46070</v>
      </c>
      <c r="N76" s="1">
        <v>7802</v>
      </c>
      <c r="O76" s="1">
        <v>110</v>
      </c>
      <c r="V76" s="354" t="s">
        <v>133</v>
      </c>
      <c r="W76" s="354"/>
      <c r="X76" s="354"/>
      <c r="Y76" s="355">
        <f>+I77</f>
        <v>32718286</v>
      </c>
      <c r="Z76" s="355"/>
      <c r="AA76" s="171" t="s">
        <v>129</v>
      </c>
      <c r="AB76" s="159">
        <f>AB54</f>
        <v>4.57E-4</v>
      </c>
      <c r="AC76" s="55">
        <f>ROUND(Y76*AB76,0)</f>
        <v>14952</v>
      </c>
      <c r="AD76" s="9"/>
    </row>
    <row r="77" spans="1:30" ht="26.25" customHeight="1" x14ac:dyDescent="0.3">
      <c r="B77" s="13" t="s">
        <v>133</v>
      </c>
      <c r="C77" s="13"/>
      <c r="D77" s="13"/>
      <c r="E77" s="13"/>
      <c r="F77" s="13"/>
      <c r="H77" s="160" t="s">
        <v>134</v>
      </c>
      <c r="I77" s="184">
        <v>32718286</v>
      </c>
      <c r="J77" s="161" t="s">
        <v>111</v>
      </c>
      <c r="K77" s="162">
        <f>K54</f>
        <v>1.5889999999999999E-3</v>
      </c>
      <c r="L77" s="50">
        <f>ROUND(I77*K77,0)</f>
        <v>51989</v>
      </c>
      <c r="O77" s="1"/>
      <c r="V77" s="354" t="str">
        <f>+B78</f>
        <v>15.  Additional Allocation (WFTE share)</v>
      </c>
      <c r="W77" s="354"/>
      <c r="X77" s="354"/>
      <c r="Y77" s="355">
        <f>+I78</f>
        <v>668680</v>
      </c>
      <c r="Z77" s="355"/>
      <c r="AA77" s="171" t="s">
        <v>129</v>
      </c>
      <c r="AB77" s="159">
        <f>AB54</f>
        <v>4.57E-4</v>
      </c>
      <c r="AC77" s="55">
        <f>ROUND(Y77*AB77,0)</f>
        <v>306</v>
      </c>
      <c r="AD77" s="9"/>
    </row>
    <row r="78" spans="1:30" ht="26.25" customHeight="1" x14ac:dyDescent="0.3">
      <c r="B78" s="353" t="s">
        <v>135</v>
      </c>
      <c r="C78" s="353"/>
      <c r="D78" s="353"/>
      <c r="E78" s="13"/>
      <c r="F78" s="13"/>
      <c r="H78" s="160" t="s">
        <v>136</v>
      </c>
      <c r="I78" s="185">
        <v>668680</v>
      </c>
      <c r="J78" s="161" t="s">
        <v>111</v>
      </c>
      <c r="K78" s="162">
        <f>K54</f>
        <v>1.5889999999999999E-3</v>
      </c>
      <c r="L78" s="50">
        <f>ROUND(I78*K78,0)</f>
        <v>1063</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586743</v>
      </c>
      <c r="AD81" s="195"/>
    </row>
    <row r="82" spans="1:30" ht="22.5" customHeight="1" thickTop="1" thickBot="1" x14ac:dyDescent="0.35">
      <c r="B82" s="13" t="s">
        <v>141</v>
      </c>
      <c r="C82" s="13"/>
      <c r="D82" s="13"/>
      <c r="E82" s="13"/>
      <c r="F82" s="13"/>
      <c r="G82" s="13"/>
      <c r="H82" s="13"/>
      <c r="I82" s="13"/>
      <c r="J82" s="13"/>
      <c r="K82" s="13"/>
      <c r="L82" s="196">
        <f>SUM(L44:L81)</f>
        <v>1914055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'3083'!AC81</f>
        <v>586743</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586743</v>
      </c>
      <c r="L86" s="82">
        <f>IF(G26=0,0,IF(G26&gt;250,-(((250/G26)*K86)*IF(M86="H",0.02,0.05)),IF(M86="H",-0.02*K86,-0.05*K86)))</f>
        <v>-29337.15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1884717.85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943012</v>
      </c>
      <c r="G89" s="13"/>
      <c r="H89" s="13"/>
      <c r="I89" s="13"/>
      <c r="J89" s="13"/>
      <c r="K89" s="206"/>
      <c r="L89" s="82">
        <v>-1255364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629353.85000000009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157338.46250000002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188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248</v>
      </c>
      <c r="C123" s="219" t="s">
        <v>200</v>
      </c>
    </row>
    <row r="124" spans="2:3" ht="15.5" hidden="1" x14ac:dyDescent="0.35">
      <c r="B124" s="223" t="s">
        <v>249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41646.469120370399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'3344'!B2</f>
        <v>50</v>
      </c>
      <c r="W2" s="413" t="s">
        <v>4</v>
      </c>
      <c r="X2" s="414"/>
      <c r="Y2" s="415"/>
      <c r="Z2" s="415"/>
      <c r="AA2" s="415"/>
      <c r="AB2" s="415"/>
      <c r="AC2" s="415"/>
      <c r="AD2" s="9"/>
    </row>
    <row r="3" spans="1:30" ht="20" x14ac:dyDescent="0.4">
      <c r="B3" s="10" t="str">
        <f>"Revenue Estimate Worksheet for "&amp;B124</f>
        <v>Revenue Estimate Worksheet for Tomorrow'sPromiseCommunitySch</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'3344'!G7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IF('3344'!K$84=1,'3344'!G10,0)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IF('3344'!K$84=1,'3344'!G11,0)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IF('3344'!K$84=1,'3344'!G12,0)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IF('3344'!K$84=1,'3344'!G13,0)</f>
        <v>0</v>
      </c>
      <c r="Y13" s="396"/>
      <c r="Z13" s="397">
        <v>1</v>
      </c>
      <c r="AA13" s="397"/>
      <c r="AB13" s="54">
        <f t="shared" si="0"/>
        <v>0</v>
      </c>
      <c r="AC13" s="55">
        <f t="shared" si="1"/>
        <v>0</v>
      </c>
      <c r="AD13" s="9"/>
    </row>
    <row r="14" spans="1:30" x14ac:dyDescent="0.3">
      <c r="A14" s="1" t="s">
        <v>37</v>
      </c>
      <c r="B14" s="13" t="s">
        <v>38</v>
      </c>
      <c r="C14" s="13"/>
      <c r="D14" s="13">
        <v>34.299999999999997</v>
      </c>
      <c r="E14" s="13">
        <v>0</v>
      </c>
      <c r="F14" s="13">
        <v>75.08</v>
      </c>
      <c r="G14" s="46">
        <f t="shared" si="2"/>
        <v>68.599999999999994</v>
      </c>
      <c r="H14" s="47"/>
      <c r="I14" s="56">
        <v>1.0109999999999999</v>
      </c>
      <c r="J14" s="56"/>
      <c r="K14" s="49">
        <f t="shared" si="3"/>
        <v>69.354600000000005</v>
      </c>
      <c r="L14" s="50">
        <f t="shared" si="4"/>
        <v>268723</v>
      </c>
      <c r="N14" s="51">
        <v>5103</v>
      </c>
      <c r="O14" s="52">
        <v>103</v>
      </c>
      <c r="Q14" s="53"/>
      <c r="V14" s="357" t="s">
        <v>38</v>
      </c>
      <c r="W14" s="357"/>
      <c r="X14" s="396">
        <f>IF('3344'!K$84=1,'3344'!G14,0)</f>
        <v>0</v>
      </c>
      <c r="Y14" s="396"/>
      <c r="Z14" s="397">
        <v>1</v>
      </c>
      <c r="AA14" s="397"/>
      <c r="AB14" s="54">
        <f t="shared" si="0"/>
        <v>0</v>
      </c>
      <c r="AC14" s="55">
        <f t="shared" si="1"/>
        <v>0</v>
      </c>
      <c r="AD14" s="9"/>
    </row>
    <row r="15" spans="1:30" x14ac:dyDescent="0.3">
      <c r="A15" s="1" t="s">
        <v>39</v>
      </c>
      <c r="B15" s="13" t="s">
        <v>40</v>
      </c>
      <c r="C15" s="13"/>
      <c r="D15" s="13">
        <v>10.8</v>
      </c>
      <c r="E15" s="13">
        <v>0</v>
      </c>
      <c r="F15" s="13">
        <v>23.11</v>
      </c>
      <c r="G15" s="46">
        <f t="shared" si="2"/>
        <v>21.6</v>
      </c>
      <c r="H15" s="47"/>
      <c r="I15" s="56">
        <f>I14</f>
        <v>1.0109999999999999</v>
      </c>
      <c r="J15" s="56"/>
      <c r="K15" s="49">
        <f t="shared" si="3"/>
        <v>21.837599999999998</v>
      </c>
      <c r="L15" s="58">
        <f t="shared" si="4"/>
        <v>84613</v>
      </c>
      <c r="M15" s="1" t="str">
        <f>IF(ROUND(G15,2)=ROUND(SUM(G34:G36),2)," ","CHECK 2. PK-3 Lines Below")</f>
        <v xml:space="preserve"> </v>
      </c>
      <c r="N15" s="51">
        <v>5103</v>
      </c>
      <c r="O15" s="57" t="s">
        <v>41</v>
      </c>
      <c r="Q15" s="53"/>
      <c r="V15" s="357" t="s">
        <v>40</v>
      </c>
      <c r="W15" s="357"/>
      <c r="X15" s="396">
        <f>IF('3344'!K$84=1,'3344'!G15,0)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IF('3344'!K$84=1,'3344'!G16,0)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IF('3344'!K$84=1,'3344'!G17,0)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IF('3344'!K$84=1,'3344'!G18,0)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IF('3344'!K$84=1,'3344'!G19,0)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IF('3344'!K$84=1,'3344'!G20,0)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IF('3344'!K$84=1,'3344'!G21,0)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IF('3344'!K$84=1,'3344'!G22,0)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IF('3344'!K$84=1,'3344'!G23,0)</f>
        <v>0</v>
      </c>
      <c r="Y23" s="396"/>
      <c r="Z23" s="397">
        <v>1</v>
      </c>
      <c r="AA23" s="397"/>
      <c r="AB23" s="54">
        <f t="shared" si="0"/>
        <v>0</v>
      </c>
      <c r="AC23" s="55">
        <f t="shared" si="1"/>
        <v>0</v>
      </c>
      <c r="AD23" s="9"/>
    </row>
    <row r="24" spans="1:30" ht="15.5" x14ac:dyDescent="0.35">
      <c r="A24" s="1" t="s">
        <v>58</v>
      </c>
      <c r="B24" s="13" t="s">
        <v>59</v>
      </c>
      <c r="C24" s="13"/>
      <c r="D24" s="13">
        <v>1</v>
      </c>
      <c r="E24" s="13">
        <v>0</v>
      </c>
      <c r="F24" s="13">
        <v>2.1</v>
      </c>
      <c r="G24" s="46">
        <f t="shared" si="2"/>
        <v>2</v>
      </c>
      <c r="H24" s="47"/>
      <c r="I24" s="56">
        <f>I23</f>
        <v>1.145</v>
      </c>
      <c r="J24" s="56"/>
      <c r="K24" s="49">
        <f t="shared" si="3"/>
        <v>2.29</v>
      </c>
      <c r="L24" s="50">
        <f t="shared" si="4"/>
        <v>8873</v>
      </c>
      <c r="N24" s="51">
        <v>5103</v>
      </c>
      <c r="O24" s="52">
        <v>130</v>
      </c>
      <c r="Q24" s="53"/>
      <c r="V24" s="357" t="s">
        <v>59</v>
      </c>
      <c r="W24" s="357"/>
      <c r="X24" s="396">
        <f>IF('3344'!K$84=1,'3344'!G24,0)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IF('3344'!K$84=1,'3344'!G25,0)</f>
        <v>0</v>
      </c>
      <c r="Y25" s="396"/>
      <c r="Z25" s="397">
        <v>1</v>
      </c>
      <c r="AA25" s="397"/>
      <c r="AB25" s="54">
        <f t="shared" si="0"/>
        <v>0</v>
      </c>
      <c r="AC25" s="55">
        <f t="shared" si="1"/>
        <v>0</v>
      </c>
      <c r="AD25" s="9"/>
    </row>
    <row r="26" spans="1:30" ht="20.25" customHeight="1" thickBot="1" x14ac:dyDescent="0.35">
      <c r="B26" s="61" t="s">
        <v>62</v>
      </c>
      <c r="C26" s="61"/>
      <c r="D26" s="62">
        <f t="shared" ref="D26:E26" si="5">SUM(D10:D25)</f>
        <v>46.099999999999994</v>
      </c>
      <c r="E26" s="62">
        <f t="shared" si="5"/>
        <v>0</v>
      </c>
      <c r="F26" s="62"/>
      <c r="G26" s="62">
        <f>SUM(G10:G25)</f>
        <v>92.199999999999989</v>
      </c>
      <c r="H26" s="63"/>
      <c r="I26" s="63"/>
      <c r="J26" s="64"/>
      <c r="K26" s="65">
        <f>SUM(K10:K25)</f>
        <v>93.482200000000006</v>
      </c>
      <c r="L26" s="66">
        <f>SUM(L10:L25)</f>
        <v>362209</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10.5</v>
      </c>
      <c r="E34" s="13">
        <v>0</v>
      </c>
      <c r="F34" s="89">
        <v>10.5</v>
      </c>
      <c r="G34" s="46">
        <f t="shared" si="7"/>
        <v>21</v>
      </c>
      <c r="H34" s="79"/>
      <c r="I34" s="90" t="s">
        <v>78</v>
      </c>
      <c r="J34" s="51">
        <v>251</v>
      </c>
      <c r="K34" s="81">
        <v>835</v>
      </c>
      <c r="L34" s="82">
        <f t="shared" si="8"/>
        <v>17535</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0.3</v>
      </c>
      <c r="E35" s="13">
        <v>0</v>
      </c>
      <c r="F35" s="89">
        <v>0.5</v>
      </c>
      <c r="G35" s="46">
        <f t="shared" si="7"/>
        <v>0.6</v>
      </c>
      <c r="H35" s="79"/>
      <c r="I35" s="90" t="s">
        <v>78</v>
      </c>
      <c r="J35" s="51">
        <v>252</v>
      </c>
      <c r="K35" s="81">
        <v>3168</v>
      </c>
      <c r="L35" s="82">
        <f t="shared" si="8"/>
        <v>1901</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10.8</v>
      </c>
      <c r="E37" s="62">
        <f t="shared" si="10"/>
        <v>0</v>
      </c>
      <c r="F37" s="62"/>
      <c r="G37" s="62">
        <f>SUM(G28:G36)</f>
        <v>21.6</v>
      </c>
      <c r="H37" s="63"/>
      <c r="I37" s="13" t="s">
        <v>82</v>
      </c>
      <c r="J37" s="13"/>
      <c r="K37" s="13"/>
      <c r="L37" s="50">
        <f>SUM(L28:L36)</f>
        <v>19436</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17702</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399347</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93.482200000000006</v>
      </c>
      <c r="D49" s="121"/>
      <c r="E49" s="121"/>
      <c r="F49" s="121"/>
      <c r="G49" s="122">
        <f>K7</f>
        <v>1.0326</v>
      </c>
      <c r="H49" s="122"/>
      <c r="I49" s="123">
        <v>900.39</v>
      </c>
      <c r="J49" s="124" t="s">
        <v>97</v>
      </c>
      <c r="K49" s="125">
        <f>ROUND(C49*G49*I49,0)</f>
        <v>86914</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93.482200000000006</v>
      </c>
      <c r="D50" s="144"/>
      <c r="E50" s="145"/>
      <c r="F50" s="145"/>
      <c r="G50" s="146" t="s">
        <v>99</v>
      </c>
      <c r="H50" s="146"/>
      <c r="I50" s="146"/>
      <c r="J50" s="146"/>
      <c r="K50" s="146"/>
      <c r="L50" s="50">
        <f>IF(B2=75,0,K49+K48+K47)</f>
        <v>86914</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93.482200000000006</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4.84E-4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92.199999999999989</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5.1400000000000003E-4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4.84E-4</v>
      </c>
      <c r="L59" s="50">
        <f>ROUND(I59*K59,0)</f>
        <v>1995</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4.84E-4</v>
      </c>
      <c r="L67" s="50">
        <f>ROUND(I67*K67,0)</f>
        <v>46839</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5.1400000000000003E-4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4.84E-4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4.84E-4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5.1400000000000003E-4</v>
      </c>
      <c r="L72" s="50">
        <f>ROUND(I72*K72,0)</f>
        <v>7256</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66</v>
      </c>
      <c r="AA74" s="171" t="s">
        <v>129</v>
      </c>
      <c r="AB74" s="172">
        <f>+K75</f>
        <v>360</v>
      </c>
      <c r="AC74" s="55">
        <f>ROUND(AB74*Z74,0)</f>
        <v>23760</v>
      </c>
      <c r="AD74" s="9"/>
    </row>
    <row r="75" spans="1:30" ht="19.5" customHeight="1" x14ac:dyDescent="0.3">
      <c r="A75" s="1" t="s">
        <v>130</v>
      </c>
      <c r="B75" s="173" t="s">
        <v>127</v>
      </c>
      <c r="C75" s="174" t="s">
        <v>128</v>
      </c>
      <c r="D75" s="173">
        <v>66</v>
      </c>
      <c r="E75" s="173">
        <v>0</v>
      </c>
      <c r="F75" s="173">
        <v>0</v>
      </c>
      <c r="G75" s="175">
        <f>IF(E75=0,D75,E75)</f>
        <v>66</v>
      </c>
      <c r="H75" s="176"/>
      <c r="I75" s="177">
        <f>AVERAGE(G75,D75)</f>
        <v>66</v>
      </c>
      <c r="J75" s="178" t="s">
        <v>129</v>
      </c>
      <c r="K75" s="179">
        <v>360</v>
      </c>
      <c r="L75" s="50">
        <f>ROUND(K75*I75,0)</f>
        <v>23760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4.84E-4</v>
      </c>
      <c r="L77" s="50">
        <f>ROUND(I77*K77,0)</f>
        <v>15836</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4.84E-4</v>
      </c>
      <c r="L78" s="50">
        <f>ROUND(I78*K78,0)</f>
        <v>324</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23760</v>
      </c>
      <c r="AD81" s="195"/>
    </row>
    <row r="82" spans="1:30" ht="22.5" customHeight="1" thickTop="1" thickBot="1" x14ac:dyDescent="0.35">
      <c r="B82" s="13" t="s">
        <v>141</v>
      </c>
      <c r="C82" s="13"/>
      <c r="D82" s="13"/>
      <c r="E82" s="13"/>
      <c r="F82" s="13"/>
      <c r="G82" s="13"/>
      <c r="H82" s="13"/>
      <c r="I82" s="13"/>
      <c r="J82" s="13"/>
      <c r="K82" s="13"/>
      <c r="L82" s="196">
        <f>SUM(L44:L81)</f>
        <v>582271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'3344'!AC81</f>
        <v>23760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582271</v>
      </c>
      <c r="L86" s="82">
        <f>IF(G26=0,0,IF(G26&gt;250,-(((250/G26)*K86)*IF(M86="H",0.02,0.05)),IF(M86="H",-0.02*K86,-0.05*K86)))</f>
        <v>-29113.550000000003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553157.44999999995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295597</v>
      </c>
      <c r="G89" s="13"/>
      <c r="H89" s="13"/>
      <c r="I89" s="13"/>
      <c r="J89" s="13"/>
      <c r="K89" s="206"/>
      <c r="L89" s="82">
        <v>-381451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171706.44999999995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42926.612499999988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251</v>
      </c>
      <c r="C123" s="219" t="s">
        <v>200</v>
      </c>
    </row>
    <row r="124" spans="2:3" ht="15.5" hidden="1" x14ac:dyDescent="0.35">
      <c r="B124" s="223" t="s">
        <v>252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41646.469131944403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51"/>
  <sheetViews>
    <sheetView topLeftCell="B74"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'3345'!B2</f>
        <v>50</v>
      </c>
      <c r="W2" s="413" t="s">
        <v>4</v>
      </c>
      <c r="X2" s="414"/>
      <c r="Y2" s="415"/>
      <c r="Z2" s="415"/>
      <c r="AA2" s="415"/>
      <c r="AB2" s="415"/>
      <c r="AC2" s="415"/>
      <c r="AD2" s="9"/>
    </row>
    <row r="3" spans="1:30" ht="20" x14ac:dyDescent="0.4">
      <c r="B3" s="10" t="str">
        <f>"Revenue Estimate Worksheet for "&amp;B124</f>
        <v>Revenue Estimate Worksheet for GulfstreamGoodwil LIFE Academy</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'3345'!G7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IF('3345'!K$84=1,'3345'!G10,0)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IF('3345'!K$84=1,'3345'!G11,0)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IF('3345'!K$84=1,'3345'!G12,0)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IF('3345'!K$84=1,'3345'!G13,0)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IF('3345'!K$84=1,'3345'!G14,0)</f>
        <v>0</v>
      </c>
      <c r="Y14" s="396"/>
      <c r="Z14" s="397">
        <v>1</v>
      </c>
      <c r="AA14" s="397"/>
      <c r="AB14" s="54">
        <f t="shared" si="0"/>
        <v>0</v>
      </c>
      <c r="AC14" s="55">
        <f t="shared" si="1"/>
        <v>0</v>
      </c>
      <c r="AD14" s="9"/>
    </row>
    <row r="15" spans="1:30" x14ac:dyDescent="0.3">
      <c r="A15" s="1" t="s">
        <v>39</v>
      </c>
      <c r="B15" s="13" t="s">
        <v>40</v>
      </c>
      <c r="C15" s="13"/>
      <c r="D15" s="13">
        <v>46.5</v>
      </c>
      <c r="E15" s="13">
        <v>0</v>
      </c>
      <c r="F15" s="13">
        <v>55.72</v>
      </c>
      <c r="G15" s="46">
        <f t="shared" si="2"/>
        <v>93</v>
      </c>
      <c r="H15" s="47"/>
      <c r="I15" s="56">
        <f>I14</f>
        <v>1.0109999999999999</v>
      </c>
      <c r="J15" s="56"/>
      <c r="K15" s="49">
        <f t="shared" si="3"/>
        <v>94.022999999999996</v>
      </c>
      <c r="L15" s="58">
        <f t="shared" si="4"/>
        <v>364304</v>
      </c>
      <c r="M15" s="1" t="str">
        <f>IF(ROUND(G15,2)=ROUND(SUM(G34:G36),2)," ","CHECK 2. PK-3 Lines Below")</f>
        <v xml:space="preserve"> </v>
      </c>
      <c r="N15" s="51">
        <v>5103</v>
      </c>
      <c r="O15" s="57" t="s">
        <v>41</v>
      </c>
      <c r="Q15" s="53"/>
      <c r="V15" s="357" t="s">
        <v>40</v>
      </c>
      <c r="W15" s="357"/>
      <c r="X15" s="396">
        <f>IF('3345'!K$84=1,'3345'!G15,0)</f>
        <v>93</v>
      </c>
      <c r="Y15" s="396"/>
      <c r="Z15" s="397">
        <v>1</v>
      </c>
      <c r="AA15" s="397"/>
      <c r="AB15" s="54">
        <f t="shared" si="0"/>
        <v>93</v>
      </c>
      <c r="AC15" s="59">
        <f t="shared" si="1"/>
        <v>360340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IF('3345'!K$84=1,'3345'!G16,0)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IF('3345'!K$84=1,'3345'!G17,0)</f>
        <v>0</v>
      </c>
      <c r="Y17" s="396"/>
      <c r="Z17" s="397">
        <v>1</v>
      </c>
      <c r="AA17" s="397"/>
      <c r="AB17" s="54">
        <f t="shared" si="0"/>
        <v>0</v>
      </c>
      <c r="AC17" s="55">
        <f t="shared" si="1"/>
        <v>0</v>
      </c>
      <c r="AD17" s="9"/>
    </row>
    <row r="18" spans="1:30" ht="15.5" x14ac:dyDescent="0.35">
      <c r="A18" s="1" t="s">
        <v>46</v>
      </c>
      <c r="B18" s="13" t="s">
        <v>47</v>
      </c>
      <c r="C18" s="13"/>
      <c r="D18" s="13">
        <v>0.5</v>
      </c>
      <c r="E18" s="13">
        <v>0</v>
      </c>
      <c r="F18" s="13">
        <v>0.6</v>
      </c>
      <c r="G18" s="46">
        <f t="shared" si="2"/>
        <v>1</v>
      </c>
      <c r="H18" s="47"/>
      <c r="I18" s="56">
        <f>I17</f>
        <v>3.5579999999999998</v>
      </c>
      <c r="J18" s="56"/>
      <c r="K18" s="49">
        <f t="shared" si="3"/>
        <v>3.5579999999999998</v>
      </c>
      <c r="L18" s="50">
        <f t="shared" si="4"/>
        <v>13786</v>
      </c>
      <c r="N18" s="51">
        <v>5103</v>
      </c>
      <c r="O18" s="53">
        <v>254</v>
      </c>
      <c r="Q18" s="53"/>
      <c r="V18" s="357" t="s">
        <v>47</v>
      </c>
      <c r="W18" s="357"/>
      <c r="X18" s="396">
        <f>IF('3345'!K$84=1,'3345'!G18,0)</f>
        <v>1</v>
      </c>
      <c r="Y18" s="396"/>
      <c r="Z18" s="397">
        <v>1</v>
      </c>
      <c r="AA18" s="397"/>
      <c r="AB18" s="54">
        <f t="shared" si="0"/>
        <v>1</v>
      </c>
      <c r="AC18" s="55">
        <f t="shared" si="1"/>
        <v>3875</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IF('3345'!K$84=1,'3345'!G19,0)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IF('3345'!K$84=1,'3345'!G20,0)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IF('3345'!K$84=1,'3345'!G21,0)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IF('3345'!K$84=1,'3345'!G22,0)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IF('3345'!K$84=1,'3345'!G23,0)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IF('3345'!K$84=1,'3345'!G24,0)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IF('3345'!K$84=1,'3345'!G25,0)</f>
        <v>0</v>
      </c>
      <c r="Y25" s="396"/>
      <c r="Z25" s="397">
        <v>1</v>
      </c>
      <c r="AA25" s="397"/>
      <c r="AB25" s="54">
        <f t="shared" si="0"/>
        <v>0</v>
      </c>
      <c r="AC25" s="55">
        <f t="shared" si="1"/>
        <v>0</v>
      </c>
      <c r="AD25" s="9"/>
    </row>
    <row r="26" spans="1:30" ht="20.25" customHeight="1" thickBot="1" x14ac:dyDescent="0.35">
      <c r="B26" s="61" t="s">
        <v>62</v>
      </c>
      <c r="C26" s="61"/>
      <c r="D26" s="62">
        <f t="shared" ref="D26:E26" si="5">SUM(D10:D25)</f>
        <v>47</v>
      </c>
      <c r="E26" s="62">
        <f t="shared" si="5"/>
        <v>0</v>
      </c>
      <c r="F26" s="62"/>
      <c r="G26" s="62">
        <f>SUM(G10:G25)</f>
        <v>94</v>
      </c>
      <c r="H26" s="63"/>
      <c r="I26" s="63"/>
      <c r="J26" s="64"/>
      <c r="K26" s="65">
        <f>SUM(K10:K25)</f>
        <v>97.580999999999989</v>
      </c>
      <c r="L26" s="66">
        <f>SUM(L10:L25)</f>
        <v>378090</v>
      </c>
      <c r="N26" s="53"/>
      <c r="O26" s="67"/>
      <c r="P26" s="53"/>
      <c r="Q26" s="53"/>
      <c r="V26" s="398" t="s">
        <v>62</v>
      </c>
      <c r="W26" s="398"/>
      <c r="X26" s="387">
        <f>SUM(X10:X25)</f>
        <v>94</v>
      </c>
      <c r="Y26" s="387"/>
      <c r="Z26" s="399"/>
      <c r="AA26" s="400"/>
      <c r="AB26" s="68">
        <f>SUM(AB10:AB25)</f>
        <v>94</v>
      </c>
      <c r="AC26" s="69">
        <f>SUM(AC10:AC25)</f>
        <v>364215</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1</v>
      </c>
      <c r="E34" s="13">
        <v>0</v>
      </c>
      <c r="F34" s="89">
        <v>1</v>
      </c>
      <c r="G34" s="46">
        <f t="shared" si="7"/>
        <v>2</v>
      </c>
      <c r="H34" s="79"/>
      <c r="I34" s="90" t="s">
        <v>78</v>
      </c>
      <c r="J34" s="51">
        <v>251</v>
      </c>
      <c r="K34" s="81">
        <v>835</v>
      </c>
      <c r="L34" s="82">
        <f t="shared" si="8"/>
        <v>1670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10.5</v>
      </c>
      <c r="E35" s="13">
        <v>0</v>
      </c>
      <c r="F35" s="89">
        <v>9.5</v>
      </c>
      <c r="G35" s="46">
        <f t="shared" si="7"/>
        <v>21</v>
      </c>
      <c r="H35" s="79"/>
      <c r="I35" s="90" t="s">
        <v>78</v>
      </c>
      <c r="J35" s="51">
        <v>252</v>
      </c>
      <c r="K35" s="81">
        <v>3168</v>
      </c>
      <c r="L35" s="82">
        <f t="shared" si="8"/>
        <v>66528</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35</v>
      </c>
      <c r="E36" s="13">
        <v>0</v>
      </c>
      <c r="F36" s="89">
        <v>35</v>
      </c>
      <c r="G36" s="46">
        <f t="shared" si="7"/>
        <v>70</v>
      </c>
      <c r="H36" s="79"/>
      <c r="I36" s="90" t="s">
        <v>78</v>
      </c>
      <c r="J36" s="51">
        <v>253</v>
      </c>
      <c r="K36" s="81">
        <v>6685</v>
      </c>
      <c r="L36" s="93">
        <f t="shared" si="8"/>
        <v>467950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46.5</v>
      </c>
      <c r="E37" s="62">
        <f t="shared" si="10"/>
        <v>0</v>
      </c>
      <c r="F37" s="62"/>
      <c r="G37" s="62">
        <f>SUM(G28:G36)</f>
        <v>93</v>
      </c>
      <c r="H37" s="63"/>
      <c r="I37" s="13" t="s">
        <v>82</v>
      </c>
      <c r="J37" s="13"/>
      <c r="K37" s="13"/>
      <c r="L37" s="50">
        <f>SUM(L28:L36)</f>
        <v>536148</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18048</v>
      </c>
      <c r="N40" s="103"/>
      <c r="O40" s="103"/>
      <c r="P40" s="103"/>
      <c r="Q40" s="103"/>
      <c r="V40" s="382" t="s">
        <v>86</v>
      </c>
      <c r="W40" s="382"/>
      <c r="X40" s="383">
        <f>+G40</f>
        <v>179393.64</v>
      </c>
      <c r="Y40" s="383"/>
      <c r="Z40" s="383"/>
      <c r="AA40" s="383"/>
      <c r="AB40" s="55">
        <f>ROUND(X39/X40,0)</f>
        <v>192</v>
      </c>
      <c r="AC40" s="55">
        <f>ROUND(AB40*$X$26,0)</f>
        <v>18048</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932286</v>
      </c>
      <c r="O44" s="1"/>
      <c r="V44" s="376" t="s">
        <v>90</v>
      </c>
      <c r="W44" s="376"/>
      <c r="X44" s="376"/>
      <c r="Y44" s="376"/>
      <c r="Z44" s="376"/>
      <c r="AA44" s="376"/>
      <c r="AB44" s="376"/>
      <c r="AC44" s="111">
        <f>SUM(AC26,AC37,AC40)</f>
        <v>382263</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97.580999999999989</v>
      </c>
      <c r="D49" s="121"/>
      <c r="E49" s="121"/>
      <c r="F49" s="121"/>
      <c r="G49" s="122">
        <f>K7</f>
        <v>1.0326</v>
      </c>
      <c r="H49" s="122"/>
      <c r="I49" s="123">
        <v>900.39</v>
      </c>
      <c r="J49" s="124" t="s">
        <v>97</v>
      </c>
      <c r="K49" s="125">
        <f>ROUND(C49*G49*I49,0)</f>
        <v>90725</v>
      </c>
      <c r="L49" s="61"/>
      <c r="M49" s="108"/>
      <c r="N49" s="137"/>
      <c r="O49" s="138"/>
      <c r="P49" s="67"/>
      <c r="Q49" s="139"/>
      <c r="V49" s="140" t="s">
        <v>78</v>
      </c>
      <c r="W49" s="141">
        <f>AB14+AB15+AB18+AB21+AB24+AB25</f>
        <v>94</v>
      </c>
      <c r="X49" s="369">
        <f>AB7</f>
        <v>1.0326</v>
      </c>
      <c r="Y49" s="369"/>
      <c r="Z49" s="128">
        <f>+I49</f>
        <v>900.39</v>
      </c>
      <c r="AA49" s="129" t="s">
        <v>97</v>
      </c>
      <c r="AB49" s="130">
        <f>ROUND(W49*X49*Z49,0)</f>
        <v>87396</v>
      </c>
      <c r="AC49" s="134"/>
      <c r="AD49" s="109"/>
    </row>
    <row r="50" spans="2:30" ht="24" customHeight="1" thickBot="1" x14ac:dyDescent="0.35">
      <c r="B50" s="142" t="s">
        <v>98</v>
      </c>
      <c r="C50" s="143">
        <f>SUM(C47:C49)</f>
        <v>97.580999999999989</v>
      </c>
      <c r="D50" s="144"/>
      <c r="E50" s="145"/>
      <c r="F50" s="145"/>
      <c r="G50" s="146" t="s">
        <v>99</v>
      </c>
      <c r="H50" s="146"/>
      <c r="I50" s="146"/>
      <c r="J50" s="146"/>
      <c r="K50" s="146"/>
      <c r="L50" s="50">
        <f>IF(B2=75,0,K49+K48+K47)</f>
        <v>90725</v>
      </c>
      <c r="N50" s="3"/>
      <c r="O50" s="1"/>
      <c r="V50" s="147" t="s">
        <v>98</v>
      </c>
      <c r="W50" s="148">
        <f>SUM(W47:W49)</f>
        <v>94</v>
      </c>
      <c r="X50" s="370" t="s">
        <v>99</v>
      </c>
      <c r="Y50" s="371"/>
      <c r="Z50" s="371"/>
      <c r="AA50" s="371"/>
      <c r="AB50" s="371"/>
      <c r="AC50" s="55">
        <f>IF(V2=75,0,AB49+AB48+AB47)</f>
        <v>87396</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97.580999999999989</v>
      </c>
      <c r="H53" s="56" t="s">
        <v>103</v>
      </c>
      <c r="I53" s="56"/>
      <c r="J53" s="152">
        <v>193142.74</v>
      </c>
      <c r="K53" s="152"/>
      <c r="L53" s="152"/>
      <c r="N53" s="3"/>
      <c r="O53" s="1"/>
      <c r="V53" s="364" t="s">
        <v>102</v>
      </c>
      <c r="W53" s="364"/>
      <c r="X53" s="153">
        <f>AB26</f>
        <v>94</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5.0500000000000002E-4</v>
      </c>
      <c r="L54" s="154"/>
      <c r="N54" s="67"/>
      <c r="O54" s="1"/>
      <c r="V54" s="364" t="s">
        <v>104</v>
      </c>
      <c r="W54" s="364"/>
      <c r="X54" s="364"/>
      <c r="Y54" s="364"/>
      <c r="Z54" s="364"/>
      <c r="AA54" s="364"/>
      <c r="AB54" s="367">
        <f>ROUND(X53/AA53,6)</f>
        <v>4.8700000000000002E-4</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94</v>
      </c>
      <c r="H56" s="56" t="s">
        <v>107</v>
      </c>
      <c r="I56" s="56"/>
      <c r="J56" s="152">
        <v>179393.64</v>
      </c>
      <c r="K56" s="152"/>
      <c r="L56" s="152"/>
      <c r="O56" s="1"/>
      <c r="V56" s="364" t="s">
        <v>106</v>
      </c>
      <c r="W56" s="364"/>
      <c r="X56" s="156">
        <f>X26</f>
        <v>94</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5.2400000000000005E-4</v>
      </c>
      <c r="L57" s="154"/>
      <c r="O57" s="1"/>
      <c r="V57" s="364" t="s">
        <v>108</v>
      </c>
      <c r="W57" s="364"/>
      <c r="X57" s="364"/>
      <c r="Y57" s="364"/>
      <c r="Z57" s="364"/>
      <c r="AA57" s="364"/>
      <c r="AB57" s="367">
        <f>ROUND(X56/AA56,6)</f>
        <v>5.2400000000000005E-4</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4.8700000000000002E-4</v>
      </c>
      <c r="AC58" s="55">
        <f>ROUND(Y58*AB58,0)</f>
        <v>2008</v>
      </c>
      <c r="AD58" s="9"/>
    </row>
    <row r="59" spans="2:30" x14ac:dyDescent="0.3">
      <c r="B59" s="61" t="s">
        <v>110</v>
      </c>
      <c r="C59" s="61"/>
      <c r="D59" s="61"/>
      <c r="E59" s="61"/>
      <c r="F59" s="61"/>
      <c r="G59" s="61"/>
      <c r="H59" s="160" t="s">
        <v>22</v>
      </c>
      <c r="I59" s="125">
        <f>G66+G65+G63+G62+G61</f>
        <v>4122856</v>
      </c>
      <c r="J59" s="161" t="s">
        <v>111</v>
      </c>
      <c r="K59" s="162">
        <f>K54</f>
        <v>5.0500000000000002E-4</v>
      </c>
      <c r="L59" s="50">
        <f>ROUND(I59*K59,0)</f>
        <v>2082</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4.8700000000000002E-4</v>
      </c>
      <c r="AC66" s="55">
        <f>ROUND(Y66*AB66,0)</f>
        <v>47129</v>
      </c>
      <c r="AD66" s="9"/>
    </row>
    <row r="67" spans="1:30" ht="20.25" customHeight="1" x14ac:dyDescent="0.3">
      <c r="B67" s="13" t="s">
        <v>119</v>
      </c>
      <c r="C67" s="13"/>
      <c r="D67" s="13"/>
      <c r="E67" s="13"/>
      <c r="F67" s="13"/>
      <c r="H67" s="160" t="s">
        <v>25</v>
      </c>
      <c r="I67" s="125">
        <v>96774526</v>
      </c>
      <c r="J67" s="161" t="s">
        <v>111</v>
      </c>
      <c r="K67" s="162">
        <f>K54</f>
        <v>5.0500000000000002E-4</v>
      </c>
      <c r="L67" s="50">
        <f>ROUND(I67*K67,0)</f>
        <v>48871</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5.2400000000000005E-4</v>
      </c>
      <c r="AC68" s="55">
        <f>ROUND(Y68*AB68,0)</f>
        <v>0</v>
      </c>
      <c r="AD68" s="9"/>
    </row>
    <row r="69" spans="1:30" ht="15" customHeight="1" x14ac:dyDescent="0.3">
      <c r="B69" s="166" t="s">
        <v>121</v>
      </c>
      <c r="C69" s="13"/>
      <c r="D69" s="13"/>
      <c r="E69" s="13"/>
      <c r="F69" s="13"/>
      <c r="H69" s="160" t="s">
        <v>23</v>
      </c>
      <c r="I69" s="125">
        <v>0</v>
      </c>
      <c r="J69" s="161" t="s">
        <v>111</v>
      </c>
      <c r="K69" s="162">
        <f>K57</f>
        <v>5.2400000000000005E-4</v>
      </c>
      <c r="L69" s="50">
        <f>ROUND(I69*K69,0)</f>
        <v>0</v>
      </c>
      <c r="O69" s="1"/>
      <c r="V69" s="354" t="s">
        <v>122</v>
      </c>
      <c r="W69" s="354"/>
      <c r="X69" s="354"/>
      <c r="Y69" s="360">
        <f>+I70</f>
        <v>0</v>
      </c>
      <c r="Z69" s="360"/>
      <c r="AA69" s="158" t="s">
        <v>111</v>
      </c>
      <c r="AB69" s="159">
        <f>AB54</f>
        <v>4.8700000000000002E-4</v>
      </c>
      <c r="AC69" s="55">
        <f>ROUND(Y69*AB69,0)</f>
        <v>0</v>
      </c>
      <c r="AD69" s="9"/>
    </row>
    <row r="70" spans="1:30" ht="20.25" customHeight="1" x14ac:dyDescent="0.3">
      <c r="B70" s="13" t="s">
        <v>122</v>
      </c>
      <c r="C70" s="13"/>
      <c r="D70" s="13"/>
      <c r="E70" s="13"/>
      <c r="F70" s="13"/>
      <c r="H70" s="160" t="s">
        <v>22</v>
      </c>
      <c r="I70" s="125">
        <v>0</v>
      </c>
      <c r="J70" s="161" t="s">
        <v>111</v>
      </c>
      <c r="K70" s="162">
        <f>K54</f>
        <v>5.0500000000000002E-4</v>
      </c>
      <c r="L70" s="50">
        <f>ROUND(I70*K70,0)</f>
        <v>0</v>
      </c>
      <c r="O70" s="1"/>
      <c r="V70" s="354" t="s">
        <v>123</v>
      </c>
      <c r="W70" s="354"/>
      <c r="X70" s="354"/>
      <c r="Y70" s="356">
        <f>+I71</f>
        <v>0</v>
      </c>
      <c r="Z70" s="356"/>
      <c r="AA70" s="158" t="s">
        <v>111</v>
      </c>
      <c r="AB70" s="159">
        <f>AB54</f>
        <v>4.8700000000000002E-4</v>
      </c>
      <c r="AC70" s="55">
        <f>ROUND(Y70*AB70,0)</f>
        <v>0</v>
      </c>
      <c r="AD70" s="9"/>
    </row>
    <row r="71" spans="1:30" ht="20.25" customHeight="1" x14ac:dyDescent="0.3">
      <c r="B71" s="13" t="s">
        <v>123</v>
      </c>
      <c r="C71" s="13"/>
      <c r="D71" s="13"/>
      <c r="E71" s="13"/>
      <c r="F71" s="13"/>
      <c r="H71" s="160" t="s">
        <v>22</v>
      </c>
      <c r="I71" s="125">
        <v>0</v>
      </c>
      <c r="J71" s="161" t="s">
        <v>111</v>
      </c>
      <c r="K71" s="162">
        <f>K54</f>
        <v>5.0500000000000002E-4</v>
      </c>
      <c r="L71" s="50">
        <f>ROUND(I71*K71,0)</f>
        <v>0</v>
      </c>
      <c r="O71" s="1"/>
      <c r="V71" s="354" t="s">
        <v>124</v>
      </c>
      <c r="W71" s="354"/>
      <c r="X71" s="354"/>
      <c r="Y71" s="356">
        <f>+I72</f>
        <v>14117224</v>
      </c>
      <c r="Z71" s="356"/>
      <c r="AA71" s="158" t="s">
        <v>111</v>
      </c>
      <c r="AB71" s="159">
        <f>AB57</f>
        <v>5.2400000000000005E-4</v>
      </c>
      <c r="AC71" s="55">
        <f>ROUND(Y71*AB71,0)</f>
        <v>7397</v>
      </c>
      <c r="AD71" s="9"/>
    </row>
    <row r="72" spans="1:30" ht="21" customHeight="1" x14ac:dyDescent="0.35">
      <c r="B72" s="13" t="s">
        <v>124</v>
      </c>
      <c r="C72" s="13"/>
      <c r="D72" s="13"/>
      <c r="E72" s="13"/>
      <c r="F72" s="13"/>
      <c r="H72" s="160" t="s">
        <v>23</v>
      </c>
      <c r="I72" s="125">
        <v>14117224</v>
      </c>
      <c r="J72" s="161" t="s">
        <v>111</v>
      </c>
      <c r="K72" s="162">
        <f>K57</f>
        <v>5.2400000000000005E-4</v>
      </c>
      <c r="L72" s="50">
        <f>ROUND(I72*K72,0)</f>
        <v>7397</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87</v>
      </c>
      <c r="AA74" s="171" t="s">
        <v>129</v>
      </c>
      <c r="AB74" s="172">
        <f>+K75</f>
        <v>360</v>
      </c>
      <c r="AC74" s="55">
        <f>ROUND(AB74*Z74,0)</f>
        <v>31320</v>
      </c>
      <c r="AD74" s="9"/>
    </row>
    <row r="75" spans="1:30" ht="19.5" customHeight="1" x14ac:dyDescent="0.3">
      <c r="A75" s="1" t="s">
        <v>130</v>
      </c>
      <c r="B75" s="173" t="s">
        <v>127</v>
      </c>
      <c r="C75" s="174" t="s">
        <v>128</v>
      </c>
      <c r="D75" s="173">
        <v>87</v>
      </c>
      <c r="E75" s="173">
        <v>0</v>
      </c>
      <c r="F75" s="173">
        <v>0</v>
      </c>
      <c r="G75" s="175">
        <f>IF(E75=0,D75,E75)</f>
        <v>87</v>
      </c>
      <c r="H75" s="176"/>
      <c r="I75" s="177">
        <f>AVERAGE(G75,D75)</f>
        <v>87</v>
      </c>
      <c r="J75" s="178" t="s">
        <v>129</v>
      </c>
      <c r="K75" s="179">
        <v>360</v>
      </c>
      <c r="L75" s="50">
        <f>ROUND(K75*I75,0)</f>
        <v>31320</v>
      </c>
      <c r="N75" s="1">
        <v>7802</v>
      </c>
      <c r="O75" s="1">
        <v>0</v>
      </c>
      <c r="V75" s="358" t="s">
        <v>127</v>
      </c>
      <c r="W75" s="358"/>
      <c r="X75" s="168" t="s">
        <v>131</v>
      </c>
      <c r="Y75" s="180"/>
      <c r="Z75" s="181">
        <f>+I76</f>
        <v>12</v>
      </c>
      <c r="AA75" s="171" t="s">
        <v>129</v>
      </c>
      <c r="AB75" s="182">
        <f>+K76</f>
        <v>1355</v>
      </c>
      <c r="AC75" s="55">
        <f>ROUND(AB75*Z75,0)</f>
        <v>16260</v>
      </c>
      <c r="AD75" s="9"/>
    </row>
    <row r="76" spans="1:30" ht="19.5" customHeight="1" x14ac:dyDescent="0.3">
      <c r="A76" s="1" t="s">
        <v>132</v>
      </c>
      <c r="B76" s="173" t="s">
        <v>127</v>
      </c>
      <c r="C76" s="174" t="s">
        <v>131</v>
      </c>
      <c r="D76" s="173">
        <v>12</v>
      </c>
      <c r="E76" s="173">
        <v>0</v>
      </c>
      <c r="F76" s="173">
        <v>0</v>
      </c>
      <c r="G76" s="175">
        <f>IF(E76=0,D76,E76)</f>
        <v>12</v>
      </c>
      <c r="H76" s="176"/>
      <c r="I76" s="177">
        <f>AVERAGE(G76,D76)</f>
        <v>12</v>
      </c>
      <c r="J76" s="178" t="s">
        <v>129</v>
      </c>
      <c r="K76" s="183">
        <v>1355</v>
      </c>
      <c r="L76" s="50">
        <f>ROUND(K76*I76,0)</f>
        <v>16260</v>
      </c>
      <c r="N76" s="1">
        <v>7802</v>
      </c>
      <c r="O76" s="1">
        <v>110</v>
      </c>
      <c r="V76" s="354" t="s">
        <v>133</v>
      </c>
      <c r="W76" s="354"/>
      <c r="X76" s="354"/>
      <c r="Y76" s="355">
        <f>+I77</f>
        <v>32718286</v>
      </c>
      <c r="Z76" s="355"/>
      <c r="AA76" s="171" t="s">
        <v>129</v>
      </c>
      <c r="AB76" s="159">
        <f>AB54</f>
        <v>4.8700000000000002E-4</v>
      </c>
      <c r="AC76" s="55">
        <f>ROUND(Y76*AB76,0)</f>
        <v>15934</v>
      </c>
      <c r="AD76" s="9"/>
    </row>
    <row r="77" spans="1:30" ht="26.25" customHeight="1" x14ac:dyDescent="0.3">
      <c r="B77" s="13" t="s">
        <v>133</v>
      </c>
      <c r="C77" s="13"/>
      <c r="D77" s="13"/>
      <c r="E77" s="13"/>
      <c r="F77" s="13"/>
      <c r="H77" s="160" t="s">
        <v>134</v>
      </c>
      <c r="I77" s="184">
        <v>32718286</v>
      </c>
      <c r="J77" s="161" t="s">
        <v>111</v>
      </c>
      <c r="K77" s="162">
        <f>K54</f>
        <v>5.0500000000000002E-4</v>
      </c>
      <c r="L77" s="50">
        <f>ROUND(I77*K77,0)</f>
        <v>16523</v>
      </c>
      <c r="O77" s="1"/>
      <c r="V77" s="354" t="str">
        <f>+B78</f>
        <v>15.  Additional Allocation (WFTE share)</v>
      </c>
      <c r="W77" s="354"/>
      <c r="X77" s="354"/>
      <c r="Y77" s="355">
        <f>+I78</f>
        <v>668680</v>
      </c>
      <c r="Z77" s="355"/>
      <c r="AA77" s="171" t="s">
        <v>129</v>
      </c>
      <c r="AB77" s="159">
        <f>AB54</f>
        <v>4.8700000000000002E-4</v>
      </c>
      <c r="AC77" s="55">
        <f>ROUND(Y77*AB77,0)</f>
        <v>326</v>
      </c>
      <c r="AD77" s="9"/>
    </row>
    <row r="78" spans="1:30" ht="26.25" customHeight="1" x14ac:dyDescent="0.3">
      <c r="B78" s="353" t="s">
        <v>135</v>
      </c>
      <c r="C78" s="353"/>
      <c r="D78" s="353"/>
      <c r="E78" s="13"/>
      <c r="F78" s="13"/>
      <c r="H78" s="160" t="s">
        <v>136</v>
      </c>
      <c r="I78" s="185">
        <v>668680</v>
      </c>
      <c r="J78" s="161" t="s">
        <v>111</v>
      </c>
      <c r="K78" s="162">
        <f>K54</f>
        <v>5.0500000000000002E-4</v>
      </c>
      <c r="L78" s="50">
        <f>ROUND(I78*K78,0)</f>
        <v>338</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590033</v>
      </c>
      <c r="AD81" s="195"/>
    </row>
    <row r="82" spans="1:30" ht="22.5" customHeight="1" thickTop="1" thickBot="1" x14ac:dyDescent="0.35">
      <c r="B82" s="13" t="s">
        <v>141</v>
      </c>
      <c r="C82" s="13"/>
      <c r="D82" s="13"/>
      <c r="E82" s="13"/>
      <c r="F82" s="13"/>
      <c r="G82" s="13"/>
      <c r="H82" s="13"/>
      <c r="I82" s="13"/>
      <c r="J82" s="13"/>
      <c r="K82" s="13"/>
      <c r="L82" s="196">
        <f>SUM(L44:L81)</f>
        <v>1145802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'3345'!AC81</f>
        <v>590033</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590033</v>
      </c>
      <c r="L86" s="82">
        <f>IF(G26=0,0,IF(G26&gt;250,-(((250/G26)*K86)*IF(M86="H",0.02,0.05)),IF(M86="H",-0.02*K86,-0.05*K86)))</f>
        <v>-29501.65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1116300.3500000001</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547372</v>
      </c>
      <c r="G89" s="13"/>
      <c r="H89" s="13"/>
      <c r="I89" s="13"/>
      <c r="J89" s="13"/>
      <c r="K89" s="206"/>
      <c r="L89" s="82">
        <v>-736467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379833.35000000009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94958.337500000023</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254</v>
      </c>
      <c r="C123" s="219" t="s">
        <v>200</v>
      </c>
    </row>
    <row r="124" spans="2:3" ht="15.5" hidden="1" x14ac:dyDescent="0.35">
      <c r="B124" s="223" t="s">
        <v>255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41646.469143518501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51"/>
  <sheetViews>
    <sheetView topLeftCell="B77"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'3347'!B2</f>
        <v>50</v>
      </c>
      <c r="W2" s="413" t="s">
        <v>4</v>
      </c>
      <c r="X2" s="414"/>
      <c r="Y2" s="415"/>
      <c r="Z2" s="415"/>
      <c r="AA2" s="415"/>
      <c r="AB2" s="415"/>
      <c r="AC2" s="415"/>
      <c r="AD2" s="9"/>
    </row>
    <row r="3" spans="1:30" ht="20" x14ac:dyDescent="0.4">
      <c r="B3" s="10" t="str">
        <f>"Revenue Estimate Worksheet for "&amp;B124</f>
        <v>Revenue Estimate Worksheet for Leadership Academy West</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'3347'!G7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IF('3347'!K$84=1,'3347'!G10,0)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IF('3347'!K$84=1,'3347'!G11,0)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IF('3347'!K$84=1,'3347'!G12,0)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IF('3347'!K$84=1,'3347'!G13,0)</f>
        <v>0</v>
      </c>
      <c r="Y13" s="396"/>
      <c r="Z13" s="397">
        <v>1</v>
      </c>
      <c r="AA13" s="397"/>
      <c r="AB13" s="54">
        <f t="shared" si="0"/>
        <v>0</v>
      </c>
      <c r="AC13" s="55">
        <f t="shared" si="1"/>
        <v>0</v>
      </c>
      <c r="AD13" s="9"/>
    </row>
    <row r="14" spans="1:30" x14ac:dyDescent="0.3">
      <c r="A14" s="1" t="s">
        <v>37</v>
      </c>
      <c r="B14" s="13" t="s">
        <v>38</v>
      </c>
      <c r="C14" s="13"/>
      <c r="D14" s="13">
        <v>50.32</v>
      </c>
      <c r="E14" s="13">
        <v>0</v>
      </c>
      <c r="F14" s="13">
        <v>85.89</v>
      </c>
      <c r="G14" s="46">
        <f t="shared" si="2"/>
        <v>100.64</v>
      </c>
      <c r="H14" s="47"/>
      <c r="I14" s="56">
        <v>1.0109999999999999</v>
      </c>
      <c r="J14" s="56"/>
      <c r="K14" s="49">
        <f t="shared" si="3"/>
        <v>101.747</v>
      </c>
      <c r="L14" s="50">
        <f t="shared" si="4"/>
        <v>394231</v>
      </c>
      <c r="N14" s="51">
        <v>5103</v>
      </c>
      <c r="O14" s="52">
        <v>103</v>
      </c>
      <c r="Q14" s="53"/>
      <c r="V14" s="357" t="s">
        <v>38</v>
      </c>
      <c r="W14" s="357"/>
      <c r="X14" s="396">
        <f>IF('3347'!K$84=1,'3347'!G14,0)</f>
        <v>0</v>
      </c>
      <c r="Y14" s="396"/>
      <c r="Z14" s="397">
        <v>1</v>
      </c>
      <c r="AA14" s="397"/>
      <c r="AB14" s="54">
        <f t="shared" si="0"/>
        <v>0</v>
      </c>
      <c r="AC14" s="55">
        <f t="shared" si="1"/>
        <v>0</v>
      </c>
      <c r="AD14" s="9"/>
    </row>
    <row r="15" spans="1:30" x14ac:dyDescent="0.3">
      <c r="A15" s="1" t="s">
        <v>39</v>
      </c>
      <c r="B15" s="13" t="s">
        <v>40</v>
      </c>
      <c r="C15" s="13"/>
      <c r="D15" s="13">
        <v>11.69</v>
      </c>
      <c r="E15" s="13">
        <v>0</v>
      </c>
      <c r="F15" s="13">
        <v>20.010000000000002</v>
      </c>
      <c r="G15" s="46">
        <f t="shared" si="2"/>
        <v>23.38</v>
      </c>
      <c r="H15" s="47"/>
      <c r="I15" s="56">
        <f>I14</f>
        <v>1.0109999999999999</v>
      </c>
      <c r="J15" s="56"/>
      <c r="K15" s="49">
        <f t="shared" si="3"/>
        <v>23.6372</v>
      </c>
      <c r="L15" s="58">
        <f t="shared" si="4"/>
        <v>91585</v>
      </c>
      <c r="M15" s="1" t="str">
        <f>IF(ROUND(G15,2)=ROUND(SUM(G34:G36),2)," ","CHECK 2. PK-3 Lines Below")</f>
        <v xml:space="preserve"> </v>
      </c>
      <c r="N15" s="51">
        <v>5103</v>
      </c>
      <c r="O15" s="57" t="s">
        <v>41</v>
      </c>
      <c r="Q15" s="53"/>
      <c r="V15" s="357" t="s">
        <v>40</v>
      </c>
      <c r="W15" s="357"/>
      <c r="X15" s="396">
        <f>IF('3347'!K$84=1,'3347'!G15,0)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IF('3347'!K$84=1,'3347'!G16,0)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IF('3347'!K$84=1,'3347'!G17,0)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IF('3347'!K$84=1,'3347'!G18,0)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IF('3347'!K$84=1,'3347'!G19,0)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IF('3347'!K$84=1,'3347'!G20,0)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IF('3347'!K$84=1,'3347'!G21,0)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IF('3347'!K$84=1,'3347'!G22,0)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IF('3347'!K$84=1,'3347'!G23,0)</f>
        <v>0</v>
      </c>
      <c r="Y23" s="396"/>
      <c r="Z23" s="397">
        <v>1</v>
      </c>
      <c r="AA23" s="397"/>
      <c r="AB23" s="54">
        <f t="shared" si="0"/>
        <v>0</v>
      </c>
      <c r="AC23" s="55">
        <f t="shared" si="1"/>
        <v>0</v>
      </c>
      <c r="AD23" s="9"/>
    </row>
    <row r="24" spans="1:30" ht="15.5" x14ac:dyDescent="0.35">
      <c r="A24" s="1" t="s">
        <v>58</v>
      </c>
      <c r="B24" s="13" t="s">
        <v>59</v>
      </c>
      <c r="C24" s="13"/>
      <c r="D24" s="13">
        <v>1.34</v>
      </c>
      <c r="E24" s="13">
        <v>0</v>
      </c>
      <c r="F24" s="13">
        <v>2.38</v>
      </c>
      <c r="G24" s="46">
        <f t="shared" si="2"/>
        <v>2.68</v>
      </c>
      <c r="H24" s="47"/>
      <c r="I24" s="56">
        <f>I23</f>
        <v>1.145</v>
      </c>
      <c r="J24" s="56"/>
      <c r="K24" s="49">
        <f t="shared" si="3"/>
        <v>3.0686</v>
      </c>
      <c r="L24" s="50">
        <f t="shared" si="4"/>
        <v>11890</v>
      </c>
      <c r="N24" s="51">
        <v>5103</v>
      </c>
      <c r="O24" s="52">
        <v>130</v>
      </c>
      <c r="Q24" s="53"/>
      <c r="V24" s="357" t="s">
        <v>59</v>
      </c>
      <c r="W24" s="357"/>
      <c r="X24" s="396">
        <f>IF('3347'!K$84=1,'3347'!G24,0)</f>
        <v>0</v>
      </c>
      <c r="Y24" s="396"/>
      <c r="Z24" s="397">
        <v>1</v>
      </c>
      <c r="AA24" s="397"/>
      <c r="AB24" s="54">
        <f t="shared" si="0"/>
        <v>0</v>
      </c>
      <c r="AC24" s="55">
        <f t="shared" si="1"/>
        <v>0</v>
      </c>
      <c r="AD24" s="9"/>
    </row>
    <row r="25" spans="1:30" ht="16" thickBot="1" x14ac:dyDescent="0.4">
      <c r="A25" s="1" t="s">
        <v>60</v>
      </c>
      <c r="B25" s="13" t="s">
        <v>61</v>
      </c>
      <c r="C25" s="13"/>
      <c r="D25" s="13">
        <v>4.51</v>
      </c>
      <c r="E25" s="13">
        <v>0</v>
      </c>
      <c r="F25" s="13">
        <v>7.53</v>
      </c>
      <c r="G25" s="60">
        <f t="shared" si="2"/>
        <v>9.02</v>
      </c>
      <c r="H25" s="47"/>
      <c r="I25" s="56">
        <v>1.0109999999999999</v>
      </c>
      <c r="J25" s="56"/>
      <c r="K25" s="49">
        <f t="shared" si="3"/>
        <v>9.1191999999999993</v>
      </c>
      <c r="L25" s="50">
        <f t="shared" si="4"/>
        <v>35333</v>
      </c>
      <c r="N25" s="51">
        <v>5310</v>
      </c>
      <c r="O25" s="52">
        <v>300</v>
      </c>
      <c r="Q25" s="53"/>
      <c r="V25" s="357" t="s">
        <v>61</v>
      </c>
      <c r="W25" s="357"/>
      <c r="X25" s="396">
        <f>IF('3347'!K$84=1,'3347'!G25,0)</f>
        <v>0</v>
      </c>
      <c r="Y25" s="396"/>
      <c r="Z25" s="397">
        <v>1</v>
      </c>
      <c r="AA25" s="397"/>
      <c r="AB25" s="54">
        <f t="shared" si="0"/>
        <v>0</v>
      </c>
      <c r="AC25" s="55">
        <f t="shared" si="1"/>
        <v>0</v>
      </c>
      <c r="AD25" s="9"/>
    </row>
    <row r="26" spans="1:30" ht="20.25" customHeight="1" thickBot="1" x14ac:dyDescent="0.35">
      <c r="B26" s="61" t="s">
        <v>62</v>
      </c>
      <c r="C26" s="61"/>
      <c r="D26" s="62">
        <f t="shared" ref="D26:E26" si="5">SUM(D10:D25)</f>
        <v>67.86</v>
      </c>
      <c r="E26" s="62">
        <f t="shared" si="5"/>
        <v>0</v>
      </c>
      <c r="F26" s="62"/>
      <c r="G26" s="62">
        <f>SUM(G10:G25)</f>
        <v>135.72</v>
      </c>
      <c r="H26" s="63"/>
      <c r="I26" s="63"/>
      <c r="J26" s="64"/>
      <c r="K26" s="65">
        <f>SUM(K10:K25)</f>
        <v>137.572</v>
      </c>
      <c r="L26" s="66">
        <f>SUM(L10:L25)</f>
        <v>533039</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11.69</v>
      </c>
      <c r="E34" s="13">
        <v>0</v>
      </c>
      <c r="F34" s="89">
        <v>9</v>
      </c>
      <c r="G34" s="46">
        <f t="shared" si="7"/>
        <v>23.38</v>
      </c>
      <c r="H34" s="79"/>
      <c r="I34" s="90" t="s">
        <v>78</v>
      </c>
      <c r="J34" s="51">
        <v>251</v>
      </c>
      <c r="K34" s="81">
        <v>835</v>
      </c>
      <c r="L34" s="82">
        <f t="shared" si="8"/>
        <v>19522</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11.69</v>
      </c>
      <c r="E37" s="62">
        <f t="shared" si="10"/>
        <v>0</v>
      </c>
      <c r="F37" s="62"/>
      <c r="G37" s="62">
        <f>SUM(G28:G36)</f>
        <v>23.38</v>
      </c>
      <c r="H37" s="63"/>
      <c r="I37" s="13" t="s">
        <v>82</v>
      </c>
      <c r="J37" s="13"/>
      <c r="K37" s="13"/>
      <c r="L37" s="50">
        <f>SUM(L28:L36)</f>
        <v>19522</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26058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578619</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137.572</v>
      </c>
      <c r="D49" s="121"/>
      <c r="E49" s="121"/>
      <c r="F49" s="121"/>
      <c r="G49" s="122">
        <f>K7</f>
        <v>1.0326</v>
      </c>
      <c r="H49" s="122"/>
      <c r="I49" s="123">
        <v>900.39</v>
      </c>
      <c r="J49" s="124" t="s">
        <v>97</v>
      </c>
      <c r="K49" s="125">
        <f>ROUND(C49*G49*I49,0)</f>
        <v>127907</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137.572</v>
      </c>
      <c r="D50" s="144"/>
      <c r="E50" s="145"/>
      <c r="F50" s="145"/>
      <c r="G50" s="146" t="s">
        <v>99</v>
      </c>
      <c r="H50" s="146"/>
      <c r="I50" s="146"/>
      <c r="J50" s="146"/>
      <c r="K50" s="146"/>
      <c r="L50" s="50">
        <f>IF(B2=75,0,K49+K48+K47)</f>
        <v>127907</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137.572</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7.1199999999999996E-4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135.72</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7.5699999999999997E-4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7.1199999999999996E-4</v>
      </c>
      <c r="L59" s="50">
        <f>ROUND(I59*K59,0)</f>
        <v>2935</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7.1199999999999996E-4</v>
      </c>
      <c r="L67" s="50">
        <f>ROUND(I67*K67,0)</f>
        <v>68903</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7.5699999999999997E-4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7.1199999999999996E-4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7.1199999999999996E-4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7.5699999999999997E-4</v>
      </c>
      <c r="L72" s="50">
        <f>ROUND(I72*K72,0)</f>
        <v>10687</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51</v>
      </c>
      <c r="AA74" s="171" t="s">
        <v>129</v>
      </c>
      <c r="AB74" s="172">
        <f>+K75</f>
        <v>360</v>
      </c>
      <c r="AC74" s="55">
        <f>ROUND(AB74*Z74,0)</f>
        <v>18360</v>
      </c>
      <c r="AD74" s="9"/>
    </row>
    <row r="75" spans="1:30" ht="19.5" customHeight="1" x14ac:dyDescent="0.3">
      <c r="A75" s="1" t="s">
        <v>130</v>
      </c>
      <c r="B75" s="173" t="s">
        <v>127</v>
      </c>
      <c r="C75" s="174" t="s">
        <v>128</v>
      </c>
      <c r="D75" s="173">
        <v>51</v>
      </c>
      <c r="E75" s="173">
        <v>0</v>
      </c>
      <c r="F75" s="173">
        <v>0</v>
      </c>
      <c r="G75" s="175">
        <f>IF(E75=0,D75,E75)</f>
        <v>51</v>
      </c>
      <c r="H75" s="176"/>
      <c r="I75" s="177">
        <f>AVERAGE(G75,D75)</f>
        <v>51</v>
      </c>
      <c r="J75" s="178" t="s">
        <v>129</v>
      </c>
      <c r="K75" s="179">
        <v>360</v>
      </c>
      <c r="L75" s="50">
        <f>ROUND(K75*I75,0)</f>
        <v>18360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7.1199999999999996E-4</v>
      </c>
      <c r="L77" s="50">
        <f>ROUND(I77*K77,0)</f>
        <v>23295</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7.1199999999999996E-4</v>
      </c>
      <c r="L78" s="50">
        <f>ROUND(I78*K78,0)</f>
        <v>476</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18360</v>
      </c>
      <c r="AD81" s="195"/>
    </row>
    <row r="82" spans="1:30" ht="22.5" customHeight="1" thickTop="1" thickBot="1" x14ac:dyDescent="0.35">
      <c r="B82" s="13" t="s">
        <v>141</v>
      </c>
      <c r="C82" s="13"/>
      <c r="D82" s="13"/>
      <c r="E82" s="13"/>
      <c r="F82" s="13"/>
      <c r="G82" s="13"/>
      <c r="H82" s="13"/>
      <c r="I82" s="13"/>
      <c r="J82" s="13"/>
      <c r="K82" s="13"/>
      <c r="L82" s="196">
        <f>SUM(L44:L81)</f>
        <v>831182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'3347'!AC81</f>
        <v>18360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831182</v>
      </c>
      <c r="L86" s="82">
        <f>IF(G26=0,0,IF(G26&gt;250,-(((250/G26)*K86)*IF(M86="H",0.02,0.05)),IF(M86="H",-0.02*K86,-0.05*K86)))</f>
        <v>-41559.100000000006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789622.9</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424633</v>
      </c>
      <c r="G89" s="13"/>
      <c r="H89" s="13"/>
      <c r="I89" s="13"/>
      <c r="J89" s="13"/>
      <c r="K89" s="206"/>
      <c r="L89" s="82">
        <v>-546297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243325.90000000002</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60831.475000000006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257</v>
      </c>
      <c r="C123" s="219" t="s">
        <v>200</v>
      </c>
    </row>
    <row r="124" spans="2:3" ht="15.5" hidden="1" x14ac:dyDescent="0.35">
      <c r="B124" s="223" t="s">
        <v>258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41646.4691550926</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topLeftCell="A2" zoomScaleNormal="100" workbookViewId="0">
      <selection sqref="A1:XFD1"/>
    </sheetView>
  </sheetViews>
  <sheetFormatPr defaultRowHeight="12.5" x14ac:dyDescent="0.25"/>
  <cols>
    <col min="1" max="1" width="11.453125" style="294" customWidth="1"/>
    <col min="2" max="2" width="34.6328125" bestFit="1" customWidth="1"/>
    <col min="3" max="3" width="1.6328125" customWidth="1"/>
    <col min="4" max="4" width="10.08984375" customWidth="1"/>
    <col min="5" max="5" width="34.6328125" bestFit="1" customWidth="1"/>
  </cols>
  <sheetData>
    <row r="1" spans="1:5" ht="14.25" hidden="1" customHeight="1" x14ac:dyDescent="0.25">
      <c r="A1" s="285">
        <f>SUM('0054:4041'!L92)+16395+39644</f>
        <v>9361487.9671332818</v>
      </c>
      <c r="B1" s="286"/>
    </row>
    <row r="2" spans="1:5" ht="16.5" customHeight="1" x14ac:dyDescent="0.25"/>
    <row r="3" spans="1:5" ht="14" x14ac:dyDescent="0.3">
      <c r="A3" s="287" t="s">
        <v>343</v>
      </c>
      <c r="D3" s="287" t="s">
        <v>344</v>
      </c>
    </row>
    <row r="4" spans="1:5" ht="15.5" x14ac:dyDescent="0.35">
      <c r="A4" s="288" t="s">
        <v>345</v>
      </c>
      <c r="B4" s="288" t="s">
        <v>346</v>
      </c>
      <c r="D4" s="288" t="s">
        <v>345</v>
      </c>
      <c r="E4" s="288" t="s">
        <v>346</v>
      </c>
    </row>
    <row r="5" spans="1:5" x14ac:dyDescent="0.25">
      <c r="A5" s="289" t="s">
        <v>199</v>
      </c>
      <c r="B5" s="289" t="s">
        <v>201</v>
      </c>
      <c r="D5" s="289" t="s">
        <v>217</v>
      </c>
      <c r="E5" s="289" t="s">
        <v>218</v>
      </c>
    </row>
    <row r="6" spans="1:5" x14ac:dyDescent="0.25">
      <c r="A6" s="289" t="s">
        <v>214</v>
      </c>
      <c r="B6" s="289" t="s">
        <v>215</v>
      </c>
      <c r="D6" s="289" t="s">
        <v>293</v>
      </c>
      <c r="E6" s="289" t="s">
        <v>347</v>
      </c>
    </row>
    <row r="7" spans="1:5" x14ac:dyDescent="0.25">
      <c r="A7" s="289" t="s">
        <v>217</v>
      </c>
      <c r="B7" s="289" t="s">
        <v>218</v>
      </c>
      <c r="D7" s="290">
        <v>4010</v>
      </c>
      <c r="E7" s="289" t="s">
        <v>330</v>
      </c>
    </row>
    <row r="8" spans="1:5" x14ac:dyDescent="0.25">
      <c r="A8" s="289" t="s">
        <v>220</v>
      </c>
      <c r="B8" s="289" t="s">
        <v>221</v>
      </c>
      <c r="D8" s="289" t="s">
        <v>314</v>
      </c>
      <c r="E8" s="289" t="s">
        <v>315</v>
      </c>
    </row>
    <row r="9" spans="1:5" x14ac:dyDescent="0.25">
      <c r="A9" s="289" t="s">
        <v>223</v>
      </c>
      <c r="B9" s="289" t="s">
        <v>224</v>
      </c>
      <c r="D9" s="289" t="s">
        <v>199</v>
      </c>
      <c r="E9" s="289" t="s">
        <v>201</v>
      </c>
    </row>
    <row r="10" spans="1:5" x14ac:dyDescent="0.25">
      <c r="A10" s="289" t="s">
        <v>348</v>
      </c>
      <c r="B10" s="289" t="s">
        <v>349</v>
      </c>
      <c r="D10" s="289" t="s">
        <v>269</v>
      </c>
      <c r="E10" s="289" t="s">
        <v>270</v>
      </c>
    </row>
    <row r="11" spans="1:5" x14ac:dyDescent="0.25">
      <c r="A11" s="289" t="s">
        <v>226</v>
      </c>
      <c r="B11" s="289" t="s">
        <v>227</v>
      </c>
      <c r="D11" s="289" t="s">
        <v>278</v>
      </c>
      <c r="E11" s="289" t="s">
        <v>279</v>
      </c>
    </row>
    <row r="12" spans="1:5" x14ac:dyDescent="0.25">
      <c r="A12" s="289" t="s">
        <v>228</v>
      </c>
      <c r="B12" s="289" t="s">
        <v>229</v>
      </c>
      <c r="D12" s="289" t="s">
        <v>214</v>
      </c>
      <c r="E12" s="289" t="s">
        <v>215</v>
      </c>
    </row>
    <row r="13" spans="1:5" x14ac:dyDescent="0.25">
      <c r="A13" s="289" t="s">
        <v>231</v>
      </c>
      <c r="B13" s="289" t="s">
        <v>232</v>
      </c>
      <c r="D13" s="289" t="s">
        <v>226</v>
      </c>
      <c r="E13" s="289" t="s">
        <v>227</v>
      </c>
    </row>
    <row r="14" spans="1:5" x14ac:dyDescent="0.25">
      <c r="A14" s="289" t="s">
        <v>234</v>
      </c>
      <c r="B14" s="289" t="s">
        <v>235</v>
      </c>
      <c r="D14" s="289" t="s">
        <v>290</v>
      </c>
      <c r="E14" s="289" t="s">
        <v>291</v>
      </c>
    </row>
    <row r="15" spans="1:5" x14ac:dyDescent="0.25">
      <c r="A15" s="289" t="s">
        <v>237</v>
      </c>
      <c r="B15" s="289" t="s">
        <v>238</v>
      </c>
      <c r="D15" s="291" t="s">
        <v>392</v>
      </c>
      <c r="E15" s="289" t="s">
        <v>393</v>
      </c>
    </row>
    <row r="16" spans="1:5" x14ac:dyDescent="0.25">
      <c r="A16" s="289" t="s">
        <v>240</v>
      </c>
      <c r="B16" s="289" t="s">
        <v>241</v>
      </c>
      <c r="D16" s="290">
        <v>4020</v>
      </c>
      <c r="E16" s="289" t="s">
        <v>339</v>
      </c>
    </row>
    <row r="17" spans="1:5" x14ac:dyDescent="0.25">
      <c r="A17" s="289" t="s">
        <v>243</v>
      </c>
      <c r="B17" s="289" t="s">
        <v>244</v>
      </c>
      <c r="D17" s="289" t="s">
        <v>287</v>
      </c>
      <c r="E17" s="289" t="s">
        <v>288</v>
      </c>
    </row>
    <row r="18" spans="1:5" x14ac:dyDescent="0.25">
      <c r="A18" s="289" t="s">
        <v>246</v>
      </c>
      <c r="B18" s="289" t="s">
        <v>247</v>
      </c>
      <c r="D18" s="289" t="s">
        <v>317</v>
      </c>
      <c r="E18" s="289" t="s">
        <v>318</v>
      </c>
    </row>
    <row r="19" spans="1:5" x14ac:dyDescent="0.25">
      <c r="A19" s="289" t="s">
        <v>248</v>
      </c>
      <c r="B19" s="289" t="s">
        <v>249</v>
      </c>
      <c r="D19" s="289" t="s">
        <v>263</v>
      </c>
      <c r="E19" s="289" t="s">
        <v>264</v>
      </c>
    </row>
    <row r="20" spans="1:5" x14ac:dyDescent="0.25">
      <c r="A20" s="289" t="s">
        <v>251</v>
      </c>
      <c r="B20" s="289" t="s">
        <v>252</v>
      </c>
      <c r="D20" s="289" t="s">
        <v>254</v>
      </c>
      <c r="E20" s="289" t="s">
        <v>255</v>
      </c>
    </row>
    <row r="21" spans="1:5" x14ac:dyDescent="0.25">
      <c r="A21" s="289" t="s">
        <v>254</v>
      </c>
      <c r="B21" s="289" t="s">
        <v>255</v>
      </c>
      <c r="D21" s="289" t="s">
        <v>266</v>
      </c>
      <c r="E21" s="289" t="s">
        <v>267</v>
      </c>
    </row>
    <row r="22" spans="1:5" x14ac:dyDescent="0.25">
      <c r="A22" s="289" t="s">
        <v>257</v>
      </c>
      <c r="B22" s="289" t="s">
        <v>258</v>
      </c>
      <c r="D22" s="289" t="s">
        <v>260</v>
      </c>
      <c r="E22" s="289" t="s">
        <v>261</v>
      </c>
    </row>
    <row r="23" spans="1:5" x14ac:dyDescent="0.25">
      <c r="A23" s="289" t="s">
        <v>260</v>
      </c>
      <c r="B23" s="289" t="s">
        <v>261</v>
      </c>
      <c r="D23" s="289" t="s">
        <v>220</v>
      </c>
      <c r="E23" s="289" t="s">
        <v>221</v>
      </c>
    </row>
    <row r="24" spans="1:5" x14ac:dyDescent="0.25">
      <c r="A24" s="289" t="s">
        <v>263</v>
      </c>
      <c r="B24" s="289" t="s">
        <v>264</v>
      </c>
      <c r="D24" s="289" t="s">
        <v>284</v>
      </c>
      <c r="E24" s="289" t="s">
        <v>285</v>
      </c>
    </row>
    <row r="25" spans="1:5" x14ac:dyDescent="0.25">
      <c r="A25" s="289" t="s">
        <v>266</v>
      </c>
      <c r="B25" s="289" t="s">
        <v>267</v>
      </c>
      <c r="D25" s="289" t="s">
        <v>234</v>
      </c>
      <c r="E25" s="289" t="s">
        <v>235</v>
      </c>
    </row>
    <row r="26" spans="1:5" x14ac:dyDescent="0.25">
      <c r="A26" s="289" t="s">
        <v>269</v>
      </c>
      <c r="B26" s="289" t="s">
        <v>270</v>
      </c>
      <c r="D26" s="289" t="s">
        <v>231</v>
      </c>
      <c r="E26" s="289" t="s">
        <v>232</v>
      </c>
    </row>
    <row r="27" spans="1:5" x14ac:dyDescent="0.25">
      <c r="A27" s="289" t="s">
        <v>272</v>
      </c>
      <c r="B27" s="289" t="s">
        <v>273</v>
      </c>
      <c r="D27" s="289" t="s">
        <v>257</v>
      </c>
      <c r="E27" s="289" t="s">
        <v>258</v>
      </c>
    </row>
    <row r="28" spans="1:5" x14ac:dyDescent="0.25">
      <c r="A28" s="289" t="s">
        <v>275</v>
      </c>
      <c r="B28" s="289" t="s">
        <v>276</v>
      </c>
      <c r="D28" s="290">
        <v>4037</v>
      </c>
      <c r="E28" s="289" t="s">
        <v>342</v>
      </c>
    </row>
    <row r="29" spans="1:5" x14ac:dyDescent="0.25">
      <c r="A29" s="289" t="s">
        <v>278</v>
      </c>
      <c r="B29" s="289" t="s">
        <v>279</v>
      </c>
      <c r="D29" s="289" t="s">
        <v>320</v>
      </c>
      <c r="E29" s="289" t="s">
        <v>321</v>
      </c>
    </row>
    <row r="30" spans="1:5" x14ac:dyDescent="0.25">
      <c r="A30" s="289" t="s">
        <v>281</v>
      </c>
      <c r="B30" s="289" t="s">
        <v>350</v>
      </c>
      <c r="D30" s="289" t="s">
        <v>281</v>
      </c>
      <c r="E30" s="289" t="s">
        <v>350</v>
      </c>
    </row>
    <row r="31" spans="1:5" x14ac:dyDescent="0.25">
      <c r="A31" s="289" t="s">
        <v>284</v>
      </c>
      <c r="B31" s="289" t="s">
        <v>285</v>
      </c>
      <c r="D31" s="289" t="s">
        <v>299</v>
      </c>
      <c r="E31" s="289" t="s">
        <v>300</v>
      </c>
    </row>
    <row r="32" spans="1:5" x14ac:dyDescent="0.25">
      <c r="A32" s="289" t="s">
        <v>287</v>
      </c>
      <c r="B32" s="289" t="s">
        <v>288</v>
      </c>
      <c r="D32" s="289" t="s">
        <v>246</v>
      </c>
      <c r="E32" s="289" t="s">
        <v>247</v>
      </c>
    </row>
    <row r="33" spans="1:5" x14ac:dyDescent="0.25">
      <c r="A33" s="289" t="s">
        <v>290</v>
      </c>
      <c r="B33" s="289" t="s">
        <v>291</v>
      </c>
      <c r="D33" s="289" t="s">
        <v>240</v>
      </c>
      <c r="E33" s="289" t="s">
        <v>241</v>
      </c>
    </row>
    <row r="34" spans="1:5" x14ac:dyDescent="0.25">
      <c r="A34" s="289" t="s">
        <v>293</v>
      </c>
      <c r="B34" s="289" t="s">
        <v>347</v>
      </c>
      <c r="D34" s="289" t="s">
        <v>228</v>
      </c>
      <c r="E34" s="289" t="s">
        <v>229</v>
      </c>
    </row>
    <row r="35" spans="1:5" x14ac:dyDescent="0.25">
      <c r="A35" s="289" t="s">
        <v>296</v>
      </c>
      <c r="B35" s="289" t="s">
        <v>297</v>
      </c>
      <c r="D35" s="289" t="s">
        <v>296</v>
      </c>
      <c r="E35" s="289" t="s">
        <v>297</v>
      </c>
    </row>
    <row r="36" spans="1:5" x14ac:dyDescent="0.25">
      <c r="A36" s="289" t="s">
        <v>299</v>
      </c>
      <c r="B36" s="289" t="s">
        <v>300</v>
      </c>
      <c r="D36" s="290">
        <v>4002</v>
      </c>
      <c r="E36" s="289" t="s">
        <v>351</v>
      </c>
    </row>
    <row r="37" spans="1:5" x14ac:dyDescent="0.25">
      <c r="A37" s="289" t="s">
        <v>302</v>
      </c>
      <c r="B37" s="289" t="s">
        <v>303</v>
      </c>
      <c r="D37" s="290">
        <v>4000</v>
      </c>
      <c r="E37" s="289" t="s">
        <v>352</v>
      </c>
    </row>
    <row r="38" spans="1:5" x14ac:dyDescent="0.25">
      <c r="A38" s="289" t="s">
        <v>305</v>
      </c>
      <c r="B38" s="289" t="s">
        <v>306</v>
      </c>
      <c r="D38" s="289" t="s">
        <v>308</v>
      </c>
      <c r="E38" s="289" t="s">
        <v>353</v>
      </c>
    </row>
    <row r="39" spans="1:5" x14ac:dyDescent="0.25">
      <c r="A39" s="289" t="s">
        <v>308</v>
      </c>
      <c r="B39" s="289" t="s">
        <v>353</v>
      </c>
      <c r="D39" s="289" t="s">
        <v>248</v>
      </c>
      <c r="E39" s="289" t="s">
        <v>249</v>
      </c>
    </row>
    <row r="40" spans="1:5" x14ac:dyDescent="0.25">
      <c r="A40" s="292">
        <v>3441</v>
      </c>
      <c r="B40" s="289" t="s">
        <v>394</v>
      </c>
      <c r="D40" s="289" t="s">
        <v>237</v>
      </c>
      <c r="E40" s="289" t="s">
        <v>238</v>
      </c>
    </row>
    <row r="41" spans="1:5" x14ac:dyDescent="0.25">
      <c r="A41" s="289" t="s">
        <v>311</v>
      </c>
      <c r="B41" s="289" t="s">
        <v>354</v>
      </c>
      <c r="D41" s="289" t="s">
        <v>311</v>
      </c>
      <c r="E41" s="289" t="s">
        <v>354</v>
      </c>
    </row>
    <row r="42" spans="1:5" x14ac:dyDescent="0.25">
      <c r="A42" s="289" t="s">
        <v>314</v>
      </c>
      <c r="B42" s="289" t="s">
        <v>315</v>
      </c>
      <c r="D42" s="289" t="s">
        <v>275</v>
      </c>
      <c r="E42" s="289" t="s">
        <v>276</v>
      </c>
    </row>
    <row r="43" spans="1:5" x14ac:dyDescent="0.25">
      <c r="A43" s="289" t="s">
        <v>317</v>
      </c>
      <c r="B43" s="289" t="s">
        <v>318</v>
      </c>
      <c r="D43" s="290">
        <v>4013</v>
      </c>
      <c r="E43" s="289" t="s">
        <v>336</v>
      </c>
    </row>
    <row r="44" spans="1:5" x14ac:dyDescent="0.25">
      <c r="A44" s="289" t="s">
        <v>320</v>
      </c>
      <c r="B44" s="289" t="s">
        <v>321</v>
      </c>
      <c r="D44" s="290">
        <v>4012</v>
      </c>
      <c r="E44" s="289" t="s">
        <v>333</v>
      </c>
    </row>
    <row r="45" spans="1:5" x14ac:dyDescent="0.25">
      <c r="A45" s="290">
        <v>4000</v>
      </c>
      <c r="B45" s="289" t="s">
        <v>352</v>
      </c>
      <c r="D45" s="289" t="s">
        <v>302</v>
      </c>
      <c r="E45" s="289" t="s">
        <v>303</v>
      </c>
    </row>
    <row r="46" spans="1:5" x14ac:dyDescent="0.25">
      <c r="A46" s="290">
        <v>4002</v>
      </c>
      <c r="B46" s="289" t="s">
        <v>351</v>
      </c>
      <c r="D46" s="293">
        <v>4041</v>
      </c>
      <c r="E46" s="289" t="s">
        <v>395</v>
      </c>
    </row>
    <row r="47" spans="1:5" x14ac:dyDescent="0.25">
      <c r="A47" s="290">
        <v>4010</v>
      </c>
      <c r="B47" s="289" t="s">
        <v>330</v>
      </c>
      <c r="D47" s="289" t="s">
        <v>348</v>
      </c>
      <c r="E47" s="289" t="s">
        <v>349</v>
      </c>
    </row>
    <row r="48" spans="1:5" x14ac:dyDescent="0.25">
      <c r="A48" s="290">
        <v>4012</v>
      </c>
      <c r="B48" s="289" t="s">
        <v>333</v>
      </c>
      <c r="D48" s="289" t="s">
        <v>223</v>
      </c>
      <c r="E48" s="289" t="s">
        <v>224</v>
      </c>
    </row>
    <row r="49" spans="1:5" x14ac:dyDescent="0.25">
      <c r="A49" s="290">
        <v>4013</v>
      </c>
      <c r="B49" s="289" t="s">
        <v>336</v>
      </c>
      <c r="D49" s="292">
        <v>3441</v>
      </c>
      <c r="E49" s="289" t="s">
        <v>396</v>
      </c>
    </row>
    <row r="50" spans="1:5" x14ac:dyDescent="0.25">
      <c r="A50" s="290">
        <v>4020</v>
      </c>
      <c r="B50" s="289" t="s">
        <v>339</v>
      </c>
      <c r="D50" s="289" t="s">
        <v>251</v>
      </c>
      <c r="E50" s="289" t="s">
        <v>252</v>
      </c>
    </row>
    <row r="51" spans="1:5" x14ac:dyDescent="0.25">
      <c r="A51" s="290">
        <v>4037</v>
      </c>
      <c r="B51" s="289" t="s">
        <v>342</v>
      </c>
      <c r="D51" s="289" t="s">
        <v>272</v>
      </c>
      <c r="E51" s="289" t="s">
        <v>273</v>
      </c>
    </row>
    <row r="52" spans="1:5" x14ac:dyDescent="0.25">
      <c r="A52" s="290" t="s">
        <v>392</v>
      </c>
      <c r="B52" s="289" t="s">
        <v>393</v>
      </c>
      <c r="D52" s="289" t="s">
        <v>243</v>
      </c>
      <c r="E52" s="289" t="s">
        <v>244</v>
      </c>
    </row>
    <row r="53" spans="1:5" x14ac:dyDescent="0.25">
      <c r="A53" s="293">
        <v>4041</v>
      </c>
      <c r="B53" s="289" t="s">
        <v>395</v>
      </c>
      <c r="D53" s="289" t="s">
        <v>305</v>
      </c>
      <c r="E53" s="289" t="s">
        <v>306</v>
      </c>
    </row>
  </sheetData>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'3381'!B2</f>
        <v>50</v>
      </c>
      <c r="W2" s="413" t="s">
        <v>4</v>
      </c>
      <c r="X2" s="414"/>
      <c r="Y2" s="415"/>
      <c r="Z2" s="415"/>
      <c r="AA2" s="415"/>
      <c r="AB2" s="415"/>
      <c r="AC2" s="415"/>
      <c r="AD2" s="9"/>
    </row>
    <row r="3" spans="1:30" ht="20" x14ac:dyDescent="0.4">
      <c r="B3" s="10" t="str">
        <f>"Revenue Estimate Worksheet for "&amp;B124</f>
        <v>Revenue Estimate Worksheet for Imagine Sch-Chancellor Campus</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'3381'!G7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179.08</v>
      </c>
      <c r="E10" s="45">
        <v>0</v>
      </c>
      <c r="F10" s="45">
        <v>223.03</v>
      </c>
      <c r="G10" s="46">
        <f>IF(E10=0,D10*2,D10+E10)</f>
        <v>358.16</v>
      </c>
      <c r="H10" s="47"/>
      <c r="I10" s="48">
        <v>1.125</v>
      </c>
      <c r="J10" s="48"/>
      <c r="K10" s="49">
        <f>ROUND(G10*I10,4)</f>
        <v>402.93</v>
      </c>
      <c r="L10" s="50">
        <f>ROUND(ROUND(K10*$G$7,4)*($K$7),0)</f>
        <v>1561203</v>
      </c>
      <c r="N10" s="51">
        <v>5101</v>
      </c>
      <c r="O10" s="52">
        <v>101</v>
      </c>
      <c r="Q10" s="53"/>
      <c r="V10" s="404" t="s">
        <v>28</v>
      </c>
      <c r="W10" s="404"/>
      <c r="X10" s="396">
        <f>IF('3381'!K$84=1,'3381'!G10,0)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31</v>
      </c>
      <c r="E11" s="13">
        <v>0</v>
      </c>
      <c r="F11" s="13">
        <v>39.19</v>
      </c>
      <c r="G11" s="46">
        <f t="shared" ref="G11:G25" si="2">IF(E11=0,D11*2,D11+E11)</f>
        <v>62</v>
      </c>
      <c r="H11" s="47"/>
      <c r="I11" s="56">
        <f>I10</f>
        <v>1.125</v>
      </c>
      <c r="J11" s="56"/>
      <c r="K11" s="49">
        <f t="shared" ref="K11:K25" si="3">ROUND(G11*I11,4)</f>
        <v>69.75</v>
      </c>
      <c r="L11" s="50">
        <f t="shared" ref="L11:L25" si="4">ROUND(ROUND(K11*$G$7,4)*($K$7),0)</f>
        <v>270255</v>
      </c>
      <c r="M11" s="1" t="str">
        <f>IF(ROUND(G11,2)=ROUND(SUM(G28:G30),2)," ","CHECK 2. PK-3 Lines Below")</f>
        <v xml:space="preserve"> </v>
      </c>
      <c r="N11" s="51">
        <v>5101</v>
      </c>
      <c r="O11" s="57" t="s">
        <v>31</v>
      </c>
      <c r="Q11" s="53"/>
      <c r="V11" s="357" t="s">
        <v>30</v>
      </c>
      <c r="W11" s="357"/>
      <c r="X11" s="396">
        <f>IF('3381'!K$84=1,'3381'!G11,0)</f>
        <v>0</v>
      </c>
      <c r="Y11" s="396"/>
      <c r="Z11" s="397">
        <v>1</v>
      </c>
      <c r="AA11" s="397"/>
      <c r="AB11" s="54">
        <f t="shared" si="0"/>
        <v>0</v>
      </c>
      <c r="AC11" s="55">
        <f t="shared" si="1"/>
        <v>0</v>
      </c>
      <c r="AD11" s="9"/>
    </row>
    <row r="12" spans="1:30" x14ac:dyDescent="0.3">
      <c r="A12" s="1" t="s">
        <v>32</v>
      </c>
      <c r="B12" s="13" t="s">
        <v>33</v>
      </c>
      <c r="C12" s="13"/>
      <c r="D12" s="314">
        <v>230.09</v>
      </c>
      <c r="E12" s="13">
        <v>0</v>
      </c>
      <c r="F12" s="13">
        <v>279.31</v>
      </c>
      <c r="G12" s="46">
        <f t="shared" si="2"/>
        <v>460.18</v>
      </c>
      <c r="H12" s="47"/>
      <c r="I12" s="56">
        <v>1</v>
      </c>
      <c r="J12" s="56"/>
      <c r="K12" s="49">
        <f t="shared" si="3"/>
        <v>460.18</v>
      </c>
      <c r="L12" s="50">
        <f t="shared" si="4"/>
        <v>1783025</v>
      </c>
      <c r="N12" s="51">
        <v>5102</v>
      </c>
      <c r="O12" s="52">
        <v>102</v>
      </c>
      <c r="Q12" s="53"/>
      <c r="V12" s="357" t="s">
        <v>33</v>
      </c>
      <c r="W12" s="357"/>
      <c r="X12" s="396">
        <f>IF('3381'!K$84=1,'3381'!G12,0)</f>
        <v>0</v>
      </c>
      <c r="Y12" s="396"/>
      <c r="Z12" s="397">
        <v>1</v>
      </c>
      <c r="AA12" s="397"/>
      <c r="AB12" s="54">
        <f t="shared" si="0"/>
        <v>0</v>
      </c>
      <c r="AC12" s="55">
        <f t="shared" si="1"/>
        <v>0</v>
      </c>
      <c r="AD12" s="9"/>
    </row>
    <row r="13" spans="1:30" x14ac:dyDescent="0.3">
      <c r="A13" s="1" t="s">
        <v>34</v>
      </c>
      <c r="B13" s="13" t="s">
        <v>35</v>
      </c>
      <c r="C13" s="13"/>
      <c r="D13" s="314">
        <v>51.5</v>
      </c>
      <c r="E13" s="13">
        <v>0</v>
      </c>
      <c r="F13" s="13">
        <v>64.34</v>
      </c>
      <c r="G13" s="46">
        <f t="shared" si="2"/>
        <v>103</v>
      </c>
      <c r="H13" s="47"/>
      <c r="I13" s="56">
        <f>I12</f>
        <v>1</v>
      </c>
      <c r="J13" s="56"/>
      <c r="K13" s="49">
        <f t="shared" si="3"/>
        <v>103</v>
      </c>
      <c r="L13" s="50">
        <f t="shared" si="4"/>
        <v>399086</v>
      </c>
      <c r="M13" s="1" t="str">
        <f>IF(ROUND(G13,2)=ROUND(SUM(G31:G33),2)," ","CHECK 2. PK-3 Lines Below")</f>
        <v xml:space="preserve"> </v>
      </c>
      <c r="N13" s="51">
        <v>5102</v>
      </c>
      <c r="O13" s="57" t="s">
        <v>36</v>
      </c>
      <c r="Q13" s="53"/>
      <c r="V13" s="357" t="s">
        <v>35</v>
      </c>
      <c r="W13" s="357"/>
      <c r="X13" s="396">
        <f>IF('3381'!K$84=1,'3381'!G13,0)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IF('3381'!K$84=1,'3381'!G14,0)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IF('3381'!K$84=1,'3381'!G15,0)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IF('3381'!K$84=1,'3381'!G16,0)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IF('3381'!K$84=1,'3381'!G17,0)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IF('3381'!K$84=1,'3381'!G18,0)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IF('3381'!K$84=1,'3381'!G19,0)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IF('3381'!K$84=1,'3381'!G20,0)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IF('3381'!K$84=1,'3381'!G21,0)</f>
        <v>0</v>
      </c>
      <c r="Y21" s="396"/>
      <c r="Z21" s="397">
        <v>1</v>
      </c>
      <c r="AA21" s="397"/>
      <c r="AB21" s="54">
        <f t="shared" si="0"/>
        <v>0</v>
      </c>
      <c r="AC21" s="55">
        <f t="shared" si="1"/>
        <v>0</v>
      </c>
      <c r="AD21" s="9"/>
    </row>
    <row r="22" spans="1:30" ht="15.5" x14ac:dyDescent="0.35">
      <c r="A22" s="1" t="s">
        <v>54</v>
      </c>
      <c r="B22" s="13" t="s">
        <v>55</v>
      </c>
      <c r="C22" s="13"/>
      <c r="D22" s="314">
        <v>9.69</v>
      </c>
      <c r="E22" s="13">
        <v>0</v>
      </c>
      <c r="F22" s="13">
        <v>12.21</v>
      </c>
      <c r="G22" s="46">
        <f t="shared" si="2"/>
        <v>19.38</v>
      </c>
      <c r="H22" s="47"/>
      <c r="I22" s="56">
        <v>1.145</v>
      </c>
      <c r="J22" s="56"/>
      <c r="K22" s="49">
        <f t="shared" si="3"/>
        <v>22.190100000000001</v>
      </c>
      <c r="L22" s="50">
        <f t="shared" si="4"/>
        <v>85978</v>
      </c>
      <c r="N22" s="51">
        <v>5101</v>
      </c>
      <c r="O22" s="52">
        <v>130</v>
      </c>
      <c r="Q22" s="53"/>
      <c r="V22" s="357" t="s">
        <v>55</v>
      </c>
      <c r="W22" s="357"/>
      <c r="X22" s="396">
        <f>IF('3381'!K$84=1,'3381'!G22,0)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IF('3381'!K$84=1,'3381'!G23,0)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IF('3381'!K$84=1,'3381'!G24,0)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IF('3381'!K$84=1,'3381'!G25,0)</f>
        <v>0</v>
      </c>
      <c r="Y25" s="396"/>
      <c r="Z25" s="397">
        <v>1</v>
      </c>
      <c r="AA25" s="397"/>
      <c r="AB25" s="54">
        <f t="shared" si="0"/>
        <v>0</v>
      </c>
      <c r="AC25" s="55">
        <f t="shared" si="1"/>
        <v>0</v>
      </c>
      <c r="AD25" s="9"/>
    </row>
    <row r="26" spans="1:30" ht="20.25" customHeight="1" thickBot="1" x14ac:dyDescent="0.35">
      <c r="B26" s="61" t="s">
        <v>62</v>
      </c>
      <c r="C26" s="61"/>
      <c r="D26" s="320">
        <f t="shared" ref="D26:E26" si="5">SUM(D10:D25)</f>
        <v>501.36</v>
      </c>
      <c r="E26" s="62">
        <f t="shared" si="5"/>
        <v>0</v>
      </c>
      <c r="F26" s="62"/>
      <c r="G26" s="62">
        <f>SUM(G10:G25)</f>
        <v>1002.72</v>
      </c>
      <c r="H26" s="63"/>
      <c r="I26" s="63"/>
      <c r="J26" s="64"/>
      <c r="K26" s="65">
        <f>SUM(K10:K25)</f>
        <v>1058.0501000000002</v>
      </c>
      <c r="L26" s="66">
        <f>SUM(L10:L25)</f>
        <v>4099547</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30</v>
      </c>
      <c r="E28" s="13">
        <v>0</v>
      </c>
      <c r="F28" s="78">
        <v>28.3</v>
      </c>
      <c r="G28" s="46">
        <f>IF(E28=0,D28*2,D28+E28)</f>
        <v>60</v>
      </c>
      <c r="H28" s="79"/>
      <c r="I28" s="80" t="s">
        <v>70</v>
      </c>
      <c r="J28" s="51">
        <v>251</v>
      </c>
      <c r="K28" s="81">
        <v>1047</v>
      </c>
      <c r="L28" s="82">
        <f>ROUND(G28*K28,0)</f>
        <v>62820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1</v>
      </c>
      <c r="E29" s="13">
        <v>0</v>
      </c>
      <c r="F29" s="89">
        <v>1</v>
      </c>
      <c r="G29" s="46">
        <f t="shared" ref="G29:G36" si="7">IF(E29=0,D29*2,D29+E29)</f>
        <v>2</v>
      </c>
      <c r="H29" s="79"/>
      <c r="I29" s="51" t="s">
        <v>70</v>
      </c>
      <c r="J29" s="51">
        <v>252</v>
      </c>
      <c r="K29" s="81">
        <v>3380</v>
      </c>
      <c r="L29" s="82">
        <f t="shared" ref="L29:L36" si="8">ROUND(G29*K29,0)</f>
        <v>6760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50.5</v>
      </c>
      <c r="E31" s="13">
        <v>0</v>
      </c>
      <c r="F31" s="89">
        <v>51.54</v>
      </c>
      <c r="G31" s="46">
        <f t="shared" si="7"/>
        <v>101</v>
      </c>
      <c r="H31" s="79"/>
      <c r="I31" s="90" t="s">
        <v>74</v>
      </c>
      <c r="J31" s="51">
        <v>251</v>
      </c>
      <c r="K31" s="81">
        <v>1173</v>
      </c>
      <c r="L31" s="82">
        <f t="shared" si="8"/>
        <v>118473</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1</v>
      </c>
      <c r="E32" s="13">
        <v>0</v>
      </c>
      <c r="F32" s="89">
        <v>1</v>
      </c>
      <c r="G32" s="46">
        <f t="shared" si="7"/>
        <v>2</v>
      </c>
      <c r="H32" s="79"/>
      <c r="I32" s="90" t="s">
        <v>74</v>
      </c>
      <c r="J32" s="51">
        <v>252</v>
      </c>
      <c r="K32" s="81">
        <v>3506</v>
      </c>
      <c r="L32" s="82">
        <f t="shared" si="8"/>
        <v>7012</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82.5</v>
      </c>
      <c r="E37" s="62">
        <f t="shared" si="10"/>
        <v>0</v>
      </c>
      <c r="F37" s="62"/>
      <c r="G37" s="62">
        <f>SUM(G28:G36)</f>
        <v>165</v>
      </c>
      <c r="H37" s="63"/>
      <c r="I37" s="13" t="s">
        <v>82</v>
      </c>
      <c r="J37" s="13"/>
      <c r="K37" s="13"/>
      <c r="L37" s="50">
        <f>SUM(L28:L36)</f>
        <v>195065</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192522</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4487134</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494.87009999999998</v>
      </c>
      <c r="D47" s="121"/>
      <c r="E47" s="121"/>
      <c r="F47" s="121"/>
      <c r="G47" s="122">
        <f>K7</f>
        <v>1.0326</v>
      </c>
      <c r="H47" s="122"/>
      <c r="I47" s="123">
        <v>1316.85</v>
      </c>
      <c r="J47" s="124" t="s">
        <v>97</v>
      </c>
      <c r="K47" s="125">
        <f>ROUND(C47*G47*I47,0)</f>
        <v>672914</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563.18000000000006</v>
      </c>
      <c r="D48" s="121"/>
      <c r="E48" s="121"/>
      <c r="F48" s="121"/>
      <c r="G48" s="122">
        <f>K7</f>
        <v>1.0326</v>
      </c>
      <c r="H48" s="122"/>
      <c r="I48" s="123">
        <v>898.23</v>
      </c>
      <c r="J48" s="124" t="s">
        <v>97</v>
      </c>
      <c r="K48" s="125">
        <f>ROUND(C48*G48*I48,0)</f>
        <v>522356</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1058.0500999999999</v>
      </c>
      <c r="D50" s="144"/>
      <c r="E50" s="145"/>
      <c r="F50" s="145"/>
      <c r="G50" s="146" t="s">
        <v>99</v>
      </c>
      <c r="H50" s="146"/>
      <c r="I50" s="146"/>
      <c r="J50" s="146"/>
      <c r="K50" s="146"/>
      <c r="L50" s="50">
        <f>IF(B2=75,0,K49+K48+K47)</f>
        <v>1195270</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1058.0501000000002</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5.4780000000000002E-3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1002.72</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5.5890000000000002E-3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5.4780000000000002E-3</v>
      </c>
      <c r="L59" s="50">
        <f>ROUND(I59*K59,0)</f>
        <v>22585</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5.4780000000000002E-3</v>
      </c>
      <c r="L67" s="50">
        <f>ROUND(I67*K67,0)</f>
        <v>530131</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5.5890000000000002E-3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5.4780000000000002E-3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5.4780000000000002E-3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5.5890000000000002E-3</v>
      </c>
      <c r="L72" s="50">
        <f>ROUND(I72*K72,0)</f>
        <v>78901</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5.4780000000000002E-3</v>
      </c>
      <c r="L77" s="50">
        <f>ROUND(I77*K77,0)</f>
        <v>179231</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5.4780000000000002E-3</v>
      </c>
      <c r="L78" s="50">
        <f>ROUND(I78*K78,0)</f>
        <v>3663</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6496915</v>
      </c>
      <c r="M82" s="304"/>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6496915</v>
      </c>
      <c r="L86" s="82">
        <f>IF(G26=0,0,IF(G26&gt;250,-(((250/G26)*K86)*IF(M86="H",0.02,0.05)),IF(M86="H",-0.02*K86,-0.05*K86)))</f>
        <v>-80991.141594861983</v>
      </c>
      <c r="M86" s="197"/>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6415923.8584051384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3187506</v>
      </c>
      <c r="G89" s="13"/>
      <c r="H89" s="13"/>
      <c r="I89" s="13"/>
      <c r="J89" s="13"/>
      <c r="K89" s="206"/>
      <c r="L89" s="82">
        <v>-4263646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2152277.8584051384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538069.46460128459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243854.60840513802</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259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260</v>
      </c>
      <c r="C123" s="219" t="s">
        <v>200</v>
      </c>
    </row>
    <row r="124" spans="2:3" ht="15.5" hidden="1" x14ac:dyDescent="0.35">
      <c r="B124" s="223" t="s">
        <v>261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41646.469166666699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51"/>
  <sheetViews>
    <sheetView topLeftCell="H77" zoomScale="90" zoomScaleNormal="90" workbookViewId="0">
      <selection activeCell="L89" sqref="L89"/>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'3382'!B2</f>
        <v>50</v>
      </c>
      <c r="W2" s="413" t="s">
        <v>4</v>
      </c>
      <c r="X2" s="414"/>
      <c r="Y2" s="415"/>
      <c r="Z2" s="415"/>
      <c r="AA2" s="415"/>
      <c r="AB2" s="415"/>
      <c r="AC2" s="415"/>
      <c r="AD2" s="9"/>
    </row>
    <row r="3" spans="1:30" ht="20" x14ac:dyDescent="0.4">
      <c r="B3" s="10" t="str">
        <f>"Revenue Estimate Worksheet for "&amp;B124</f>
        <v>Revenue Estimate Worksheet for Glades Acad Elem School, Inc</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'3382'!G7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30.89</v>
      </c>
      <c r="E10" s="45">
        <v>0</v>
      </c>
      <c r="F10" s="45">
        <v>34.25</v>
      </c>
      <c r="G10" s="46">
        <f>IF(E10=0,D10*2,D10+E10)</f>
        <v>61.78</v>
      </c>
      <c r="H10" s="47"/>
      <c r="I10" s="48">
        <v>1.125</v>
      </c>
      <c r="J10" s="48"/>
      <c r="K10" s="49">
        <f>ROUND(G10*I10,4)</f>
        <v>69.502499999999998</v>
      </c>
      <c r="L10" s="50">
        <f>ROUND(ROUND(K10*$G$7,4)*($K$7),0)</f>
        <v>269296</v>
      </c>
      <c r="N10" s="51">
        <v>5101</v>
      </c>
      <c r="O10" s="52">
        <v>101</v>
      </c>
      <c r="Q10" s="53"/>
      <c r="V10" s="404" t="s">
        <v>28</v>
      </c>
      <c r="W10" s="404"/>
      <c r="X10" s="396">
        <f>IF('3382'!K$84=1,'3382'!G10,0)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5</v>
      </c>
      <c r="E11" s="13">
        <v>0</v>
      </c>
      <c r="F11" s="13">
        <v>5.83</v>
      </c>
      <c r="G11" s="46">
        <f t="shared" ref="G11:G25" si="2">IF(E11=0,D11*2,D11+E11)</f>
        <v>10</v>
      </c>
      <c r="H11" s="47"/>
      <c r="I11" s="56">
        <f>I10</f>
        <v>1.125</v>
      </c>
      <c r="J11" s="56"/>
      <c r="K11" s="49">
        <f t="shared" ref="K11:K25" si="3">ROUND(G11*I11,4)</f>
        <v>11.25</v>
      </c>
      <c r="L11" s="50">
        <f t="shared" ref="L11:L25" si="4">ROUND(ROUND(K11*$G$7,4)*($K$7),0)</f>
        <v>43590</v>
      </c>
      <c r="M11" s="1" t="str">
        <f>IF(ROUND(G11,2)=ROUND(SUM(G28:G30),2)," ","CHECK 2. PK-3 Lines Below")</f>
        <v xml:space="preserve"> </v>
      </c>
      <c r="N11" s="51">
        <v>5101</v>
      </c>
      <c r="O11" s="57" t="s">
        <v>31</v>
      </c>
      <c r="Q11" s="53"/>
      <c r="V11" s="357" t="s">
        <v>30</v>
      </c>
      <c r="W11" s="357"/>
      <c r="X11" s="396">
        <f>IF('3382'!K$84=1,'3382'!G11,0)</f>
        <v>0</v>
      </c>
      <c r="Y11" s="396"/>
      <c r="Z11" s="397">
        <v>1</v>
      </c>
      <c r="AA11" s="397"/>
      <c r="AB11" s="54">
        <f t="shared" si="0"/>
        <v>0</v>
      </c>
      <c r="AC11" s="55">
        <f t="shared" si="1"/>
        <v>0</v>
      </c>
      <c r="AD11" s="9"/>
    </row>
    <row r="12" spans="1:30" x14ac:dyDescent="0.3">
      <c r="A12" s="1" t="s">
        <v>32</v>
      </c>
      <c r="B12" s="13" t="s">
        <v>33</v>
      </c>
      <c r="C12" s="13"/>
      <c r="D12" s="13">
        <v>16.600000000000001</v>
      </c>
      <c r="E12" s="13">
        <v>0</v>
      </c>
      <c r="F12" s="13">
        <v>18.25</v>
      </c>
      <c r="G12" s="46">
        <f t="shared" si="2"/>
        <v>33.200000000000003</v>
      </c>
      <c r="H12" s="47"/>
      <c r="I12" s="56">
        <v>1</v>
      </c>
      <c r="J12" s="56"/>
      <c r="K12" s="49">
        <f t="shared" si="3"/>
        <v>33.200000000000003</v>
      </c>
      <c r="L12" s="50">
        <f t="shared" si="4"/>
        <v>128638</v>
      </c>
      <c r="N12" s="51">
        <v>5102</v>
      </c>
      <c r="O12" s="52">
        <v>102</v>
      </c>
      <c r="Q12" s="53"/>
      <c r="V12" s="357" t="s">
        <v>33</v>
      </c>
      <c r="W12" s="357"/>
      <c r="X12" s="396">
        <f>IF('3382'!K$84=1,'3382'!G12,0)</f>
        <v>0</v>
      </c>
      <c r="Y12" s="396"/>
      <c r="Z12" s="397">
        <v>1</v>
      </c>
      <c r="AA12" s="397"/>
      <c r="AB12" s="54">
        <f t="shared" si="0"/>
        <v>0</v>
      </c>
      <c r="AC12" s="55">
        <f t="shared" si="1"/>
        <v>0</v>
      </c>
      <c r="AD12" s="9"/>
    </row>
    <row r="13" spans="1:30" x14ac:dyDescent="0.3">
      <c r="A13" s="1" t="s">
        <v>34</v>
      </c>
      <c r="B13" s="13" t="s">
        <v>35</v>
      </c>
      <c r="C13" s="13"/>
      <c r="D13" s="13">
        <v>6</v>
      </c>
      <c r="E13" s="13">
        <v>0</v>
      </c>
      <c r="F13" s="13">
        <v>7.05</v>
      </c>
      <c r="G13" s="46">
        <f t="shared" si="2"/>
        <v>12</v>
      </c>
      <c r="H13" s="47"/>
      <c r="I13" s="56">
        <f>I12</f>
        <v>1</v>
      </c>
      <c r="J13" s="56"/>
      <c r="K13" s="49">
        <f t="shared" si="3"/>
        <v>12</v>
      </c>
      <c r="L13" s="50">
        <f t="shared" si="4"/>
        <v>46495</v>
      </c>
      <c r="M13" s="1" t="str">
        <f>IF(ROUND(G13,2)=ROUND(SUM(G31:G33),2)," ","CHECK 2. PK-3 Lines Below")</f>
        <v xml:space="preserve"> </v>
      </c>
      <c r="N13" s="51">
        <v>5102</v>
      </c>
      <c r="O13" s="57" t="s">
        <v>36</v>
      </c>
      <c r="Q13" s="53"/>
      <c r="V13" s="357" t="s">
        <v>35</v>
      </c>
      <c r="W13" s="357"/>
      <c r="X13" s="396">
        <f>IF('3382'!K$84=1,'3382'!G13,0)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IF('3382'!K$84=1,'3382'!G14,0)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IF('3382'!K$84=1,'3382'!G15,0)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IF('3382'!K$84=1,'3382'!G16,0)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IF('3382'!K$84=1,'3382'!G17,0)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IF('3382'!K$84=1,'3382'!G18,0)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IF('3382'!K$84=1,'3382'!G19,0)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IF('3382'!K$84=1,'3382'!G20,0)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IF('3382'!K$84=1,'3382'!G21,0)</f>
        <v>0</v>
      </c>
      <c r="Y21" s="396"/>
      <c r="Z21" s="397">
        <v>1</v>
      </c>
      <c r="AA21" s="397"/>
      <c r="AB21" s="54">
        <f t="shared" si="0"/>
        <v>0</v>
      </c>
      <c r="AC21" s="55">
        <f t="shared" si="1"/>
        <v>0</v>
      </c>
      <c r="AD21" s="9"/>
    </row>
    <row r="22" spans="1:30" ht="15.5" x14ac:dyDescent="0.35">
      <c r="A22" s="1" t="s">
        <v>54</v>
      </c>
      <c r="B22" s="13" t="s">
        <v>55</v>
      </c>
      <c r="C22" s="13"/>
      <c r="D22" s="13">
        <v>2.2599999999999998</v>
      </c>
      <c r="E22" s="13">
        <v>0</v>
      </c>
      <c r="F22" s="13">
        <v>2.5</v>
      </c>
      <c r="G22" s="46">
        <f t="shared" si="2"/>
        <v>4.5199999999999996</v>
      </c>
      <c r="H22" s="47"/>
      <c r="I22" s="56">
        <v>1.145</v>
      </c>
      <c r="J22" s="56"/>
      <c r="K22" s="49">
        <f t="shared" si="3"/>
        <v>5.1753999999999998</v>
      </c>
      <c r="L22" s="50">
        <f t="shared" si="4"/>
        <v>20053</v>
      </c>
      <c r="N22" s="51">
        <v>5101</v>
      </c>
      <c r="O22" s="52">
        <v>130</v>
      </c>
      <c r="Q22" s="53"/>
      <c r="V22" s="357" t="s">
        <v>55</v>
      </c>
      <c r="W22" s="357"/>
      <c r="X22" s="396">
        <f>IF('3382'!K$84=1,'3382'!G22,0)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IF('3382'!K$84=1,'3382'!G23,0)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IF('3382'!K$84=1,'3382'!G24,0)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IF('3382'!K$84=1,'3382'!G25,0)</f>
        <v>0</v>
      </c>
      <c r="Y25" s="396"/>
      <c r="Z25" s="397">
        <v>1</v>
      </c>
      <c r="AA25" s="397"/>
      <c r="AB25" s="54">
        <f t="shared" si="0"/>
        <v>0</v>
      </c>
      <c r="AC25" s="55">
        <f t="shared" si="1"/>
        <v>0</v>
      </c>
      <c r="AD25" s="9"/>
    </row>
    <row r="26" spans="1:30" ht="20.25" customHeight="1" thickBot="1" x14ac:dyDescent="0.35">
      <c r="B26" s="61" t="s">
        <v>62</v>
      </c>
      <c r="C26" s="61"/>
      <c r="D26" s="62">
        <f t="shared" ref="D26:E26" si="5">SUM(D10:D25)</f>
        <v>60.75</v>
      </c>
      <c r="E26" s="62">
        <f t="shared" si="5"/>
        <v>0</v>
      </c>
      <c r="F26" s="62"/>
      <c r="G26" s="62">
        <f>SUM(G10:G25)</f>
        <v>121.5</v>
      </c>
      <c r="H26" s="63"/>
      <c r="I26" s="63"/>
      <c r="J26" s="64"/>
      <c r="K26" s="65">
        <f>SUM(K10:K25)</f>
        <v>131.12790000000001</v>
      </c>
      <c r="L26" s="66">
        <f>SUM(L10:L25)</f>
        <v>508072</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4.5</v>
      </c>
      <c r="E28" s="13">
        <v>0</v>
      </c>
      <c r="F28" s="78">
        <v>6.5</v>
      </c>
      <c r="G28" s="46">
        <f>IF(E28=0,D28*2,D28+E28)</f>
        <v>9</v>
      </c>
      <c r="H28" s="79"/>
      <c r="I28" s="80" t="s">
        <v>70</v>
      </c>
      <c r="J28" s="51">
        <v>251</v>
      </c>
      <c r="K28" s="81">
        <v>1047</v>
      </c>
      <c r="L28" s="82">
        <f>ROUND(G28*K28,0)</f>
        <v>9423</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6</v>
      </c>
      <c r="E31" s="13">
        <v>0</v>
      </c>
      <c r="F31" s="89">
        <v>2</v>
      </c>
      <c r="G31" s="46">
        <f t="shared" si="7"/>
        <v>12</v>
      </c>
      <c r="H31" s="79"/>
      <c r="I31" s="90" t="s">
        <v>74</v>
      </c>
      <c r="J31" s="51">
        <v>251</v>
      </c>
      <c r="K31" s="81">
        <v>1173</v>
      </c>
      <c r="L31" s="82">
        <f t="shared" si="8"/>
        <v>14076</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11</v>
      </c>
      <c r="E37" s="62">
        <f t="shared" si="10"/>
        <v>0</v>
      </c>
      <c r="F37" s="62"/>
      <c r="G37" s="62">
        <f>SUM(G28:G36)</f>
        <v>22</v>
      </c>
      <c r="H37" s="63"/>
      <c r="I37" s="13" t="s">
        <v>82</v>
      </c>
      <c r="J37" s="13"/>
      <c r="K37" s="13"/>
      <c r="L37" s="50">
        <f>SUM(L28:L36)</f>
        <v>26879</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23328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558279</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85.927899999999994</v>
      </c>
      <c r="D47" s="121"/>
      <c r="E47" s="121"/>
      <c r="F47" s="121"/>
      <c r="G47" s="122">
        <f>K7</f>
        <v>1.0326</v>
      </c>
      <c r="H47" s="122"/>
      <c r="I47" s="123">
        <v>1316.85</v>
      </c>
      <c r="J47" s="124" t="s">
        <v>97</v>
      </c>
      <c r="K47" s="125">
        <f>ROUND(C47*G47*I47,0)</f>
        <v>116843</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45.2</v>
      </c>
      <c r="D48" s="121"/>
      <c r="E48" s="121"/>
      <c r="F48" s="121"/>
      <c r="G48" s="122">
        <f>K7</f>
        <v>1.0326</v>
      </c>
      <c r="H48" s="122"/>
      <c r="I48" s="123">
        <v>898.23</v>
      </c>
      <c r="J48" s="124" t="s">
        <v>97</v>
      </c>
      <c r="K48" s="125">
        <f>ROUND(C48*G48*I48,0)</f>
        <v>41924</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131.12790000000001</v>
      </c>
      <c r="D50" s="144"/>
      <c r="E50" s="145"/>
      <c r="F50" s="145"/>
      <c r="G50" s="146" t="s">
        <v>99</v>
      </c>
      <c r="H50" s="146"/>
      <c r="I50" s="146"/>
      <c r="J50" s="146"/>
      <c r="K50" s="146"/>
      <c r="L50" s="50">
        <f>IF(B2=75,0,K49+K48+K47)</f>
        <v>158767</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131.12790000000001</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6.7900000000000002E-4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121.5</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6.7699999999999998E-4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6.7900000000000002E-4</v>
      </c>
      <c r="L59" s="50">
        <f>ROUND(I59*K59,0)</f>
        <v>2799</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6.7900000000000002E-4</v>
      </c>
      <c r="L67" s="50">
        <f>ROUND(I67*K67,0)</f>
        <v>65710</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6.7699999999999998E-4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6.7900000000000002E-4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6.7900000000000002E-4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6.7699999999999998E-4</v>
      </c>
      <c r="L72" s="50">
        <f>ROUND(I72*K72,0)</f>
        <v>9557</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6.7900000000000002E-4</v>
      </c>
      <c r="L77" s="50">
        <f>ROUND(I77*K77,0)</f>
        <v>22216</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6.7900000000000002E-4</v>
      </c>
      <c r="L78" s="50">
        <f>ROUND(I78*K78,0)</f>
        <v>454</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817782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'3382'!AC81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400</v>
      </c>
      <c r="C86" s="13"/>
      <c r="D86" s="13"/>
      <c r="E86" s="13"/>
      <c r="F86" s="13"/>
      <c r="G86" s="13"/>
      <c r="H86" s="13"/>
      <c r="I86" s="13"/>
      <c r="J86" s="204" t="s">
        <v>150</v>
      </c>
      <c r="K86" s="205">
        <f>IF(K84=1,L84,L82)</f>
        <v>817782</v>
      </c>
      <c r="L86" s="82">
        <f>IF(G26=0,0,IF(G26&gt;250,-(((250/G26)*K86)*IF(M86="H",0.02,0.05)),IF(M86="H",-0.02*K86,-0.05*K86)))</f>
        <v>-16355.640000000001</v>
      </c>
      <c r="M86" s="197" t="str">
        <f>IF(B123="2801","H",IF(B123="2911","H",IF(B123="3382","H"," ")))</f>
        <v>H</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801426.36</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374625</v>
      </c>
      <c r="G89" s="13"/>
      <c r="H89" s="13"/>
      <c r="I89" s="13"/>
      <c r="J89" s="13"/>
      <c r="K89" s="206"/>
      <c r="L89" s="82">
        <v>-516892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284534.36</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71133.59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262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263</v>
      </c>
      <c r="C123" s="219" t="s">
        <v>200</v>
      </c>
    </row>
    <row r="124" spans="2:3" ht="15.5" hidden="1" x14ac:dyDescent="0.35">
      <c r="B124" s="223" t="s">
        <v>264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41646.469178240703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'3384'!B2</f>
        <v>50</v>
      </c>
      <c r="W2" s="413" t="s">
        <v>4</v>
      </c>
      <c r="X2" s="414"/>
      <c r="Y2" s="415"/>
      <c r="Z2" s="415"/>
      <c r="AA2" s="415"/>
      <c r="AB2" s="415"/>
      <c r="AC2" s="415"/>
      <c r="AD2" s="9"/>
    </row>
    <row r="3" spans="1:30" ht="20" x14ac:dyDescent="0.4">
      <c r="B3" s="10" t="str">
        <f>"Revenue Estimate Worksheet for "&amp;B124</f>
        <v>Revenue Estimate Worksheet for Hope Learning Riviera Beach</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'3384'!G7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6.89</v>
      </c>
      <c r="E10" s="45">
        <v>0</v>
      </c>
      <c r="F10" s="45">
        <v>8.4600000000000009</v>
      </c>
      <c r="G10" s="46">
        <f>IF(E10=0,D10*2,D10+E10)</f>
        <v>13.78</v>
      </c>
      <c r="H10" s="47"/>
      <c r="I10" s="48">
        <v>1.125</v>
      </c>
      <c r="J10" s="48"/>
      <c r="K10" s="49">
        <f>ROUND(G10*I10,4)</f>
        <v>15.5025</v>
      </c>
      <c r="L10" s="50">
        <f>ROUND(ROUND(K10*$G$7,4)*($K$7),0)</f>
        <v>60066</v>
      </c>
      <c r="N10" s="51">
        <v>5101</v>
      </c>
      <c r="O10" s="52">
        <v>101</v>
      </c>
      <c r="Q10" s="53"/>
      <c r="V10" s="404" t="s">
        <v>28</v>
      </c>
      <c r="W10" s="404"/>
      <c r="X10" s="396">
        <f>IF('3384'!K$84=1,'3384'!G10,0)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0.5</v>
      </c>
      <c r="E11" s="13">
        <v>0</v>
      </c>
      <c r="F11" s="13">
        <v>0.6</v>
      </c>
      <c r="G11" s="46">
        <f t="shared" ref="G11:G25" si="2">IF(E11=0,D11*2,D11+E11)</f>
        <v>1</v>
      </c>
      <c r="H11" s="47"/>
      <c r="I11" s="56">
        <f>I10</f>
        <v>1.125</v>
      </c>
      <c r="J11" s="56"/>
      <c r="K11" s="49">
        <f t="shared" ref="K11:K25" si="3">ROUND(G11*I11,4)</f>
        <v>1.125</v>
      </c>
      <c r="L11" s="50">
        <f t="shared" ref="L11:L25" si="4">ROUND(ROUND(K11*$G$7,4)*($K$7),0)</f>
        <v>4359</v>
      </c>
      <c r="M11" s="1" t="str">
        <f>IF(ROUND(G11,2)=ROUND(SUM(G28:G30),2)," ","CHECK 2. PK-3 Lines Below")</f>
        <v xml:space="preserve"> </v>
      </c>
      <c r="N11" s="51">
        <v>5101</v>
      </c>
      <c r="O11" s="57" t="s">
        <v>31</v>
      </c>
      <c r="Q11" s="53"/>
      <c r="V11" s="357" t="s">
        <v>30</v>
      </c>
      <c r="W11" s="357"/>
      <c r="X11" s="396">
        <f>IF('3384'!K$84=1,'3384'!G11,0)</f>
        <v>0</v>
      </c>
      <c r="Y11" s="396"/>
      <c r="Z11" s="397">
        <v>1</v>
      </c>
      <c r="AA11" s="397"/>
      <c r="AB11" s="54">
        <f t="shared" si="0"/>
        <v>0</v>
      </c>
      <c r="AC11" s="55">
        <f t="shared" si="1"/>
        <v>0</v>
      </c>
      <c r="AD11" s="9"/>
    </row>
    <row r="12" spans="1:30" x14ac:dyDescent="0.3">
      <c r="A12" s="1" t="s">
        <v>32</v>
      </c>
      <c r="B12" s="13" t="s">
        <v>33</v>
      </c>
      <c r="C12" s="13"/>
      <c r="D12" s="13">
        <v>3.08</v>
      </c>
      <c r="E12" s="13">
        <v>0</v>
      </c>
      <c r="F12" s="13">
        <v>3.7</v>
      </c>
      <c r="G12" s="46">
        <f t="shared" si="2"/>
        <v>6.16</v>
      </c>
      <c r="H12" s="47"/>
      <c r="I12" s="56">
        <v>1</v>
      </c>
      <c r="J12" s="56"/>
      <c r="K12" s="49">
        <f t="shared" si="3"/>
        <v>6.16</v>
      </c>
      <c r="L12" s="50">
        <f t="shared" si="4"/>
        <v>23868</v>
      </c>
      <c r="N12" s="51">
        <v>5102</v>
      </c>
      <c r="O12" s="52">
        <v>102</v>
      </c>
      <c r="Q12" s="53"/>
      <c r="V12" s="357" t="s">
        <v>33</v>
      </c>
      <c r="W12" s="357"/>
      <c r="X12" s="396">
        <f>IF('3384'!K$84=1,'3384'!G12,0)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IF('3384'!K$84=1,'3384'!G13,0)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IF('3384'!K$84=1,'3384'!G14,0)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IF('3384'!K$84=1,'3384'!G15,0)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IF('3384'!K$84=1,'3384'!G16,0)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IF('3384'!K$84=1,'3384'!G17,0)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IF('3384'!K$84=1,'3384'!G18,0)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IF('3384'!K$84=1,'3384'!G19,0)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IF('3384'!K$84=1,'3384'!G20,0)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IF('3384'!K$84=1,'3384'!G21,0)</f>
        <v>0</v>
      </c>
      <c r="Y21" s="396"/>
      <c r="Z21" s="397">
        <v>1</v>
      </c>
      <c r="AA21" s="397"/>
      <c r="AB21" s="54">
        <f t="shared" si="0"/>
        <v>0</v>
      </c>
      <c r="AC21" s="55">
        <f t="shared" si="1"/>
        <v>0</v>
      </c>
      <c r="AD21" s="9"/>
    </row>
    <row r="22" spans="1:30" ht="15.5" x14ac:dyDescent="0.35">
      <c r="A22" s="1" t="s">
        <v>54</v>
      </c>
      <c r="B22" s="13" t="s">
        <v>55</v>
      </c>
      <c r="C22" s="13"/>
      <c r="D22" s="13">
        <v>5.29</v>
      </c>
      <c r="E22" s="13">
        <v>0</v>
      </c>
      <c r="F22" s="13">
        <v>6.64</v>
      </c>
      <c r="G22" s="46">
        <f t="shared" si="2"/>
        <v>10.58</v>
      </c>
      <c r="H22" s="47"/>
      <c r="I22" s="56">
        <v>1.145</v>
      </c>
      <c r="J22" s="56"/>
      <c r="K22" s="49">
        <f t="shared" si="3"/>
        <v>12.114100000000001</v>
      </c>
      <c r="L22" s="50">
        <f t="shared" si="4"/>
        <v>46938</v>
      </c>
      <c r="N22" s="51">
        <v>5101</v>
      </c>
      <c r="O22" s="52">
        <v>130</v>
      </c>
      <c r="Q22" s="53"/>
      <c r="V22" s="357" t="s">
        <v>55</v>
      </c>
      <c r="W22" s="357"/>
      <c r="X22" s="396">
        <f>IF('3384'!K$84=1,'3384'!G22,0)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IF('3384'!K$84=1,'3384'!G23,0)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IF('3384'!K$84=1,'3384'!G24,0)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IF('3384'!K$84=1,'3384'!G25,0)</f>
        <v>0</v>
      </c>
      <c r="Y25" s="396"/>
      <c r="Z25" s="397">
        <v>1</v>
      </c>
      <c r="AA25" s="397"/>
      <c r="AB25" s="54">
        <f t="shared" si="0"/>
        <v>0</v>
      </c>
      <c r="AC25" s="55">
        <f t="shared" si="1"/>
        <v>0</v>
      </c>
      <c r="AD25" s="9"/>
    </row>
    <row r="26" spans="1:30" ht="20.25" customHeight="1" thickBot="1" x14ac:dyDescent="0.35">
      <c r="B26" s="61" t="s">
        <v>62</v>
      </c>
      <c r="C26" s="61"/>
      <c r="D26" s="62">
        <f t="shared" ref="D26:E26" si="5">SUM(D10:D25)</f>
        <v>15.759999999999998</v>
      </c>
      <c r="E26" s="62">
        <f t="shared" si="5"/>
        <v>0</v>
      </c>
      <c r="F26" s="62"/>
      <c r="G26" s="62">
        <f>SUM(G10:G25)</f>
        <v>31.519999999999996</v>
      </c>
      <c r="H26" s="63"/>
      <c r="I26" s="63"/>
      <c r="J26" s="64"/>
      <c r="K26" s="65">
        <f>SUM(K10:K25)</f>
        <v>34.901600000000002</v>
      </c>
      <c r="L26" s="66">
        <f>SUM(L10:L25)</f>
        <v>135231</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0.5</v>
      </c>
      <c r="E28" s="13">
        <v>0</v>
      </c>
      <c r="F28" s="78">
        <v>0.5</v>
      </c>
      <c r="G28" s="46">
        <f>IF(E28=0,D28*2,D28+E28)</f>
        <v>1</v>
      </c>
      <c r="H28" s="79"/>
      <c r="I28" s="80" t="s">
        <v>70</v>
      </c>
      <c r="J28" s="51">
        <v>251</v>
      </c>
      <c r="K28" s="81">
        <v>1047</v>
      </c>
      <c r="L28" s="82">
        <f>ROUND(G28*K28,0)</f>
        <v>1047</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0.5</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0.5</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0.5</v>
      </c>
      <c r="E37" s="62">
        <f t="shared" si="10"/>
        <v>0</v>
      </c>
      <c r="F37" s="62"/>
      <c r="G37" s="62">
        <f>SUM(G28:G36)</f>
        <v>1</v>
      </c>
      <c r="H37" s="63"/>
      <c r="I37" s="13" t="s">
        <v>82</v>
      </c>
      <c r="J37" s="13"/>
      <c r="K37" s="13"/>
      <c r="L37" s="50">
        <f>SUM(L28:L36)</f>
        <v>1047</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6052</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142330</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28.741599999999998</v>
      </c>
      <c r="D47" s="121"/>
      <c r="E47" s="121"/>
      <c r="F47" s="121"/>
      <c r="G47" s="122">
        <f>K7</f>
        <v>1.0326</v>
      </c>
      <c r="H47" s="122"/>
      <c r="I47" s="123">
        <v>1316.85</v>
      </c>
      <c r="J47" s="124" t="s">
        <v>97</v>
      </c>
      <c r="K47" s="125">
        <f>ROUND(C47*G47*I47,0)</f>
        <v>39082</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6.16</v>
      </c>
      <c r="D48" s="121"/>
      <c r="E48" s="121"/>
      <c r="F48" s="121"/>
      <c r="G48" s="122">
        <f>K7</f>
        <v>1.0326</v>
      </c>
      <c r="H48" s="122"/>
      <c r="I48" s="123">
        <v>898.23</v>
      </c>
      <c r="J48" s="124" t="s">
        <v>97</v>
      </c>
      <c r="K48" s="125">
        <f>ROUND(C48*G48*I48,0)</f>
        <v>5713</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34.901600000000002</v>
      </c>
      <c r="D50" s="144"/>
      <c r="E50" s="145"/>
      <c r="F50" s="145"/>
      <c r="G50" s="146" t="s">
        <v>99</v>
      </c>
      <c r="H50" s="146"/>
      <c r="I50" s="146"/>
      <c r="J50" s="146"/>
      <c r="K50" s="146"/>
      <c r="L50" s="50">
        <f>IF(B2=75,0,K49+K48+K47)</f>
        <v>44795</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34.901600000000002</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1.8100000000000001E-4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31.519999999999996</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1.76E-4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1.8100000000000001E-4</v>
      </c>
      <c r="L59" s="50">
        <f>ROUND(I59*K59,0)</f>
        <v>746</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1.8100000000000001E-4</v>
      </c>
      <c r="L67" s="50">
        <f>ROUND(I67*K67,0)</f>
        <v>17516</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1.76E-4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1.8100000000000001E-4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1.8100000000000001E-4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1.76E-4</v>
      </c>
      <c r="L72" s="50">
        <f>ROUND(I72*K72,0)</f>
        <v>2485</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18</v>
      </c>
      <c r="AA74" s="171" t="s">
        <v>129</v>
      </c>
      <c r="AB74" s="172">
        <f>+K75</f>
        <v>360</v>
      </c>
      <c r="AC74" s="55">
        <f>ROUND(AB74*Z74,0)</f>
        <v>6480</v>
      </c>
      <c r="AD74" s="9"/>
    </row>
    <row r="75" spans="1:30" ht="19.5" customHeight="1" x14ac:dyDescent="0.3">
      <c r="A75" s="1" t="s">
        <v>130</v>
      </c>
      <c r="B75" s="173" t="s">
        <v>127</v>
      </c>
      <c r="C75" s="174" t="s">
        <v>128</v>
      </c>
      <c r="D75" s="173">
        <v>18</v>
      </c>
      <c r="E75" s="173">
        <v>0</v>
      </c>
      <c r="F75" s="173">
        <v>0</v>
      </c>
      <c r="G75" s="175">
        <f>IF(E75=0,D75,E75)</f>
        <v>18</v>
      </c>
      <c r="H75" s="176"/>
      <c r="I75" s="177">
        <f>AVERAGE(G75,D75)</f>
        <v>18</v>
      </c>
      <c r="J75" s="178" t="s">
        <v>129</v>
      </c>
      <c r="K75" s="179">
        <v>360</v>
      </c>
      <c r="L75" s="50">
        <f>ROUND(K75*I75,0)</f>
        <v>6480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1.8100000000000001E-4</v>
      </c>
      <c r="L77" s="50">
        <f>ROUND(I77*K77,0)</f>
        <v>5922</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1.8100000000000001E-4</v>
      </c>
      <c r="L78" s="50">
        <f>ROUND(I78*K78,0)</f>
        <v>121</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6480</v>
      </c>
      <c r="AD81" s="195"/>
    </row>
    <row r="82" spans="1:30" ht="22.5" customHeight="1" thickTop="1" thickBot="1" x14ac:dyDescent="0.35">
      <c r="B82" s="13" t="s">
        <v>141</v>
      </c>
      <c r="C82" s="13"/>
      <c r="D82" s="13"/>
      <c r="E82" s="13"/>
      <c r="F82" s="13"/>
      <c r="G82" s="13"/>
      <c r="H82" s="13"/>
      <c r="I82" s="13"/>
      <c r="J82" s="13"/>
      <c r="K82" s="13"/>
      <c r="L82" s="196">
        <f>SUM(L44:L81)</f>
        <v>220395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'3384'!AC81</f>
        <v>6480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220395</v>
      </c>
      <c r="L86" s="82">
        <f>IF(G26=0,0,IF(G26&gt;250,-(((250/G26)*K86)*IF(M86="H",0.02,0.05)),IF(M86="H",-0.02*K86,-0.05*K86)))</f>
        <v>-11019.75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209375.25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118576</v>
      </c>
      <c r="G89" s="13"/>
      <c r="H89" s="13"/>
      <c r="I89" s="13"/>
      <c r="J89" s="13"/>
      <c r="K89" s="206"/>
      <c r="L89" s="82">
        <v>-148842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60533.25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15133.3125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265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266</v>
      </c>
      <c r="C123" s="219" t="s">
        <v>200</v>
      </c>
    </row>
    <row r="124" spans="2:3" ht="15.5" hidden="1" x14ac:dyDescent="0.35">
      <c r="B124" s="223" t="s">
        <v>267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41646.469189814801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51"/>
  <sheetViews>
    <sheetView topLeftCell="B77"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'3385'!B2</f>
        <v>50</v>
      </c>
      <c r="W2" s="413" t="s">
        <v>4</v>
      </c>
      <c r="X2" s="414"/>
      <c r="Y2" s="415"/>
      <c r="Z2" s="415"/>
      <c r="AA2" s="415"/>
      <c r="AB2" s="415"/>
      <c r="AC2" s="415"/>
      <c r="AD2" s="9"/>
    </row>
    <row r="3" spans="1:30" ht="20" x14ac:dyDescent="0.4">
      <c r="B3" s="10" t="str">
        <f>"Revenue Estimate Worksheet for "&amp;B124</f>
        <v>Revenue Estimate Worksheet for Bright Futures Academy</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'3385'!G7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163.13</v>
      </c>
      <c r="E10" s="45">
        <v>0</v>
      </c>
      <c r="F10" s="45">
        <v>214.2</v>
      </c>
      <c r="G10" s="46">
        <f>IF(E10=0,D10*2,D10+E10)</f>
        <v>326.26</v>
      </c>
      <c r="H10" s="47"/>
      <c r="I10" s="48">
        <v>1.125</v>
      </c>
      <c r="J10" s="48"/>
      <c r="K10" s="49">
        <f>ROUND(G10*I10,4)</f>
        <v>367.04250000000002</v>
      </c>
      <c r="L10" s="50">
        <f>ROUND(ROUND(K10*$G$7,4)*($K$7),0)</f>
        <v>1422152</v>
      </c>
      <c r="N10" s="51">
        <v>5101</v>
      </c>
      <c r="O10" s="52">
        <v>101</v>
      </c>
      <c r="Q10" s="53"/>
      <c r="V10" s="404" t="s">
        <v>28</v>
      </c>
      <c r="W10" s="404"/>
      <c r="X10" s="396">
        <f>IF('3385'!K$84=1,'3385'!G10,0)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12</v>
      </c>
      <c r="E11" s="13">
        <v>0</v>
      </c>
      <c r="F11" s="13">
        <v>15.85</v>
      </c>
      <c r="G11" s="46">
        <f t="shared" ref="G11:G25" si="2">IF(E11=0,D11*2,D11+E11)</f>
        <v>24</v>
      </c>
      <c r="H11" s="47"/>
      <c r="I11" s="56">
        <f>I10</f>
        <v>1.125</v>
      </c>
      <c r="J11" s="56"/>
      <c r="K11" s="49">
        <f t="shared" ref="K11:K25" si="3">ROUND(G11*I11,4)</f>
        <v>27</v>
      </c>
      <c r="L11" s="50">
        <f t="shared" ref="L11:L25" si="4">ROUND(ROUND(K11*$G$7,4)*($K$7),0)</f>
        <v>104615</v>
      </c>
      <c r="M11" s="1" t="str">
        <f>IF(ROUND(G11,2)=ROUND(SUM(G28:G30),2)," ","CHECK 2. PK-3 Lines Below")</f>
        <v xml:space="preserve"> </v>
      </c>
      <c r="N11" s="51">
        <v>5101</v>
      </c>
      <c r="O11" s="57" t="s">
        <v>31</v>
      </c>
      <c r="Q11" s="53"/>
      <c r="V11" s="357" t="s">
        <v>30</v>
      </c>
      <c r="W11" s="357"/>
      <c r="X11" s="396">
        <f>IF('3385'!K$84=1,'3385'!G11,0)</f>
        <v>0</v>
      </c>
      <c r="Y11" s="396"/>
      <c r="Z11" s="397">
        <v>1</v>
      </c>
      <c r="AA11" s="397"/>
      <c r="AB11" s="54">
        <f t="shared" si="0"/>
        <v>0</v>
      </c>
      <c r="AC11" s="55">
        <f t="shared" si="1"/>
        <v>0</v>
      </c>
      <c r="AD11" s="9"/>
    </row>
    <row r="12" spans="1:30" x14ac:dyDescent="0.3">
      <c r="A12" s="1" t="s">
        <v>32</v>
      </c>
      <c r="B12" s="13" t="s">
        <v>33</v>
      </c>
      <c r="C12" s="13"/>
      <c r="D12" s="314">
        <v>174.58</v>
      </c>
      <c r="E12" s="13">
        <v>0</v>
      </c>
      <c r="F12" s="13">
        <v>226.58</v>
      </c>
      <c r="G12" s="46">
        <f t="shared" si="2"/>
        <v>349.16</v>
      </c>
      <c r="H12" s="47"/>
      <c r="I12" s="56">
        <v>1</v>
      </c>
      <c r="J12" s="56"/>
      <c r="K12" s="49">
        <f t="shared" si="3"/>
        <v>349.16</v>
      </c>
      <c r="L12" s="50">
        <f t="shared" si="4"/>
        <v>1352864</v>
      </c>
      <c r="N12" s="51">
        <v>5102</v>
      </c>
      <c r="O12" s="52">
        <v>102</v>
      </c>
      <c r="Q12" s="53"/>
      <c r="V12" s="357" t="s">
        <v>33</v>
      </c>
      <c r="W12" s="357"/>
      <c r="X12" s="396">
        <f>IF('3385'!K$84=1,'3385'!G12,0)</f>
        <v>0</v>
      </c>
      <c r="Y12" s="396"/>
      <c r="Z12" s="397">
        <v>1</v>
      </c>
      <c r="AA12" s="397"/>
      <c r="AB12" s="54">
        <f t="shared" si="0"/>
        <v>0</v>
      </c>
      <c r="AC12" s="55">
        <f t="shared" si="1"/>
        <v>0</v>
      </c>
      <c r="AD12" s="9"/>
    </row>
    <row r="13" spans="1:30" x14ac:dyDescent="0.3">
      <c r="A13" s="1" t="s">
        <v>34</v>
      </c>
      <c r="B13" s="13" t="s">
        <v>35</v>
      </c>
      <c r="C13" s="13"/>
      <c r="D13" s="314">
        <v>26</v>
      </c>
      <c r="E13" s="13">
        <v>0</v>
      </c>
      <c r="F13" s="13">
        <v>34.799999999999997</v>
      </c>
      <c r="G13" s="46">
        <f t="shared" si="2"/>
        <v>52</v>
      </c>
      <c r="H13" s="47"/>
      <c r="I13" s="56">
        <f>I12</f>
        <v>1</v>
      </c>
      <c r="J13" s="56"/>
      <c r="K13" s="49">
        <f t="shared" si="3"/>
        <v>52</v>
      </c>
      <c r="L13" s="50">
        <f t="shared" si="4"/>
        <v>201480</v>
      </c>
      <c r="M13" s="1" t="str">
        <f>IF(ROUND(G13,2)=ROUND(SUM(G31:G33),2)," ","CHECK 2. PK-3 Lines Below")</f>
        <v xml:space="preserve"> </v>
      </c>
      <c r="N13" s="51">
        <v>5102</v>
      </c>
      <c r="O13" s="57" t="s">
        <v>36</v>
      </c>
      <c r="Q13" s="53"/>
      <c r="V13" s="357" t="s">
        <v>35</v>
      </c>
      <c r="W13" s="357"/>
      <c r="X13" s="396">
        <f>IF('3385'!K$84=1,'3385'!G13,0)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IF('3385'!K$84=1,'3385'!G14,0)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IF('3385'!K$84=1,'3385'!G15,0)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IF('3385'!K$84=1,'3385'!G16,0)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IF('3385'!K$84=1,'3385'!G17,0)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IF('3385'!K$84=1,'3385'!G18,0)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IF('3385'!K$84=1,'3385'!G19,0)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IF('3385'!K$84=1,'3385'!G20,0)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IF('3385'!K$84=1,'3385'!G21,0)</f>
        <v>0</v>
      </c>
      <c r="Y21" s="396"/>
      <c r="Z21" s="397">
        <v>1</v>
      </c>
      <c r="AA21" s="397"/>
      <c r="AB21" s="54">
        <f t="shared" si="0"/>
        <v>0</v>
      </c>
      <c r="AC21" s="55">
        <f t="shared" si="1"/>
        <v>0</v>
      </c>
      <c r="AD21" s="9"/>
    </row>
    <row r="22" spans="1:30" ht="15.5" x14ac:dyDescent="0.35">
      <c r="A22" s="1" t="s">
        <v>54</v>
      </c>
      <c r="B22" s="13" t="s">
        <v>55</v>
      </c>
      <c r="C22" s="13"/>
      <c r="D22" s="314">
        <v>5.96</v>
      </c>
      <c r="E22" s="13">
        <v>0</v>
      </c>
      <c r="F22" s="13">
        <v>7.75</v>
      </c>
      <c r="G22" s="46">
        <f t="shared" si="2"/>
        <v>11.92</v>
      </c>
      <c r="H22" s="47"/>
      <c r="I22" s="56">
        <v>1.145</v>
      </c>
      <c r="J22" s="56"/>
      <c r="K22" s="49">
        <f t="shared" si="3"/>
        <v>13.648400000000001</v>
      </c>
      <c r="L22" s="50">
        <f t="shared" si="4"/>
        <v>52882</v>
      </c>
      <c r="N22" s="51">
        <v>5101</v>
      </c>
      <c r="O22" s="52">
        <v>130</v>
      </c>
      <c r="Q22" s="53"/>
      <c r="V22" s="357" t="s">
        <v>55</v>
      </c>
      <c r="W22" s="357"/>
      <c r="X22" s="396">
        <f>IF('3385'!K$84=1,'3385'!G22,0)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IF('3385'!K$84=1,'3385'!G23,0)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IF('3385'!K$84=1,'3385'!G24,0)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IF('3385'!K$84=1,'3385'!G25,0)</f>
        <v>0</v>
      </c>
      <c r="Y25" s="396"/>
      <c r="Z25" s="397">
        <v>1</v>
      </c>
      <c r="AA25" s="397"/>
      <c r="AB25" s="54">
        <f t="shared" si="0"/>
        <v>0</v>
      </c>
      <c r="AC25" s="55">
        <f t="shared" si="1"/>
        <v>0</v>
      </c>
      <c r="AD25" s="9"/>
    </row>
    <row r="26" spans="1:30" ht="20.25" customHeight="1" thickBot="1" x14ac:dyDescent="0.35">
      <c r="B26" s="61" t="s">
        <v>62</v>
      </c>
      <c r="C26" s="61"/>
      <c r="D26" s="320">
        <f t="shared" ref="D26:E26" si="5">SUM(D10:D25)</f>
        <v>381.67</v>
      </c>
      <c r="E26" s="62">
        <f t="shared" si="5"/>
        <v>0</v>
      </c>
      <c r="F26" s="62"/>
      <c r="G26" s="62">
        <f>SUM(G10:G25)</f>
        <v>763.34</v>
      </c>
      <c r="H26" s="63"/>
      <c r="I26" s="63"/>
      <c r="J26" s="64"/>
      <c r="K26" s="65">
        <f>SUM(K10:K25)</f>
        <v>808.85090000000014</v>
      </c>
      <c r="L26" s="66">
        <f>SUM(L10:L25)</f>
        <v>3133993</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12</v>
      </c>
      <c r="E28" s="13">
        <v>0</v>
      </c>
      <c r="F28" s="78">
        <v>10.5</v>
      </c>
      <c r="G28" s="46">
        <f>IF(E28=0,D28*2,D28+E28)</f>
        <v>24</v>
      </c>
      <c r="H28" s="79"/>
      <c r="I28" s="80" t="s">
        <v>70</v>
      </c>
      <c r="J28" s="51">
        <v>251</v>
      </c>
      <c r="K28" s="81">
        <v>1047</v>
      </c>
      <c r="L28" s="82">
        <f>ROUND(G28*K28,0)</f>
        <v>25128</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25</v>
      </c>
      <c r="E31" s="13">
        <v>0</v>
      </c>
      <c r="F31" s="89">
        <v>19</v>
      </c>
      <c r="G31" s="46">
        <f t="shared" si="7"/>
        <v>50</v>
      </c>
      <c r="H31" s="79"/>
      <c r="I31" s="90" t="s">
        <v>74</v>
      </c>
      <c r="J31" s="51">
        <v>251</v>
      </c>
      <c r="K31" s="81">
        <v>1173</v>
      </c>
      <c r="L31" s="82">
        <f t="shared" si="8"/>
        <v>58650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1</v>
      </c>
      <c r="E32" s="13">
        <v>0</v>
      </c>
      <c r="F32" s="89">
        <v>1</v>
      </c>
      <c r="G32" s="46">
        <f t="shared" si="7"/>
        <v>2</v>
      </c>
      <c r="H32" s="79"/>
      <c r="I32" s="90" t="s">
        <v>74</v>
      </c>
      <c r="J32" s="51">
        <v>252</v>
      </c>
      <c r="K32" s="81">
        <v>3506</v>
      </c>
      <c r="L32" s="82">
        <f t="shared" si="8"/>
        <v>7012</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38</v>
      </c>
      <c r="E37" s="62">
        <f t="shared" si="10"/>
        <v>0</v>
      </c>
      <c r="F37" s="62"/>
      <c r="G37" s="62">
        <f>SUM(G28:G36)</f>
        <v>76</v>
      </c>
      <c r="H37" s="63"/>
      <c r="I37" s="13" t="s">
        <v>82</v>
      </c>
      <c r="J37" s="13"/>
      <c r="K37" s="13"/>
      <c r="L37" s="50">
        <f>SUM(L28:L36)</f>
        <v>90790</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146561</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3371344</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407.6909</v>
      </c>
      <c r="D47" s="121"/>
      <c r="E47" s="121"/>
      <c r="F47" s="121"/>
      <c r="G47" s="122">
        <f>K7</f>
        <v>1.0326</v>
      </c>
      <c r="H47" s="122"/>
      <c r="I47" s="123">
        <v>1316.85</v>
      </c>
      <c r="J47" s="124" t="s">
        <v>97</v>
      </c>
      <c r="K47" s="125">
        <f>ROUND(C47*G47*I47,0)</f>
        <v>554370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401.16</v>
      </c>
      <c r="D48" s="121"/>
      <c r="E48" s="121"/>
      <c r="F48" s="121"/>
      <c r="G48" s="122">
        <f>K7</f>
        <v>1.0326</v>
      </c>
      <c r="H48" s="122"/>
      <c r="I48" s="123">
        <v>898.23</v>
      </c>
      <c r="J48" s="124" t="s">
        <v>97</v>
      </c>
      <c r="K48" s="125">
        <f>ROUND(C48*G48*I48,0)</f>
        <v>372081</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808.85090000000002</v>
      </c>
      <c r="D50" s="144"/>
      <c r="E50" s="145"/>
      <c r="F50" s="145"/>
      <c r="G50" s="146" t="s">
        <v>99</v>
      </c>
      <c r="H50" s="146"/>
      <c r="I50" s="146"/>
      <c r="J50" s="146"/>
      <c r="K50" s="146"/>
      <c r="L50" s="50">
        <f>IF(B2=75,0,K49+K48+K47)</f>
        <v>926451</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808.85090000000014</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4.1879999999999999E-3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763.34</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4.2550000000000001E-3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4.1879999999999999E-3</v>
      </c>
      <c r="L59" s="50">
        <f>ROUND(I59*K59,0)</f>
        <v>17267</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4.1879999999999999E-3</v>
      </c>
      <c r="L67" s="50">
        <f>ROUND(I67*K67,0)</f>
        <v>405292</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4.2550000000000001E-3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4.1879999999999999E-3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4.1879999999999999E-3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4.2550000000000001E-3</v>
      </c>
      <c r="L72" s="50">
        <f>ROUND(I72*K72,0)</f>
        <v>60069</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675</v>
      </c>
      <c r="AA74" s="171" t="s">
        <v>129</v>
      </c>
      <c r="AB74" s="172">
        <f>+K75</f>
        <v>360</v>
      </c>
      <c r="AC74" s="55">
        <f>ROUND(AB74*Z74,0)</f>
        <v>243000</v>
      </c>
      <c r="AD74" s="9"/>
    </row>
    <row r="75" spans="1:30" ht="19.5" customHeight="1" x14ac:dyDescent="0.3">
      <c r="A75" s="1" t="s">
        <v>130</v>
      </c>
      <c r="B75" s="173" t="s">
        <v>127</v>
      </c>
      <c r="C75" s="174" t="s">
        <v>128</v>
      </c>
      <c r="D75" s="173">
        <v>675</v>
      </c>
      <c r="E75" s="173">
        <v>0</v>
      </c>
      <c r="F75" s="173">
        <v>0</v>
      </c>
      <c r="G75" s="175">
        <f>IF(E75=0,D75,E75)</f>
        <v>675</v>
      </c>
      <c r="H75" s="176"/>
      <c r="I75" s="177">
        <f>AVERAGE(G75,D75)</f>
        <v>675</v>
      </c>
      <c r="J75" s="178" t="s">
        <v>129</v>
      </c>
      <c r="K75" s="179">
        <v>360</v>
      </c>
      <c r="L75" s="50">
        <f>ROUND(K75*I75,0)</f>
        <v>243000</v>
      </c>
      <c r="N75" s="1">
        <v>7802</v>
      </c>
      <c r="O75" s="1">
        <v>0</v>
      </c>
      <c r="V75" s="358" t="s">
        <v>127</v>
      </c>
      <c r="W75" s="358"/>
      <c r="X75" s="168" t="s">
        <v>131</v>
      </c>
      <c r="Y75" s="180"/>
      <c r="Z75" s="181">
        <f>+I76</f>
        <v>5</v>
      </c>
      <c r="AA75" s="171" t="s">
        <v>129</v>
      </c>
      <c r="AB75" s="182">
        <f>+K76</f>
        <v>1355</v>
      </c>
      <c r="AC75" s="55">
        <f>ROUND(AB75*Z75,0)</f>
        <v>6775</v>
      </c>
      <c r="AD75" s="9"/>
    </row>
    <row r="76" spans="1:30" ht="19.5" customHeight="1" x14ac:dyDescent="0.3">
      <c r="A76" s="1" t="s">
        <v>132</v>
      </c>
      <c r="B76" s="173" t="s">
        <v>127</v>
      </c>
      <c r="C76" s="174" t="s">
        <v>131</v>
      </c>
      <c r="D76" s="173">
        <v>5</v>
      </c>
      <c r="E76" s="173">
        <v>0</v>
      </c>
      <c r="F76" s="173">
        <v>0</v>
      </c>
      <c r="G76" s="175">
        <f>IF(E76=0,D76,E76)</f>
        <v>5</v>
      </c>
      <c r="H76" s="176"/>
      <c r="I76" s="177">
        <f>AVERAGE(G76,D76)</f>
        <v>5</v>
      </c>
      <c r="J76" s="178" t="s">
        <v>129</v>
      </c>
      <c r="K76" s="183">
        <v>1355</v>
      </c>
      <c r="L76" s="50">
        <f>ROUND(K76*I76,0)</f>
        <v>6775</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4.1879999999999999E-3</v>
      </c>
      <c r="L77" s="50">
        <f>ROUND(I77*K77,0)</f>
        <v>137024</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4.1879999999999999E-3</v>
      </c>
      <c r="L78" s="50">
        <f>ROUND(I78*K78,0)</f>
        <v>2800</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249775</v>
      </c>
      <c r="AD81" s="195"/>
    </row>
    <row r="82" spans="1:30" ht="22.5" customHeight="1" thickTop="1" thickBot="1" x14ac:dyDescent="0.35">
      <c r="B82" s="13" t="s">
        <v>141</v>
      </c>
      <c r="C82" s="13"/>
      <c r="D82" s="13"/>
      <c r="E82" s="13"/>
      <c r="F82" s="13"/>
      <c r="G82" s="13"/>
      <c r="H82" s="13"/>
      <c r="I82" s="13"/>
      <c r="J82" s="13"/>
      <c r="K82" s="13"/>
      <c r="L82" s="196">
        <f>SUM(L44:L81)</f>
        <v>5170022</v>
      </c>
      <c r="M82" s="30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'3385'!AC81</f>
        <v>249775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5170022</v>
      </c>
      <c r="L86" s="82">
        <f>IF(G26=0,0,IF(G26&gt;250,-(((250/G26)*K86)*IF(M86="H",0.02,0.05)),IF(M86="H",-0.02*K86,-0.05*K86)))</f>
        <v>-84661.192915345717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5085360.8070846545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2442817</v>
      </c>
      <c r="G89" s="13"/>
      <c r="H89" s="13"/>
      <c r="I89" s="13"/>
      <c r="J89" s="13"/>
      <c r="K89" s="206"/>
      <c r="L89" s="82">
        <v>-3323607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1761753.8070846545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440438.45177116361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173839.90708465429</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268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269</v>
      </c>
      <c r="C123" s="219" t="s">
        <v>200</v>
      </c>
    </row>
    <row r="124" spans="2:3" ht="15.5" hidden="1" x14ac:dyDescent="0.35">
      <c r="B124" s="223" t="s">
        <v>270</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41646.4692013889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51"/>
  <sheetViews>
    <sheetView topLeftCell="B74"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'3386'!B2</f>
        <v>50</v>
      </c>
      <c r="W2" s="413" t="s">
        <v>4</v>
      </c>
      <c r="X2" s="414"/>
      <c r="Y2" s="415"/>
      <c r="Z2" s="415"/>
      <c r="AA2" s="415"/>
      <c r="AB2" s="415"/>
      <c r="AC2" s="415"/>
      <c r="AD2" s="9"/>
    </row>
    <row r="3" spans="1:30" ht="20" x14ac:dyDescent="0.4">
      <c r="B3" s="10" t="str">
        <f>"Revenue Estimate Worksheet for "&amp;B124</f>
        <v>Revenue Estimate Worksheet for Toussaint Louverture Arts</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'3386'!G7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IF('3386'!K$84=1,'3386'!G10,0)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IF('3386'!K$84=1,'3386'!G11,0)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IF('3386'!K$84=1,'3386'!G12,0)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IF('3386'!K$84=1,'3386'!G13,0)</f>
        <v>0</v>
      </c>
      <c r="Y13" s="396"/>
      <c r="Z13" s="397">
        <v>1</v>
      </c>
      <c r="AA13" s="397"/>
      <c r="AB13" s="54">
        <f t="shared" si="0"/>
        <v>0</v>
      </c>
      <c r="AC13" s="55">
        <f t="shared" si="1"/>
        <v>0</v>
      </c>
      <c r="AD13" s="9"/>
    </row>
    <row r="14" spans="1:30" x14ac:dyDescent="0.3">
      <c r="A14" s="1" t="s">
        <v>37</v>
      </c>
      <c r="B14" s="13" t="s">
        <v>38</v>
      </c>
      <c r="C14" s="13"/>
      <c r="D14" s="13">
        <v>26.64</v>
      </c>
      <c r="E14" s="13">
        <v>0</v>
      </c>
      <c r="F14" s="13">
        <v>27.63</v>
      </c>
      <c r="G14" s="46">
        <f t="shared" si="2"/>
        <v>53.28</v>
      </c>
      <c r="H14" s="47"/>
      <c r="I14" s="56">
        <v>1.0109999999999999</v>
      </c>
      <c r="J14" s="56"/>
      <c r="K14" s="49">
        <f t="shared" si="3"/>
        <v>53.866100000000003</v>
      </c>
      <c r="L14" s="50">
        <f t="shared" si="4"/>
        <v>208711</v>
      </c>
      <c r="N14" s="51">
        <v>5103</v>
      </c>
      <c r="O14" s="52">
        <v>103</v>
      </c>
      <c r="Q14" s="53"/>
      <c r="V14" s="357" t="s">
        <v>38</v>
      </c>
      <c r="W14" s="357"/>
      <c r="X14" s="396">
        <f>IF('3386'!K$84=1,'3386'!G14,0)</f>
        <v>0</v>
      </c>
      <c r="Y14" s="396"/>
      <c r="Z14" s="397">
        <v>1</v>
      </c>
      <c r="AA14" s="397"/>
      <c r="AB14" s="54">
        <f t="shared" si="0"/>
        <v>0</v>
      </c>
      <c r="AC14" s="55">
        <f t="shared" si="1"/>
        <v>0</v>
      </c>
      <c r="AD14" s="9"/>
    </row>
    <row r="15" spans="1:30" x14ac:dyDescent="0.3">
      <c r="A15" s="1" t="s">
        <v>39</v>
      </c>
      <c r="B15" s="13" t="s">
        <v>40</v>
      </c>
      <c r="C15" s="13"/>
      <c r="D15" s="13">
        <v>2.5</v>
      </c>
      <c r="E15" s="13">
        <v>0</v>
      </c>
      <c r="F15" s="13">
        <v>2.5</v>
      </c>
      <c r="G15" s="46">
        <f t="shared" si="2"/>
        <v>5</v>
      </c>
      <c r="H15" s="47"/>
      <c r="I15" s="56">
        <f>I14</f>
        <v>1.0109999999999999</v>
      </c>
      <c r="J15" s="56"/>
      <c r="K15" s="49">
        <f t="shared" si="3"/>
        <v>5.0549999999999997</v>
      </c>
      <c r="L15" s="58">
        <f t="shared" si="4"/>
        <v>19586</v>
      </c>
      <c r="M15" s="1" t="str">
        <f>IF(ROUND(G15,2)=ROUND(SUM(G34:G36),2)," ","CHECK 2. PK-3 Lines Below")</f>
        <v xml:space="preserve"> </v>
      </c>
      <c r="N15" s="51">
        <v>5103</v>
      </c>
      <c r="O15" s="57" t="s">
        <v>41</v>
      </c>
      <c r="Q15" s="53"/>
      <c r="V15" s="357" t="s">
        <v>40</v>
      </c>
      <c r="W15" s="357"/>
      <c r="X15" s="396">
        <f>IF('3386'!K$84=1,'3386'!G15,0)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IF('3386'!K$84=1,'3386'!G16,0)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IF('3386'!K$84=1,'3386'!G17,0)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IF('3386'!K$84=1,'3386'!G18,0)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IF('3386'!K$84=1,'3386'!G19,0)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IF('3386'!K$84=1,'3386'!G20,0)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IF('3386'!K$84=1,'3386'!G21,0)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IF('3386'!K$84=1,'3386'!G22,0)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IF('3386'!K$84=1,'3386'!G23,0)</f>
        <v>0</v>
      </c>
      <c r="Y23" s="396"/>
      <c r="Z23" s="397">
        <v>1</v>
      </c>
      <c r="AA23" s="397"/>
      <c r="AB23" s="54">
        <f t="shared" si="0"/>
        <v>0</v>
      </c>
      <c r="AC23" s="55">
        <f t="shared" si="1"/>
        <v>0</v>
      </c>
      <c r="AD23" s="9"/>
    </row>
    <row r="24" spans="1:30" ht="15.5" x14ac:dyDescent="0.35">
      <c r="A24" s="1" t="s">
        <v>58</v>
      </c>
      <c r="B24" s="13" t="s">
        <v>59</v>
      </c>
      <c r="C24" s="13"/>
      <c r="D24" s="13">
        <v>69.8</v>
      </c>
      <c r="E24" s="13">
        <v>0</v>
      </c>
      <c r="F24" s="13">
        <v>71.92</v>
      </c>
      <c r="G24" s="46">
        <f t="shared" si="2"/>
        <v>139.6</v>
      </c>
      <c r="H24" s="47"/>
      <c r="I24" s="56">
        <f>I23</f>
        <v>1.145</v>
      </c>
      <c r="J24" s="56"/>
      <c r="K24" s="49">
        <f t="shared" si="3"/>
        <v>159.84200000000001</v>
      </c>
      <c r="L24" s="50">
        <f t="shared" si="4"/>
        <v>619328</v>
      </c>
      <c r="N24" s="51">
        <v>5103</v>
      </c>
      <c r="O24" s="52">
        <v>130</v>
      </c>
      <c r="Q24" s="53"/>
      <c r="V24" s="357" t="s">
        <v>59</v>
      </c>
      <c r="W24" s="357"/>
      <c r="X24" s="396">
        <f>IF('3386'!K$84=1,'3386'!G24,0)</f>
        <v>0</v>
      </c>
      <c r="Y24" s="396"/>
      <c r="Z24" s="397">
        <v>1</v>
      </c>
      <c r="AA24" s="397"/>
      <c r="AB24" s="54">
        <f t="shared" si="0"/>
        <v>0</v>
      </c>
      <c r="AC24" s="55">
        <f t="shared" si="1"/>
        <v>0</v>
      </c>
      <c r="AD24" s="9"/>
    </row>
    <row r="25" spans="1:30" ht="16" thickBot="1" x14ac:dyDescent="0.4">
      <c r="A25" s="1" t="s">
        <v>60</v>
      </c>
      <c r="B25" s="13" t="s">
        <v>61</v>
      </c>
      <c r="C25" s="13"/>
      <c r="D25" s="13">
        <v>1.58</v>
      </c>
      <c r="E25" s="13">
        <v>0</v>
      </c>
      <c r="F25" s="13">
        <v>1.67</v>
      </c>
      <c r="G25" s="60">
        <f t="shared" si="2"/>
        <v>3.16</v>
      </c>
      <c r="H25" s="47"/>
      <c r="I25" s="56">
        <v>1.0109999999999999</v>
      </c>
      <c r="J25" s="56"/>
      <c r="K25" s="49">
        <f t="shared" si="3"/>
        <v>3.1947999999999999</v>
      </c>
      <c r="L25" s="50">
        <f t="shared" si="4"/>
        <v>12379</v>
      </c>
      <c r="N25" s="51">
        <v>5310</v>
      </c>
      <c r="O25" s="52">
        <v>300</v>
      </c>
      <c r="Q25" s="53"/>
      <c r="V25" s="357" t="s">
        <v>61</v>
      </c>
      <c r="W25" s="357"/>
      <c r="X25" s="396">
        <f>IF('3386'!K$84=1,'3386'!G25,0)</f>
        <v>0</v>
      </c>
      <c r="Y25" s="396"/>
      <c r="Z25" s="397">
        <v>1</v>
      </c>
      <c r="AA25" s="397"/>
      <c r="AB25" s="54">
        <f t="shared" si="0"/>
        <v>0</v>
      </c>
      <c r="AC25" s="55">
        <f t="shared" si="1"/>
        <v>0</v>
      </c>
      <c r="AD25" s="9"/>
    </row>
    <row r="26" spans="1:30" ht="20.25" customHeight="1" thickBot="1" x14ac:dyDescent="0.35">
      <c r="B26" s="61" t="s">
        <v>62</v>
      </c>
      <c r="C26" s="61"/>
      <c r="D26" s="62">
        <f t="shared" ref="D26:E26" si="5">SUM(D10:D25)</f>
        <v>100.52</v>
      </c>
      <c r="E26" s="62">
        <f t="shared" si="5"/>
        <v>0</v>
      </c>
      <c r="F26" s="62"/>
      <c r="G26" s="62">
        <f>SUM(G10:G25)</f>
        <v>201.04</v>
      </c>
      <c r="H26" s="63"/>
      <c r="I26" s="63"/>
      <c r="J26" s="64"/>
      <c r="K26" s="65">
        <f>SUM(K10:K25)</f>
        <v>221.9579</v>
      </c>
      <c r="L26" s="66">
        <f>SUM(L10:L25)</f>
        <v>860004</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1.5</v>
      </c>
      <c r="E34" s="13">
        <v>0</v>
      </c>
      <c r="F34" s="89">
        <v>0.5</v>
      </c>
      <c r="G34" s="46">
        <f t="shared" si="7"/>
        <v>3</v>
      </c>
      <c r="H34" s="79"/>
      <c r="I34" s="90" t="s">
        <v>78</v>
      </c>
      <c r="J34" s="51">
        <v>251</v>
      </c>
      <c r="K34" s="81">
        <v>835</v>
      </c>
      <c r="L34" s="82">
        <f t="shared" si="8"/>
        <v>2505</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1</v>
      </c>
      <c r="E35" s="13">
        <v>0</v>
      </c>
      <c r="F35" s="89">
        <v>1</v>
      </c>
      <c r="G35" s="46">
        <f t="shared" si="7"/>
        <v>2</v>
      </c>
      <c r="H35" s="79"/>
      <c r="I35" s="90" t="s">
        <v>78</v>
      </c>
      <c r="J35" s="51">
        <v>252</v>
      </c>
      <c r="K35" s="81">
        <v>3168</v>
      </c>
      <c r="L35" s="82">
        <f t="shared" si="8"/>
        <v>6336</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2.5</v>
      </c>
      <c r="E37" s="62">
        <f t="shared" si="10"/>
        <v>0</v>
      </c>
      <c r="F37" s="62"/>
      <c r="G37" s="62">
        <f>SUM(G28:G36)</f>
        <v>5</v>
      </c>
      <c r="H37" s="63"/>
      <c r="I37" s="13" t="s">
        <v>82</v>
      </c>
      <c r="J37" s="13"/>
      <c r="K37" s="13"/>
      <c r="L37" s="50">
        <f>SUM(L28:L36)</f>
        <v>8841</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38600</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907445</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221.9579</v>
      </c>
      <c r="D49" s="121"/>
      <c r="E49" s="121"/>
      <c r="F49" s="121"/>
      <c r="G49" s="122">
        <f>K7</f>
        <v>1.0326</v>
      </c>
      <c r="H49" s="122"/>
      <c r="I49" s="123">
        <v>900.39</v>
      </c>
      <c r="J49" s="124" t="s">
        <v>97</v>
      </c>
      <c r="K49" s="125">
        <f>ROUND(C49*G49*I49,0)</f>
        <v>206364</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221.9579</v>
      </c>
      <c r="D50" s="144"/>
      <c r="E50" s="145"/>
      <c r="F50" s="145"/>
      <c r="G50" s="146" t="s">
        <v>99</v>
      </c>
      <c r="H50" s="146"/>
      <c r="I50" s="146"/>
      <c r="J50" s="146"/>
      <c r="K50" s="146"/>
      <c r="L50" s="50">
        <f>IF(B2=75,0,K49+K48+K47)</f>
        <v>206364</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221.9579</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1.1490000000000001E-3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201.04</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1.121E-3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1.1490000000000001E-3</v>
      </c>
      <c r="L59" s="50">
        <f>ROUND(I59*K59,0)</f>
        <v>4737</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1.1490000000000001E-3</v>
      </c>
      <c r="L67" s="50">
        <f>ROUND(I67*K67,0)</f>
        <v>111194</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1.121E-3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1.1490000000000001E-3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1.1490000000000001E-3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1.121E-3</v>
      </c>
      <c r="L72" s="50">
        <f>ROUND(I72*K72,0)</f>
        <v>15825</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125</v>
      </c>
      <c r="AA74" s="171" t="s">
        <v>129</v>
      </c>
      <c r="AB74" s="172">
        <f>+K75</f>
        <v>360</v>
      </c>
      <c r="AC74" s="55">
        <f>ROUND(AB74*Z74,0)</f>
        <v>45000</v>
      </c>
      <c r="AD74" s="9"/>
    </row>
    <row r="75" spans="1:30" ht="19.5" customHeight="1" x14ac:dyDescent="0.3">
      <c r="A75" s="1" t="s">
        <v>130</v>
      </c>
      <c r="B75" s="173" t="s">
        <v>127</v>
      </c>
      <c r="C75" s="174" t="s">
        <v>128</v>
      </c>
      <c r="D75" s="173">
        <v>125</v>
      </c>
      <c r="E75" s="173">
        <v>0</v>
      </c>
      <c r="F75" s="173">
        <v>0</v>
      </c>
      <c r="G75" s="175">
        <f>IF(E75=0,D75,E75)</f>
        <v>125</v>
      </c>
      <c r="H75" s="176"/>
      <c r="I75" s="177">
        <f>AVERAGE(G75,D75)</f>
        <v>125</v>
      </c>
      <c r="J75" s="178" t="s">
        <v>129</v>
      </c>
      <c r="K75" s="179">
        <v>360</v>
      </c>
      <c r="L75" s="50">
        <f>ROUND(K75*I75,0)</f>
        <v>45000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1.1490000000000001E-3</v>
      </c>
      <c r="L77" s="50">
        <f>ROUND(I77*K77,0)</f>
        <v>37593</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1.1490000000000001E-3</v>
      </c>
      <c r="L78" s="50">
        <f>ROUND(I78*K78,0)</f>
        <v>768</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45000</v>
      </c>
      <c r="AD81" s="195"/>
    </row>
    <row r="82" spans="1:30" ht="22.5" customHeight="1" thickTop="1" thickBot="1" x14ac:dyDescent="0.35">
      <c r="B82" s="13" t="s">
        <v>141</v>
      </c>
      <c r="C82" s="13"/>
      <c r="D82" s="13"/>
      <c r="E82" s="13"/>
      <c r="F82" s="13"/>
      <c r="G82" s="13"/>
      <c r="H82" s="13"/>
      <c r="I82" s="13"/>
      <c r="J82" s="13"/>
      <c r="K82" s="13"/>
      <c r="L82" s="196">
        <f>SUM(L44:L81)</f>
        <v>1328926</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'3386'!AC81</f>
        <v>45000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1328926</v>
      </c>
      <c r="L86" s="82">
        <f>IF(G26=0,0,IF(G26&gt;250,-(((250/G26)*K86)*IF(M86="H",0.02,0.05)),IF(M86="H",-0.02*K86,-0.05*K86)))</f>
        <v>-66446.3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1262479.7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621430</v>
      </c>
      <c r="G89" s="13"/>
      <c r="H89" s="13"/>
      <c r="I89" s="13"/>
      <c r="J89" s="13"/>
      <c r="K89" s="206"/>
      <c r="L89" s="82">
        <v>-835114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427365.69999999995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106841.42499999999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271</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272</v>
      </c>
      <c r="C123" s="219" t="s">
        <v>200</v>
      </c>
    </row>
    <row r="124" spans="2:3" ht="15.5" hidden="1" x14ac:dyDescent="0.35">
      <c r="B124" s="223" t="s">
        <v>273</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41646.469212962998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'3391'!B2</f>
        <v>50</v>
      </c>
      <c r="W2" s="413" t="s">
        <v>4</v>
      </c>
      <c r="X2" s="414"/>
      <c r="Y2" s="415"/>
      <c r="Z2" s="415"/>
      <c r="AA2" s="415"/>
      <c r="AB2" s="415"/>
      <c r="AC2" s="415"/>
      <c r="AD2" s="9"/>
    </row>
    <row r="3" spans="1:30" ht="20" x14ac:dyDescent="0.4">
      <c r="B3" s="10" t="str">
        <f>"Revenue Estimate Worksheet for "&amp;B124</f>
        <v>Revenue Estimate Worksheet for Seagull Acad-Independent Chart</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'3391'!G7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IF('3391'!K$84=1,'3391'!G10,0)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IF('3391'!K$84=1,'3391'!G11,0)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IF('3391'!K$84=1,'3391'!G12,0)</f>
        <v>0</v>
      </c>
      <c r="Y12" s="396"/>
      <c r="Z12" s="397">
        <v>1</v>
      </c>
      <c r="AA12" s="397"/>
      <c r="AB12" s="54">
        <f t="shared" si="0"/>
        <v>0</v>
      </c>
      <c r="AC12" s="55">
        <f t="shared" si="1"/>
        <v>0</v>
      </c>
      <c r="AD12" s="9"/>
    </row>
    <row r="13" spans="1:30" x14ac:dyDescent="0.3">
      <c r="A13" s="1" t="s">
        <v>34</v>
      </c>
      <c r="B13" s="13" t="s">
        <v>35</v>
      </c>
      <c r="C13" s="13"/>
      <c r="D13" s="13">
        <v>4</v>
      </c>
      <c r="E13" s="13">
        <v>0</v>
      </c>
      <c r="F13" s="13">
        <v>4.9000000000000004</v>
      </c>
      <c r="G13" s="46">
        <f t="shared" si="2"/>
        <v>8</v>
      </c>
      <c r="H13" s="47"/>
      <c r="I13" s="56">
        <f>I12</f>
        <v>1</v>
      </c>
      <c r="J13" s="56"/>
      <c r="K13" s="49">
        <f t="shared" si="3"/>
        <v>8</v>
      </c>
      <c r="L13" s="50">
        <f t="shared" si="4"/>
        <v>30997</v>
      </c>
      <c r="M13" s="1" t="str">
        <f>IF(ROUND(G13,2)=ROUND(SUM(G31:G33),2)," ","CHECK 2. PK-3 Lines Below")</f>
        <v xml:space="preserve"> </v>
      </c>
      <c r="N13" s="51">
        <v>5102</v>
      </c>
      <c r="O13" s="57" t="s">
        <v>36</v>
      </c>
      <c r="Q13" s="53"/>
      <c r="V13" s="357" t="s">
        <v>35</v>
      </c>
      <c r="W13" s="357"/>
      <c r="X13" s="396">
        <f>IF('3391'!K$84=1,'3391'!G13,0)</f>
        <v>8</v>
      </c>
      <c r="Y13" s="396"/>
      <c r="Z13" s="397">
        <v>1</v>
      </c>
      <c r="AA13" s="397"/>
      <c r="AB13" s="54">
        <f t="shared" si="0"/>
        <v>8</v>
      </c>
      <c r="AC13" s="55">
        <f t="shared" si="1"/>
        <v>30997</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IF('3391'!K$84=1,'3391'!G14,0)</f>
        <v>0</v>
      </c>
      <c r="Y14" s="396"/>
      <c r="Z14" s="397">
        <v>1</v>
      </c>
      <c r="AA14" s="397"/>
      <c r="AB14" s="54">
        <f t="shared" si="0"/>
        <v>0</v>
      </c>
      <c r="AC14" s="55">
        <f t="shared" si="1"/>
        <v>0</v>
      </c>
      <c r="AD14" s="9"/>
    </row>
    <row r="15" spans="1:30" x14ac:dyDescent="0.3">
      <c r="A15" s="1" t="s">
        <v>39</v>
      </c>
      <c r="B15" s="13" t="s">
        <v>40</v>
      </c>
      <c r="C15" s="13"/>
      <c r="D15" s="13">
        <v>27</v>
      </c>
      <c r="E15" s="13">
        <v>0</v>
      </c>
      <c r="F15" s="13">
        <v>34.32</v>
      </c>
      <c r="G15" s="46">
        <f t="shared" si="2"/>
        <v>54</v>
      </c>
      <c r="H15" s="47"/>
      <c r="I15" s="56">
        <f>I14</f>
        <v>1.0109999999999999</v>
      </c>
      <c r="J15" s="56"/>
      <c r="K15" s="49">
        <f t="shared" si="3"/>
        <v>54.594000000000001</v>
      </c>
      <c r="L15" s="58">
        <f t="shared" si="4"/>
        <v>211531</v>
      </c>
      <c r="M15" s="1" t="str">
        <f>IF(ROUND(G15,2)=ROUND(SUM(G34:G36),2)," ","CHECK 2. PK-3 Lines Below")</f>
        <v xml:space="preserve"> </v>
      </c>
      <c r="N15" s="51">
        <v>5103</v>
      </c>
      <c r="O15" s="57" t="s">
        <v>41</v>
      </c>
      <c r="Q15" s="53"/>
      <c r="V15" s="357" t="s">
        <v>40</v>
      </c>
      <c r="W15" s="357"/>
      <c r="X15" s="396">
        <f>IF('3391'!K$84=1,'3391'!G15,0)</f>
        <v>54</v>
      </c>
      <c r="Y15" s="396"/>
      <c r="Z15" s="397">
        <v>1</v>
      </c>
      <c r="AA15" s="397"/>
      <c r="AB15" s="54">
        <f t="shared" si="0"/>
        <v>54</v>
      </c>
      <c r="AC15" s="59">
        <f t="shared" si="1"/>
        <v>209230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IF('3391'!K$84=1,'3391'!G16,0)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IF('3391'!K$84=1,'3391'!G17,0)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IF('3391'!K$84=1,'3391'!G18,0)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IF('3391'!K$84=1,'3391'!G19,0)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IF('3391'!K$84=1,'3391'!G20,0)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IF('3391'!K$84=1,'3391'!G21,0)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IF('3391'!K$84=1,'3391'!G22,0)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IF('3391'!K$84=1,'3391'!G23,0)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IF('3391'!K$84=1,'3391'!G24,0)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IF('3391'!K$84=1,'3391'!G25,0)</f>
        <v>0</v>
      </c>
      <c r="Y25" s="396"/>
      <c r="Z25" s="397">
        <v>1</v>
      </c>
      <c r="AA25" s="397"/>
      <c r="AB25" s="54">
        <f t="shared" si="0"/>
        <v>0</v>
      </c>
      <c r="AC25" s="55">
        <f t="shared" si="1"/>
        <v>0</v>
      </c>
      <c r="AD25" s="9"/>
    </row>
    <row r="26" spans="1:30" ht="20.25" customHeight="1" thickBot="1" x14ac:dyDescent="0.35">
      <c r="B26" s="61" t="s">
        <v>62</v>
      </c>
      <c r="C26" s="61"/>
      <c r="D26" s="62">
        <f t="shared" ref="D26:E26" si="5">SUM(D10:D25)</f>
        <v>31</v>
      </c>
      <c r="E26" s="62">
        <f t="shared" si="5"/>
        <v>0</v>
      </c>
      <c r="F26" s="62"/>
      <c r="G26" s="62">
        <f>SUM(G10:G25)</f>
        <v>62</v>
      </c>
      <c r="H26" s="63"/>
      <c r="I26" s="63"/>
      <c r="J26" s="64"/>
      <c r="K26" s="65">
        <f>SUM(K10:K25)</f>
        <v>62.594000000000001</v>
      </c>
      <c r="L26" s="66">
        <f>SUM(L10:L25)</f>
        <v>242528</v>
      </c>
      <c r="N26" s="53"/>
      <c r="O26" s="67"/>
      <c r="P26" s="53"/>
      <c r="Q26" s="53"/>
      <c r="V26" s="398" t="s">
        <v>62</v>
      </c>
      <c r="W26" s="398"/>
      <c r="X26" s="387">
        <f>SUM(X10:X25)</f>
        <v>62</v>
      </c>
      <c r="Y26" s="387"/>
      <c r="Z26" s="399"/>
      <c r="AA26" s="400"/>
      <c r="AB26" s="68">
        <f>SUM(AB10:AB25)</f>
        <v>62</v>
      </c>
      <c r="AC26" s="69">
        <f>SUM(AC10:AC25)</f>
        <v>240227</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0.5</v>
      </c>
      <c r="E32" s="13">
        <v>0</v>
      </c>
      <c r="F32" s="89">
        <v>0.5</v>
      </c>
      <c r="G32" s="46">
        <f t="shared" si="7"/>
        <v>1</v>
      </c>
      <c r="H32" s="79"/>
      <c r="I32" s="90" t="s">
        <v>74</v>
      </c>
      <c r="J32" s="51">
        <v>252</v>
      </c>
      <c r="K32" s="81">
        <v>3506</v>
      </c>
      <c r="L32" s="82">
        <f t="shared" si="8"/>
        <v>3506</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3.5</v>
      </c>
      <c r="E33" s="13">
        <v>0</v>
      </c>
      <c r="F33" s="89">
        <v>3.5</v>
      </c>
      <c r="G33" s="46">
        <f t="shared" si="7"/>
        <v>7</v>
      </c>
      <c r="H33" s="79"/>
      <c r="I33" s="90" t="s">
        <v>74</v>
      </c>
      <c r="J33" s="51">
        <v>253</v>
      </c>
      <c r="K33" s="81">
        <v>7023</v>
      </c>
      <c r="L33" s="82">
        <f t="shared" si="8"/>
        <v>49161</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8</v>
      </c>
      <c r="E34" s="13">
        <v>0</v>
      </c>
      <c r="F34" s="89">
        <v>8</v>
      </c>
      <c r="G34" s="46">
        <f t="shared" si="7"/>
        <v>16</v>
      </c>
      <c r="H34" s="79"/>
      <c r="I34" s="90" t="s">
        <v>78</v>
      </c>
      <c r="J34" s="51">
        <v>251</v>
      </c>
      <c r="K34" s="81">
        <v>835</v>
      </c>
      <c r="L34" s="82">
        <f t="shared" si="8"/>
        <v>13360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6</v>
      </c>
      <c r="E35" s="13">
        <v>0</v>
      </c>
      <c r="F35" s="89">
        <v>6.5</v>
      </c>
      <c r="G35" s="46">
        <f t="shared" si="7"/>
        <v>12</v>
      </c>
      <c r="H35" s="79"/>
      <c r="I35" s="90" t="s">
        <v>78</v>
      </c>
      <c r="J35" s="51">
        <v>252</v>
      </c>
      <c r="K35" s="81">
        <v>3168</v>
      </c>
      <c r="L35" s="82">
        <f t="shared" si="8"/>
        <v>38016</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13</v>
      </c>
      <c r="E36" s="13">
        <v>0</v>
      </c>
      <c r="F36" s="89">
        <v>13</v>
      </c>
      <c r="G36" s="46">
        <f t="shared" si="7"/>
        <v>26</v>
      </c>
      <c r="H36" s="79"/>
      <c r="I36" s="90" t="s">
        <v>78</v>
      </c>
      <c r="J36" s="51">
        <v>253</v>
      </c>
      <c r="K36" s="81">
        <v>6685</v>
      </c>
      <c r="L36" s="93">
        <f t="shared" si="8"/>
        <v>173810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31</v>
      </c>
      <c r="E37" s="62">
        <f t="shared" si="10"/>
        <v>0</v>
      </c>
      <c r="F37" s="62"/>
      <c r="G37" s="62">
        <f>SUM(G28:G36)</f>
        <v>62</v>
      </c>
      <c r="H37" s="63"/>
      <c r="I37" s="13" t="s">
        <v>82</v>
      </c>
      <c r="J37" s="13"/>
      <c r="K37" s="13"/>
      <c r="L37" s="50">
        <f>SUM(L28:L36)</f>
        <v>277853</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11904</v>
      </c>
      <c r="N40" s="103"/>
      <c r="O40" s="103"/>
      <c r="P40" s="103"/>
      <c r="Q40" s="103"/>
      <c r="V40" s="382" t="s">
        <v>86</v>
      </c>
      <c r="W40" s="382"/>
      <c r="X40" s="383">
        <f>+G40</f>
        <v>179393.64</v>
      </c>
      <c r="Y40" s="383"/>
      <c r="Z40" s="383"/>
      <c r="AA40" s="383"/>
      <c r="AB40" s="55">
        <f>ROUND(X39/X40,0)</f>
        <v>192</v>
      </c>
      <c r="AC40" s="55">
        <f>ROUND(AB40*$X$26,0)</f>
        <v>11904</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532285</v>
      </c>
      <c r="O44" s="1"/>
      <c r="V44" s="376" t="s">
        <v>90</v>
      </c>
      <c r="W44" s="376"/>
      <c r="X44" s="376"/>
      <c r="Y44" s="376"/>
      <c r="Z44" s="376"/>
      <c r="AA44" s="376"/>
      <c r="AB44" s="376"/>
      <c r="AC44" s="111">
        <f>SUM(AC26,AC37,AC40)</f>
        <v>252131</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8</v>
      </c>
      <c r="D48" s="121"/>
      <c r="E48" s="121"/>
      <c r="F48" s="121"/>
      <c r="G48" s="122">
        <f>K7</f>
        <v>1.0326</v>
      </c>
      <c r="H48" s="122"/>
      <c r="I48" s="123">
        <v>898.23</v>
      </c>
      <c r="J48" s="124" t="s">
        <v>97</v>
      </c>
      <c r="K48" s="125">
        <f>ROUND(C48*G48*I48,0)</f>
        <v>7420</v>
      </c>
      <c r="L48" s="61"/>
      <c r="O48" s="1"/>
      <c r="V48" s="133" t="s">
        <v>74</v>
      </c>
      <c r="W48" s="127">
        <f>AB12+AB13+AB17+AB20+AB23</f>
        <v>8</v>
      </c>
      <c r="X48" s="369">
        <f>AB7</f>
        <v>1.0326</v>
      </c>
      <c r="Y48" s="369"/>
      <c r="Z48" s="128">
        <f>+I48</f>
        <v>898.23</v>
      </c>
      <c r="AA48" s="129" t="s">
        <v>97</v>
      </c>
      <c r="AB48" s="130">
        <f>ROUND(W48*X48*Z48,0)</f>
        <v>7420</v>
      </c>
      <c r="AC48" s="134"/>
      <c r="AD48" s="9"/>
    </row>
    <row r="49" spans="2:30" ht="19.5" customHeight="1" thickBot="1" x14ac:dyDescent="0.4">
      <c r="B49" s="135" t="s">
        <v>78</v>
      </c>
      <c r="C49" s="136">
        <f>K14+K15+K18+K21+K24+K25</f>
        <v>54.594000000000001</v>
      </c>
      <c r="D49" s="121"/>
      <c r="E49" s="121"/>
      <c r="F49" s="121"/>
      <c r="G49" s="122">
        <f>K7</f>
        <v>1.0326</v>
      </c>
      <c r="H49" s="122"/>
      <c r="I49" s="123">
        <v>900.39</v>
      </c>
      <c r="J49" s="124" t="s">
        <v>97</v>
      </c>
      <c r="K49" s="125">
        <f>ROUND(C49*G49*I49,0)</f>
        <v>50758</v>
      </c>
      <c r="L49" s="61"/>
      <c r="M49" s="108"/>
      <c r="N49" s="137"/>
      <c r="O49" s="138"/>
      <c r="P49" s="67"/>
      <c r="Q49" s="139"/>
      <c r="V49" s="140" t="s">
        <v>78</v>
      </c>
      <c r="W49" s="141">
        <f>AB14+AB15+AB18+AB21+AB24+AB25</f>
        <v>54</v>
      </c>
      <c r="X49" s="369">
        <f>AB7</f>
        <v>1.0326</v>
      </c>
      <c r="Y49" s="369"/>
      <c r="Z49" s="128">
        <f>+I49</f>
        <v>900.39</v>
      </c>
      <c r="AA49" s="129" t="s">
        <v>97</v>
      </c>
      <c r="AB49" s="130">
        <f>ROUND(W49*X49*Z49,0)</f>
        <v>50206</v>
      </c>
      <c r="AC49" s="134"/>
      <c r="AD49" s="109"/>
    </row>
    <row r="50" spans="2:30" ht="24" customHeight="1" thickBot="1" x14ac:dyDescent="0.35">
      <c r="B50" s="142" t="s">
        <v>98</v>
      </c>
      <c r="C50" s="143">
        <f>SUM(C47:C49)</f>
        <v>62.594000000000001</v>
      </c>
      <c r="D50" s="144"/>
      <c r="E50" s="145"/>
      <c r="F50" s="145"/>
      <c r="G50" s="146" t="s">
        <v>99</v>
      </c>
      <c r="H50" s="146"/>
      <c r="I50" s="146"/>
      <c r="J50" s="146"/>
      <c r="K50" s="146"/>
      <c r="L50" s="50">
        <f>IF(B2=75,0,K49+K48+K47)</f>
        <v>58178</v>
      </c>
      <c r="N50" s="3"/>
      <c r="O50" s="1"/>
      <c r="V50" s="147" t="s">
        <v>98</v>
      </c>
      <c r="W50" s="148">
        <f>SUM(W47:W49)</f>
        <v>62</v>
      </c>
      <c r="X50" s="370" t="s">
        <v>99</v>
      </c>
      <c r="Y50" s="371"/>
      <c r="Z50" s="371"/>
      <c r="AA50" s="371"/>
      <c r="AB50" s="371"/>
      <c r="AC50" s="55">
        <f>IF(V2=75,0,AB49+AB48+AB47)</f>
        <v>57626</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62.594000000000001</v>
      </c>
      <c r="H53" s="56" t="s">
        <v>103</v>
      </c>
      <c r="I53" s="56"/>
      <c r="J53" s="152">
        <v>193142.74</v>
      </c>
      <c r="K53" s="152"/>
      <c r="L53" s="152"/>
      <c r="N53" s="3"/>
      <c r="O53" s="1"/>
      <c r="V53" s="364" t="s">
        <v>102</v>
      </c>
      <c r="W53" s="364"/>
      <c r="X53" s="153">
        <f>AB26</f>
        <v>62</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3.2400000000000001E-4</v>
      </c>
      <c r="L54" s="154"/>
      <c r="N54" s="67"/>
      <c r="O54" s="1"/>
      <c r="V54" s="364" t="s">
        <v>104</v>
      </c>
      <c r="W54" s="364"/>
      <c r="X54" s="364"/>
      <c r="Y54" s="364"/>
      <c r="Z54" s="364"/>
      <c r="AA54" s="364"/>
      <c r="AB54" s="367">
        <f>ROUND(X53/AA53,6)</f>
        <v>3.21E-4</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62</v>
      </c>
      <c r="H56" s="56" t="s">
        <v>107</v>
      </c>
      <c r="I56" s="56"/>
      <c r="J56" s="152">
        <v>179393.64</v>
      </c>
      <c r="K56" s="152"/>
      <c r="L56" s="152"/>
      <c r="O56" s="1"/>
      <c r="V56" s="364" t="s">
        <v>106</v>
      </c>
      <c r="W56" s="364"/>
      <c r="X56" s="156">
        <f>X26</f>
        <v>62</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3.4600000000000001E-4</v>
      </c>
      <c r="L57" s="154"/>
      <c r="O57" s="1"/>
      <c r="V57" s="364" t="s">
        <v>108</v>
      </c>
      <c r="W57" s="364"/>
      <c r="X57" s="364"/>
      <c r="Y57" s="364"/>
      <c r="Z57" s="364"/>
      <c r="AA57" s="364"/>
      <c r="AB57" s="367">
        <f>ROUND(X56/AA56,6)</f>
        <v>3.4600000000000001E-4</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3.21E-4</v>
      </c>
      <c r="AC58" s="55">
        <f>ROUND(Y58*AB58,0)</f>
        <v>1323</v>
      </c>
      <c r="AD58" s="9"/>
    </row>
    <row r="59" spans="2:30" x14ac:dyDescent="0.3">
      <c r="B59" s="61" t="s">
        <v>110</v>
      </c>
      <c r="C59" s="61"/>
      <c r="D59" s="61"/>
      <c r="E59" s="61"/>
      <c r="F59" s="61"/>
      <c r="G59" s="61"/>
      <c r="H59" s="160" t="s">
        <v>22</v>
      </c>
      <c r="I59" s="125">
        <f>G66+G65+G63+G62+G61</f>
        <v>4122856</v>
      </c>
      <c r="J59" s="161" t="s">
        <v>111</v>
      </c>
      <c r="K59" s="162">
        <f>K54</f>
        <v>3.2400000000000001E-4</v>
      </c>
      <c r="L59" s="50">
        <f>ROUND(I59*K59,0)</f>
        <v>1336</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3.21E-4</v>
      </c>
      <c r="AC66" s="55">
        <f>ROUND(Y66*AB66,0)</f>
        <v>31065</v>
      </c>
      <c r="AD66" s="9"/>
    </row>
    <row r="67" spans="1:30" ht="20.25" customHeight="1" x14ac:dyDescent="0.3">
      <c r="B67" s="13" t="s">
        <v>119</v>
      </c>
      <c r="C67" s="13"/>
      <c r="D67" s="13"/>
      <c r="E67" s="13"/>
      <c r="F67" s="13"/>
      <c r="H67" s="160" t="s">
        <v>25</v>
      </c>
      <c r="I67" s="125">
        <v>96774526</v>
      </c>
      <c r="J67" s="161" t="s">
        <v>111</v>
      </c>
      <c r="K67" s="162">
        <f>K54</f>
        <v>3.2400000000000001E-4</v>
      </c>
      <c r="L67" s="50">
        <f>ROUND(I67*K67,0)</f>
        <v>31355</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3.4600000000000001E-4</v>
      </c>
      <c r="AC68" s="55">
        <f>ROUND(Y68*AB68,0)</f>
        <v>0</v>
      </c>
      <c r="AD68" s="9"/>
    </row>
    <row r="69" spans="1:30" ht="15" customHeight="1" x14ac:dyDescent="0.3">
      <c r="B69" s="166" t="s">
        <v>121</v>
      </c>
      <c r="C69" s="13"/>
      <c r="D69" s="13"/>
      <c r="E69" s="13"/>
      <c r="F69" s="13"/>
      <c r="H69" s="160" t="s">
        <v>23</v>
      </c>
      <c r="I69" s="125">
        <v>0</v>
      </c>
      <c r="J69" s="161" t="s">
        <v>111</v>
      </c>
      <c r="K69" s="162">
        <f>K57</f>
        <v>3.4600000000000001E-4</v>
      </c>
      <c r="L69" s="50">
        <f>ROUND(I69*K69,0)</f>
        <v>0</v>
      </c>
      <c r="O69" s="1"/>
      <c r="V69" s="354" t="s">
        <v>122</v>
      </c>
      <c r="W69" s="354"/>
      <c r="X69" s="354"/>
      <c r="Y69" s="360">
        <f>+I70</f>
        <v>0</v>
      </c>
      <c r="Z69" s="360"/>
      <c r="AA69" s="158" t="s">
        <v>111</v>
      </c>
      <c r="AB69" s="159">
        <f>AB54</f>
        <v>3.21E-4</v>
      </c>
      <c r="AC69" s="55">
        <f>ROUND(Y69*AB69,0)</f>
        <v>0</v>
      </c>
      <c r="AD69" s="9"/>
    </row>
    <row r="70" spans="1:30" ht="20.25" customHeight="1" x14ac:dyDescent="0.3">
      <c r="B70" s="13" t="s">
        <v>122</v>
      </c>
      <c r="C70" s="13"/>
      <c r="D70" s="13"/>
      <c r="E70" s="13"/>
      <c r="F70" s="13"/>
      <c r="H70" s="160" t="s">
        <v>22</v>
      </c>
      <c r="I70" s="125">
        <v>0</v>
      </c>
      <c r="J70" s="161" t="s">
        <v>111</v>
      </c>
      <c r="K70" s="162">
        <f>K54</f>
        <v>3.2400000000000001E-4</v>
      </c>
      <c r="L70" s="50">
        <f>ROUND(I70*K70,0)</f>
        <v>0</v>
      </c>
      <c r="O70" s="1"/>
      <c r="V70" s="354" t="s">
        <v>123</v>
      </c>
      <c r="W70" s="354"/>
      <c r="X70" s="354"/>
      <c r="Y70" s="356">
        <f>+I71</f>
        <v>0</v>
      </c>
      <c r="Z70" s="356"/>
      <c r="AA70" s="158" t="s">
        <v>111</v>
      </c>
      <c r="AB70" s="159">
        <f>AB54</f>
        <v>3.21E-4</v>
      </c>
      <c r="AC70" s="55">
        <f>ROUND(Y70*AB70,0)</f>
        <v>0</v>
      </c>
      <c r="AD70" s="9"/>
    </row>
    <row r="71" spans="1:30" ht="20.25" customHeight="1" x14ac:dyDescent="0.3">
      <c r="B71" s="13" t="s">
        <v>123</v>
      </c>
      <c r="C71" s="13"/>
      <c r="D71" s="13"/>
      <c r="E71" s="13"/>
      <c r="F71" s="13"/>
      <c r="H71" s="160" t="s">
        <v>22</v>
      </c>
      <c r="I71" s="125">
        <v>0</v>
      </c>
      <c r="J71" s="161" t="s">
        <v>111</v>
      </c>
      <c r="K71" s="162">
        <f>K54</f>
        <v>3.2400000000000001E-4</v>
      </c>
      <c r="L71" s="50">
        <f>ROUND(I71*K71,0)</f>
        <v>0</v>
      </c>
      <c r="O71" s="1"/>
      <c r="V71" s="354" t="s">
        <v>124</v>
      </c>
      <c r="W71" s="354"/>
      <c r="X71" s="354"/>
      <c r="Y71" s="356">
        <f>+I72</f>
        <v>14117224</v>
      </c>
      <c r="Z71" s="356"/>
      <c r="AA71" s="158" t="s">
        <v>111</v>
      </c>
      <c r="AB71" s="159">
        <f>AB57</f>
        <v>3.4600000000000001E-4</v>
      </c>
      <c r="AC71" s="55">
        <f>ROUND(Y71*AB71,0)</f>
        <v>4885</v>
      </c>
      <c r="AD71" s="9"/>
    </row>
    <row r="72" spans="1:30" ht="21" customHeight="1" x14ac:dyDescent="0.35">
      <c r="B72" s="13" t="s">
        <v>124</v>
      </c>
      <c r="C72" s="13"/>
      <c r="D72" s="13"/>
      <c r="E72" s="13"/>
      <c r="F72" s="13"/>
      <c r="H72" s="160" t="s">
        <v>23</v>
      </c>
      <c r="I72" s="125">
        <v>14117224</v>
      </c>
      <c r="J72" s="161" t="s">
        <v>111</v>
      </c>
      <c r="K72" s="162">
        <f>K57</f>
        <v>3.4600000000000001E-4</v>
      </c>
      <c r="L72" s="50">
        <f>ROUND(I72*K72,0)</f>
        <v>4885</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42</v>
      </c>
      <c r="AA74" s="171" t="s">
        <v>129</v>
      </c>
      <c r="AB74" s="172">
        <f>+K75</f>
        <v>360</v>
      </c>
      <c r="AC74" s="55">
        <f>ROUND(AB74*Z74,0)</f>
        <v>15120</v>
      </c>
      <c r="AD74" s="9"/>
    </row>
    <row r="75" spans="1:30" ht="19.5" customHeight="1" x14ac:dyDescent="0.3">
      <c r="A75" s="1" t="s">
        <v>130</v>
      </c>
      <c r="B75" s="173" t="s">
        <v>127</v>
      </c>
      <c r="C75" s="174" t="s">
        <v>128</v>
      </c>
      <c r="D75" s="173">
        <v>42</v>
      </c>
      <c r="E75" s="173">
        <v>0</v>
      </c>
      <c r="F75" s="173">
        <v>0</v>
      </c>
      <c r="G75" s="175">
        <f>IF(E75=0,D75,E75)</f>
        <v>42</v>
      </c>
      <c r="H75" s="176"/>
      <c r="I75" s="177">
        <f>AVERAGE(G75,D75)</f>
        <v>42</v>
      </c>
      <c r="J75" s="178" t="s">
        <v>129</v>
      </c>
      <c r="K75" s="179">
        <v>360</v>
      </c>
      <c r="L75" s="50">
        <f>ROUND(K75*I75,0)</f>
        <v>15120</v>
      </c>
      <c r="N75" s="1">
        <v>7802</v>
      </c>
      <c r="O75" s="1">
        <v>0</v>
      </c>
      <c r="V75" s="358" t="s">
        <v>127</v>
      </c>
      <c r="W75" s="358"/>
      <c r="X75" s="168" t="s">
        <v>131</v>
      </c>
      <c r="Y75" s="180"/>
      <c r="Z75" s="181">
        <f>+I76</f>
        <v>4</v>
      </c>
      <c r="AA75" s="171" t="s">
        <v>129</v>
      </c>
      <c r="AB75" s="182">
        <f>+K76</f>
        <v>1355</v>
      </c>
      <c r="AC75" s="55">
        <f>ROUND(AB75*Z75,0)</f>
        <v>5420</v>
      </c>
      <c r="AD75" s="9"/>
    </row>
    <row r="76" spans="1:30" ht="19.5" customHeight="1" x14ac:dyDescent="0.3">
      <c r="A76" s="1" t="s">
        <v>132</v>
      </c>
      <c r="B76" s="173" t="s">
        <v>127</v>
      </c>
      <c r="C76" s="174" t="s">
        <v>131</v>
      </c>
      <c r="D76" s="173">
        <v>4</v>
      </c>
      <c r="E76" s="173">
        <v>0</v>
      </c>
      <c r="F76" s="173">
        <v>0</v>
      </c>
      <c r="G76" s="175">
        <f>IF(E76=0,D76,E76)</f>
        <v>4</v>
      </c>
      <c r="H76" s="176"/>
      <c r="I76" s="177">
        <f>AVERAGE(G76,D76)</f>
        <v>4</v>
      </c>
      <c r="J76" s="178" t="s">
        <v>129</v>
      </c>
      <c r="K76" s="183">
        <v>1355</v>
      </c>
      <c r="L76" s="50">
        <f>ROUND(K76*I76,0)</f>
        <v>5420</v>
      </c>
      <c r="N76" s="1">
        <v>7802</v>
      </c>
      <c r="O76" s="1">
        <v>110</v>
      </c>
      <c r="V76" s="354" t="s">
        <v>133</v>
      </c>
      <c r="W76" s="354"/>
      <c r="X76" s="354"/>
      <c r="Y76" s="355">
        <f>+I77</f>
        <v>32718286</v>
      </c>
      <c r="Z76" s="355"/>
      <c r="AA76" s="171" t="s">
        <v>129</v>
      </c>
      <c r="AB76" s="159">
        <f>AB54</f>
        <v>3.21E-4</v>
      </c>
      <c r="AC76" s="55">
        <f>ROUND(Y76*AB76,0)</f>
        <v>10503</v>
      </c>
      <c r="AD76" s="9"/>
    </row>
    <row r="77" spans="1:30" ht="26.25" customHeight="1" x14ac:dyDescent="0.3">
      <c r="B77" s="13" t="s">
        <v>133</v>
      </c>
      <c r="C77" s="13"/>
      <c r="D77" s="13"/>
      <c r="E77" s="13"/>
      <c r="F77" s="13"/>
      <c r="H77" s="160" t="s">
        <v>134</v>
      </c>
      <c r="I77" s="184">
        <v>32718286</v>
      </c>
      <c r="J77" s="161" t="s">
        <v>111</v>
      </c>
      <c r="K77" s="162">
        <f>K54</f>
        <v>3.2400000000000001E-4</v>
      </c>
      <c r="L77" s="50">
        <f>ROUND(I77*K77,0)</f>
        <v>10601</v>
      </c>
      <c r="O77" s="1"/>
      <c r="V77" s="354" t="str">
        <f>+B78</f>
        <v>15.  Additional Allocation (WFTE share)</v>
      </c>
      <c r="W77" s="354"/>
      <c r="X77" s="354"/>
      <c r="Y77" s="355">
        <f>+I78</f>
        <v>668680</v>
      </c>
      <c r="Z77" s="355"/>
      <c r="AA77" s="171" t="s">
        <v>129</v>
      </c>
      <c r="AB77" s="159">
        <f>AB54</f>
        <v>3.21E-4</v>
      </c>
      <c r="AC77" s="55">
        <f>ROUND(Y77*AB77,0)</f>
        <v>215</v>
      </c>
      <c r="AD77" s="9"/>
    </row>
    <row r="78" spans="1:30" ht="26.25" customHeight="1" x14ac:dyDescent="0.3">
      <c r="B78" s="353" t="s">
        <v>135</v>
      </c>
      <c r="C78" s="353"/>
      <c r="D78" s="353"/>
      <c r="E78" s="13"/>
      <c r="F78" s="13"/>
      <c r="H78" s="160" t="s">
        <v>136</v>
      </c>
      <c r="I78" s="185">
        <v>668680</v>
      </c>
      <c r="J78" s="161" t="s">
        <v>111</v>
      </c>
      <c r="K78" s="162">
        <f>K54</f>
        <v>3.2400000000000001E-4</v>
      </c>
      <c r="L78" s="50">
        <f>ROUND(I78*K78,0)</f>
        <v>217</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378288</v>
      </c>
      <c r="AD81" s="195"/>
    </row>
    <row r="82" spans="1:30" ht="22.5" customHeight="1" thickTop="1" thickBot="1" x14ac:dyDescent="0.35">
      <c r="B82" s="13" t="s">
        <v>141</v>
      </c>
      <c r="C82" s="13"/>
      <c r="D82" s="13"/>
      <c r="E82" s="13"/>
      <c r="F82" s="13"/>
      <c r="G82" s="13"/>
      <c r="H82" s="13"/>
      <c r="I82" s="13"/>
      <c r="J82" s="13"/>
      <c r="K82" s="13"/>
      <c r="L82" s="196">
        <f>SUM(L44:L81)</f>
        <v>659397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'3391'!AC81</f>
        <v>378288</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378288</v>
      </c>
      <c r="L86" s="82">
        <f>IF(G26=0,0,IF(G26&gt;250,-(((250/G26)*K86)*IF(M86="H",0.02,0.05)),IF(M86="H",-0.02*K86,-0.05*K86)))</f>
        <v>-18914.400000000001</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640482.6</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321152</v>
      </c>
      <c r="G89" s="13"/>
      <c r="H89" s="13"/>
      <c r="I89" s="13"/>
      <c r="J89" s="13"/>
      <c r="K89" s="206"/>
      <c r="L89" s="82">
        <v>-427413</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213069.59999999998</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53267.399999999994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274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275</v>
      </c>
      <c r="C123" s="219" t="s">
        <v>200</v>
      </c>
    </row>
    <row r="124" spans="2:3" ht="15.5" hidden="1" x14ac:dyDescent="0.35">
      <c r="B124" s="223" t="s">
        <v>276</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41646.469224537002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D151"/>
  <sheetViews>
    <sheetView topLeftCell="B74" zoomScale="90" zoomScaleNormal="90" workbookViewId="0">
      <selection activeCell="L92" sqref="L92"/>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'3392'!B2</f>
        <v>50</v>
      </c>
      <c r="W2" s="413" t="s">
        <v>4</v>
      </c>
      <c r="X2" s="414"/>
      <c r="Y2" s="415"/>
      <c r="Z2" s="415"/>
      <c r="AA2" s="415"/>
      <c r="AB2" s="415"/>
      <c r="AC2" s="415"/>
      <c r="AD2" s="9"/>
    </row>
    <row r="3" spans="1:30" ht="20" x14ac:dyDescent="0.4">
      <c r="B3" s="10" t="str">
        <f>"Revenue Estimate Worksheet for "&amp;B124</f>
        <v>Revenue Estimate Worksheet for Charter Sch of Boynton Beach</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'3392'!G7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105.36</v>
      </c>
      <c r="E10" s="45">
        <v>0</v>
      </c>
      <c r="F10" s="45">
        <v>129.59</v>
      </c>
      <c r="G10" s="46">
        <f>IF(E10=0,D10*2,D10+E10)</f>
        <v>210.72</v>
      </c>
      <c r="H10" s="47"/>
      <c r="I10" s="48">
        <v>1.125</v>
      </c>
      <c r="J10" s="48"/>
      <c r="K10" s="49">
        <f>ROUND(G10*I10,4)</f>
        <v>237.06</v>
      </c>
      <c r="L10" s="50">
        <f>ROUND(ROUND(K10*$G$7,4)*($K$7),0)</f>
        <v>918519</v>
      </c>
      <c r="N10" s="51">
        <v>5101</v>
      </c>
      <c r="O10" s="52">
        <v>101</v>
      </c>
      <c r="Q10" s="53"/>
      <c r="V10" s="404" t="s">
        <v>28</v>
      </c>
      <c r="W10" s="404"/>
      <c r="X10" s="396">
        <f>IF('3392'!K$84=1,'3392'!G10,0)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12</v>
      </c>
      <c r="E11" s="13">
        <v>0</v>
      </c>
      <c r="F11" s="13">
        <v>19.62</v>
      </c>
      <c r="G11" s="46">
        <f t="shared" ref="G11:G25" si="2">IF(E11=0,D11*2,D11+E11)</f>
        <v>24</v>
      </c>
      <c r="H11" s="47"/>
      <c r="I11" s="56">
        <f>I10</f>
        <v>1.125</v>
      </c>
      <c r="J11" s="56"/>
      <c r="K11" s="49">
        <f t="shared" ref="K11:K25" si="3">ROUND(G11*I11,4)</f>
        <v>27</v>
      </c>
      <c r="L11" s="50">
        <f t="shared" ref="L11:L25" si="4">ROUND(ROUND(K11*$G$7,4)*($K$7),0)</f>
        <v>104615</v>
      </c>
      <c r="M11" s="1" t="str">
        <f>IF(ROUND(G11,2)=ROUND(SUM(G28:G30),2)," ","CHECK 2. PK-3 Lines Below")</f>
        <v xml:space="preserve"> </v>
      </c>
      <c r="N11" s="51">
        <v>5101</v>
      </c>
      <c r="O11" s="57" t="s">
        <v>31</v>
      </c>
      <c r="Q11" s="53"/>
      <c r="V11" s="357" t="s">
        <v>30</v>
      </c>
      <c r="W11" s="357"/>
      <c r="X11" s="396">
        <f>IF('3392'!K$84=1,'3392'!G11,0)</f>
        <v>0</v>
      </c>
      <c r="Y11" s="396"/>
      <c r="Z11" s="397">
        <v>1</v>
      </c>
      <c r="AA11" s="397"/>
      <c r="AB11" s="54">
        <f t="shared" si="0"/>
        <v>0</v>
      </c>
      <c r="AC11" s="55">
        <f t="shared" si="1"/>
        <v>0</v>
      </c>
      <c r="AD11" s="9"/>
    </row>
    <row r="12" spans="1:30" x14ac:dyDescent="0.3">
      <c r="A12" s="1" t="s">
        <v>32</v>
      </c>
      <c r="B12" s="13" t="s">
        <v>33</v>
      </c>
      <c r="C12" s="13"/>
      <c r="D12" s="13">
        <v>124.97</v>
      </c>
      <c r="E12" s="13">
        <v>0</v>
      </c>
      <c r="F12" s="13">
        <v>152.41</v>
      </c>
      <c r="G12" s="46">
        <f t="shared" si="2"/>
        <v>249.94</v>
      </c>
      <c r="H12" s="47"/>
      <c r="I12" s="56">
        <v>1</v>
      </c>
      <c r="J12" s="56"/>
      <c r="K12" s="49">
        <f t="shared" si="3"/>
        <v>249.94</v>
      </c>
      <c r="L12" s="50">
        <f t="shared" si="4"/>
        <v>968424</v>
      </c>
      <c r="N12" s="51">
        <v>5102</v>
      </c>
      <c r="O12" s="52">
        <v>102</v>
      </c>
      <c r="Q12" s="53"/>
      <c r="V12" s="357" t="s">
        <v>33</v>
      </c>
      <c r="W12" s="357"/>
      <c r="X12" s="396">
        <f>IF('3392'!K$84=1,'3392'!G12,0)</f>
        <v>0</v>
      </c>
      <c r="Y12" s="396"/>
      <c r="Z12" s="397">
        <v>1</v>
      </c>
      <c r="AA12" s="397"/>
      <c r="AB12" s="54">
        <f t="shared" si="0"/>
        <v>0</v>
      </c>
      <c r="AC12" s="55">
        <f t="shared" si="1"/>
        <v>0</v>
      </c>
      <c r="AD12" s="9"/>
    </row>
    <row r="13" spans="1:30" x14ac:dyDescent="0.3">
      <c r="A13" s="1" t="s">
        <v>34</v>
      </c>
      <c r="B13" s="13" t="s">
        <v>35</v>
      </c>
      <c r="C13" s="13"/>
      <c r="D13" s="314">
        <v>26.79</v>
      </c>
      <c r="E13" s="13">
        <v>0</v>
      </c>
      <c r="F13" s="13">
        <v>38.4</v>
      </c>
      <c r="G13" s="46">
        <f t="shared" si="2"/>
        <v>53.58</v>
      </c>
      <c r="H13" s="47"/>
      <c r="I13" s="56">
        <f>I12</f>
        <v>1</v>
      </c>
      <c r="J13" s="56"/>
      <c r="K13" s="49">
        <f t="shared" si="3"/>
        <v>53.58</v>
      </c>
      <c r="L13" s="50">
        <f t="shared" si="4"/>
        <v>207602</v>
      </c>
      <c r="M13" s="1" t="str">
        <f>IF(ROUND(G13,2)=ROUND(SUM(G31:G33),2)," ","CHECK 2. PK-3 Lines Below")</f>
        <v xml:space="preserve"> </v>
      </c>
      <c r="N13" s="51">
        <v>5102</v>
      </c>
      <c r="O13" s="57" t="s">
        <v>36</v>
      </c>
      <c r="Q13" s="53"/>
      <c r="V13" s="357" t="s">
        <v>35</v>
      </c>
      <c r="W13" s="357"/>
      <c r="X13" s="396">
        <f>IF('3392'!K$84=1,'3392'!G13,0)</f>
        <v>0</v>
      </c>
      <c r="Y13" s="396"/>
      <c r="Z13" s="397">
        <v>1</v>
      </c>
      <c r="AA13" s="397"/>
      <c r="AB13" s="54">
        <f t="shared" si="0"/>
        <v>0</v>
      </c>
      <c r="AC13" s="55">
        <f t="shared" si="1"/>
        <v>0</v>
      </c>
      <c r="AD13" s="9"/>
    </row>
    <row r="14" spans="1:30" x14ac:dyDescent="0.3">
      <c r="A14" s="1" t="s">
        <v>37</v>
      </c>
      <c r="B14" s="13" t="s">
        <v>38</v>
      </c>
      <c r="C14" s="13"/>
      <c r="D14" s="13">
        <v>9.52</v>
      </c>
      <c r="E14" s="13">
        <v>0</v>
      </c>
      <c r="F14" s="13">
        <v>11.83</v>
      </c>
      <c r="G14" s="46">
        <f t="shared" si="2"/>
        <v>19.04</v>
      </c>
      <c r="H14" s="47"/>
      <c r="I14" s="56">
        <v>1.0109999999999999</v>
      </c>
      <c r="J14" s="56"/>
      <c r="K14" s="49">
        <f t="shared" si="3"/>
        <v>19.249400000000001</v>
      </c>
      <c r="L14" s="50">
        <f t="shared" si="4"/>
        <v>74584</v>
      </c>
      <c r="N14" s="51">
        <v>5103</v>
      </c>
      <c r="O14" s="52">
        <v>103</v>
      </c>
      <c r="Q14" s="53"/>
      <c r="V14" s="357" t="s">
        <v>38</v>
      </c>
      <c r="W14" s="357"/>
      <c r="X14" s="396">
        <f>IF('3392'!K$84=1,'3392'!G14,0)</f>
        <v>0</v>
      </c>
      <c r="Y14" s="396"/>
      <c r="Z14" s="397">
        <v>1</v>
      </c>
      <c r="AA14" s="397"/>
      <c r="AB14" s="54">
        <f t="shared" si="0"/>
        <v>0</v>
      </c>
      <c r="AC14" s="55">
        <f t="shared" si="1"/>
        <v>0</v>
      </c>
      <c r="AD14" s="9"/>
    </row>
    <row r="15" spans="1:30" x14ac:dyDescent="0.3">
      <c r="A15" s="1" t="s">
        <v>39</v>
      </c>
      <c r="B15" s="13" t="s">
        <v>40</v>
      </c>
      <c r="C15" s="13"/>
      <c r="D15" s="13">
        <v>3</v>
      </c>
      <c r="E15" s="13">
        <v>0</v>
      </c>
      <c r="F15" s="13">
        <v>3.86</v>
      </c>
      <c r="G15" s="46">
        <f t="shared" si="2"/>
        <v>6</v>
      </c>
      <c r="H15" s="47"/>
      <c r="I15" s="56">
        <f>I14</f>
        <v>1.0109999999999999</v>
      </c>
      <c r="J15" s="56"/>
      <c r="K15" s="49">
        <f t="shared" si="3"/>
        <v>6.0659999999999998</v>
      </c>
      <c r="L15" s="58">
        <f t="shared" si="4"/>
        <v>23503</v>
      </c>
      <c r="M15" s="1" t="str">
        <f>IF(ROUND(G15,2)=ROUND(SUM(G34:G36),2)," ","CHECK 2. PK-3 Lines Below")</f>
        <v xml:space="preserve"> </v>
      </c>
      <c r="N15" s="51">
        <v>5103</v>
      </c>
      <c r="O15" s="57" t="s">
        <v>41</v>
      </c>
      <c r="Q15" s="53"/>
      <c r="V15" s="357" t="s">
        <v>40</v>
      </c>
      <c r="W15" s="357"/>
      <c r="X15" s="396">
        <f>IF('3392'!K$84=1,'3392'!G15,0)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IF('3392'!K$84=1,'3392'!G16,0)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IF('3392'!K$84=1,'3392'!G17,0)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IF('3392'!K$84=1,'3392'!G18,0)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IF('3392'!K$84=1,'3392'!G19,0)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IF('3392'!K$84=1,'3392'!G20,0)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IF('3392'!K$84=1,'3392'!G21,0)</f>
        <v>0</v>
      </c>
      <c r="Y21" s="396"/>
      <c r="Z21" s="397">
        <v>1</v>
      </c>
      <c r="AA21" s="397"/>
      <c r="AB21" s="54">
        <f t="shared" si="0"/>
        <v>0</v>
      </c>
      <c r="AC21" s="55">
        <f t="shared" si="1"/>
        <v>0</v>
      </c>
      <c r="AD21" s="9"/>
    </row>
    <row r="22" spans="1:30" ht="15.5" x14ac:dyDescent="0.35">
      <c r="A22" s="1" t="s">
        <v>54</v>
      </c>
      <c r="B22" s="13" t="s">
        <v>55</v>
      </c>
      <c r="C22" s="13"/>
      <c r="D22" s="13">
        <v>64.680000000000007</v>
      </c>
      <c r="E22" s="13">
        <v>0</v>
      </c>
      <c r="F22" s="13">
        <v>77.790000000000006</v>
      </c>
      <c r="G22" s="46">
        <f t="shared" si="2"/>
        <v>129.36000000000001</v>
      </c>
      <c r="H22" s="47"/>
      <c r="I22" s="56">
        <v>1.145</v>
      </c>
      <c r="J22" s="56"/>
      <c r="K22" s="49">
        <f t="shared" si="3"/>
        <v>148.1172</v>
      </c>
      <c r="L22" s="50">
        <f t="shared" si="4"/>
        <v>573899</v>
      </c>
      <c r="N22" s="51">
        <v>5101</v>
      </c>
      <c r="O22" s="52">
        <v>130</v>
      </c>
      <c r="Q22" s="53"/>
      <c r="V22" s="357" t="s">
        <v>55</v>
      </c>
      <c r="W22" s="357"/>
      <c r="X22" s="396">
        <f>IF('3392'!K$84=1,'3392'!G22,0)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IF('3392'!K$84=1,'3392'!G23,0)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IF('3392'!K$84=1,'3392'!G24,0)</f>
        <v>0</v>
      </c>
      <c r="Y24" s="396"/>
      <c r="Z24" s="397">
        <v>1</v>
      </c>
      <c r="AA24" s="397"/>
      <c r="AB24" s="54">
        <f t="shared" si="0"/>
        <v>0</v>
      </c>
      <c r="AC24" s="55">
        <f t="shared" si="1"/>
        <v>0</v>
      </c>
      <c r="AD24" s="9"/>
    </row>
    <row r="25" spans="1:30" ht="16" thickBot="1" x14ac:dyDescent="0.4">
      <c r="A25" s="1" t="s">
        <v>60</v>
      </c>
      <c r="B25" s="13" t="s">
        <v>61</v>
      </c>
      <c r="C25" s="13"/>
      <c r="D25" s="13">
        <v>0.21</v>
      </c>
      <c r="E25" s="13">
        <v>0</v>
      </c>
      <c r="F25" s="13">
        <v>0.27</v>
      </c>
      <c r="G25" s="60">
        <f t="shared" si="2"/>
        <v>0.42</v>
      </c>
      <c r="H25" s="47"/>
      <c r="I25" s="56">
        <v>1.0109999999999999</v>
      </c>
      <c r="J25" s="56"/>
      <c r="K25" s="49">
        <f t="shared" si="3"/>
        <v>0.42459999999999998</v>
      </c>
      <c r="L25" s="50">
        <f t="shared" si="4"/>
        <v>1645</v>
      </c>
      <c r="N25" s="51">
        <v>5310</v>
      </c>
      <c r="O25" s="52">
        <v>300</v>
      </c>
      <c r="Q25" s="53"/>
      <c r="V25" s="357" t="s">
        <v>61</v>
      </c>
      <c r="W25" s="357"/>
      <c r="X25" s="396">
        <f>IF('3392'!K$84=1,'3392'!G25,0)</f>
        <v>0</v>
      </c>
      <c r="Y25" s="396"/>
      <c r="Z25" s="397">
        <v>1</v>
      </c>
      <c r="AA25" s="397"/>
      <c r="AB25" s="54">
        <f t="shared" si="0"/>
        <v>0</v>
      </c>
      <c r="AC25" s="55">
        <f t="shared" si="1"/>
        <v>0</v>
      </c>
      <c r="AD25" s="9"/>
    </row>
    <row r="26" spans="1:30" ht="20.25" customHeight="1" thickBot="1" x14ac:dyDescent="0.35">
      <c r="B26" s="61" t="s">
        <v>62</v>
      </c>
      <c r="C26" s="61"/>
      <c r="D26" s="62">
        <f t="shared" ref="D26:E26" si="5">SUM(D10:D25)</f>
        <v>346.53</v>
      </c>
      <c r="E26" s="62">
        <f t="shared" si="5"/>
        <v>0</v>
      </c>
      <c r="F26" s="62"/>
      <c r="G26" s="62">
        <f>SUM(G10:G25)</f>
        <v>693.06</v>
      </c>
      <c r="H26" s="63"/>
      <c r="I26" s="63"/>
      <c r="J26" s="64"/>
      <c r="K26" s="65">
        <f>SUM(K10:K25)</f>
        <v>741.43720000000019</v>
      </c>
      <c r="L26" s="66">
        <f>SUM(L10:L25)</f>
        <v>2872791</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10.5</v>
      </c>
      <c r="E28" s="13">
        <v>0</v>
      </c>
      <c r="F28" s="78">
        <v>19</v>
      </c>
      <c r="G28" s="46">
        <f>IF(E28=0,D28*2,D28+E28)</f>
        <v>21</v>
      </c>
      <c r="H28" s="79"/>
      <c r="I28" s="80" t="s">
        <v>70</v>
      </c>
      <c r="J28" s="51">
        <v>251</v>
      </c>
      <c r="K28" s="81">
        <v>1047</v>
      </c>
      <c r="L28" s="82">
        <f>ROUND(G28*K28,0)</f>
        <v>21987</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1</v>
      </c>
      <c r="E29" s="13">
        <v>0</v>
      </c>
      <c r="F29" s="89">
        <v>1</v>
      </c>
      <c r="G29" s="46">
        <f t="shared" ref="G29:G36" si="7">IF(E29=0,D29*2,D29+E29)</f>
        <v>2</v>
      </c>
      <c r="H29" s="79"/>
      <c r="I29" s="51" t="s">
        <v>70</v>
      </c>
      <c r="J29" s="51">
        <v>252</v>
      </c>
      <c r="K29" s="81">
        <v>3380</v>
      </c>
      <c r="L29" s="82">
        <f t="shared" ref="L29:L36" si="8">ROUND(G29*K29,0)</f>
        <v>6760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0.5</v>
      </c>
      <c r="E30" s="13">
        <v>0</v>
      </c>
      <c r="F30" s="89">
        <v>0.5</v>
      </c>
      <c r="G30" s="46">
        <f t="shared" si="7"/>
        <v>1</v>
      </c>
      <c r="H30" s="79"/>
      <c r="I30" s="51" t="s">
        <v>70</v>
      </c>
      <c r="J30" s="51">
        <v>253</v>
      </c>
      <c r="K30" s="81">
        <v>6896</v>
      </c>
      <c r="L30" s="82">
        <f t="shared" si="8"/>
        <v>6896</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26.29</v>
      </c>
      <c r="E31" s="13">
        <v>0</v>
      </c>
      <c r="F31" s="89">
        <v>28.5</v>
      </c>
      <c r="G31" s="46">
        <f t="shared" si="7"/>
        <v>52.58</v>
      </c>
      <c r="H31" s="79"/>
      <c r="I31" s="90" t="s">
        <v>74</v>
      </c>
      <c r="J31" s="51">
        <v>251</v>
      </c>
      <c r="K31" s="81">
        <v>1173</v>
      </c>
      <c r="L31" s="82">
        <f t="shared" si="8"/>
        <v>61676</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0.5</v>
      </c>
      <c r="E32" s="13">
        <v>0</v>
      </c>
      <c r="F32" s="89">
        <v>0.5</v>
      </c>
      <c r="G32" s="46">
        <f t="shared" si="7"/>
        <v>1</v>
      </c>
      <c r="H32" s="79"/>
      <c r="I32" s="90" t="s">
        <v>74</v>
      </c>
      <c r="J32" s="51">
        <v>252</v>
      </c>
      <c r="K32" s="81">
        <v>3506</v>
      </c>
      <c r="L32" s="82">
        <f t="shared" si="8"/>
        <v>3506</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2.5</v>
      </c>
      <c r="E34" s="13">
        <v>0</v>
      </c>
      <c r="F34" s="89">
        <v>8</v>
      </c>
      <c r="G34" s="46">
        <f t="shared" si="7"/>
        <v>5</v>
      </c>
      <c r="H34" s="79"/>
      <c r="I34" s="90" t="s">
        <v>78</v>
      </c>
      <c r="J34" s="51">
        <v>251</v>
      </c>
      <c r="K34" s="81">
        <v>835</v>
      </c>
      <c r="L34" s="82">
        <f t="shared" si="8"/>
        <v>4175</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0.5</v>
      </c>
      <c r="E35" s="13">
        <v>0</v>
      </c>
      <c r="F35" s="89">
        <v>0.5</v>
      </c>
      <c r="G35" s="46">
        <f t="shared" si="7"/>
        <v>1</v>
      </c>
      <c r="H35" s="79"/>
      <c r="I35" s="90" t="s">
        <v>78</v>
      </c>
      <c r="J35" s="51">
        <v>252</v>
      </c>
      <c r="K35" s="81">
        <v>3168</v>
      </c>
      <c r="L35" s="82">
        <f t="shared" si="8"/>
        <v>3168</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41.79</v>
      </c>
      <c r="E37" s="62">
        <f t="shared" si="10"/>
        <v>0</v>
      </c>
      <c r="F37" s="62"/>
      <c r="G37" s="62">
        <f>SUM(G28:G36)</f>
        <v>83.58</v>
      </c>
      <c r="H37" s="63"/>
      <c r="I37" s="13" t="s">
        <v>82</v>
      </c>
      <c r="J37" s="13"/>
      <c r="K37" s="13"/>
      <c r="L37" s="50">
        <f>SUM(L28:L36)</f>
        <v>108168</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133068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3114027</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412.17719999999997</v>
      </c>
      <c r="D47" s="121"/>
      <c r="E47" s="121"/>
      <c r="F47" s="121"/>
      <c r="G47" s="122">
        <f>K7</f>
        <v>1.0326</v>
      </c>
      <c r="H47" s="122"/>
      <c r="I47" s="123">
        <v>1316.85</v>
      </c>
      <c r="J47" s="124" t="s">
        <v>97</v>
      </c>
      <c r="K47" s="125">
        <f>ROUND(C47*G47*I47,0)</f>
        <v>560470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303.52</v>
      </c>
      <c r="D48" s="121"/>
      <c r="E48" s="121"/>
      <c r="F48" s="121"/>
      <c r="G48" s="122">
        <f>K7</f>
        <v>1.0326</v>
      </c>
      <c r="H48" s="122"/>
      <c r="I48" s="123">
        <v>898.23</v>
      </c>
      <c r="J48" s="124" t="s">
        <v>97</v>
      </c>
      <c r="K48" s="125">
        <f>ROUND(C48*G48*I48,0)</f>
        <v>281519</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25.740000000000002</v>
      </c>
      <c r="D49" s="121"/>
      <c r="E49" s="121"/>
      <c r="F49" s="121"/>
      <c r="G49" s="122">
        <f>K7</f>
        <v>1.0326</v>
      </c>
      <c r="H49" s="122"/>
      <c r="I49" s="123">
        <v>900.39</v>
      </c>
      <c r="J49" s="124" t="s">
        <v>97</v>
      </c>
      <c r="K49" s="125">
        <f>ROUND(C49*G49*I49,0)</f>
        <v>23932</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741.43719999999996</v>
      </c>
      <c r="D50" s="144"/>
      <c r="E50" s="145"/>
      <c r="F50" s="145"/>
      <c r="G50" s="146" t="s">
        <v>99</v>
      </c>
      <c r="H50" s="146"/>
      <c r="I50" s="146"/>
      <c r="J50" s="146"/>
      <c r="K50" s="146"/>
      <c r="L50" s="50">
        <f>IF(B2=75,0,K49+K48+K47)</f>
        <v>865921</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741.43720000000019</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3.839E-3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693.06</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3.8630000000000001E-3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3.839E-3</v>
      </c>
      <c r="L59" s="50">
        <f>ROUND(I59*K59,0)</f>
        <v>15828</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3.839E-3</v>
      </c>
      <c r="L67" s="50">
        <f>ROUND(I67*K67,0)</f>
        <v>371517</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3.8630000000000001E-3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3.839E-3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3.839E-3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3.8630000000000001E-3</v>
      </c>
      <c r="L72" s="50">
        <f>ROUND(I72*K72,0)</f>
        <v>54535</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403</v>
      </c>
      <c r="AA74" s="171" t="s">
        <v>129</v>
      </c>
      <c r="AB74" s="172">
        <f>+K75</f>
        <v>360</v>
      </c>
      <c r="AC74" s="55">
        <f>ROUND(AB74*Z74,0)</f>
        <v>145080</v>
      </c>
      <c r="AD74" s="9"/>
    </row>
    <row r="75" spans="1:30" ht="19.5" customHeight="1" x14ac:dyDescent="0.3">
      <c r="A75" s="1" t="s">
        <v>130</v>
      </c>
      <c r="B75" s="173" t="s">
        <v>127</v>
      </c>
      <c r="C75" s="174" t="s">
        <v>128</v>
      </c>
      <c r="D75" s="173">
        <v>403</v>
      </c>
      <c r="E75" s="173">
        <v>0</v>
      </c>
      <c r="F75" s="173">
        <v>0</v>
      </c>
      <c r="G75" s="175">
        <f>IF(E75=0,D75,E75)</f>
        <v>403</v>
      </c>
      <c r="H75" s="176"/>
      <c r="I75" s="177">
        <f>AVERAGE(G75,D75)</f>
        <v>403</v>
      </c>
      <c r="J75" s="178" t="s">
        <v>129</v>
      </c>
      <c r="K75" s="179">
        <v>360</v>
      </c>
      <c r="L75" s="50">
        <f>ROUND(K75*I75,0)</f>
        <v>145080</v>
      </c>
      <c r="N75" s="1">
        <v>7802</v>
      </c>
      <c r="O75" s="1">
        <v>0</v>
      </c>
      <c r="V75" s="358" t="s">
        <v>127</v>
      </c>
      <c r="W75" s="358"/>
      <c r="X75" s="168" t="s">
        <v>131</v>
      </c>
      <c r="Y75" s="180"/>
      <c r="Z75" s="181">
        <f>+I76</f>
        <v>5</v>
      </c>
      <c r="AA75" s="171" t="s">
        <v>129</v>
      </c>
      <c r="AB75" s="182">
        <f>+K76</f>
        <v>1355</v>
      </c>
      <c r="AC75" s="55">
        <f>ROUND(AB75*Z75,0)</f>
        <v>6775</v>
      </c>
      <c r="AD75" s="9"/>
    </row>
    <row r="76" spans="1:30" ht="19.5" customHeight="1" x14ac:dyDescent="0.3">
      <c r="A76" s="1" t="s">
        <v>132</v>
      </c>
      <c r="B76" s="173" t="s">
        <v>127</v>
      </c>
      <c r="C76" s="174" t="s">
        <v>131</v>
      </c>
      <c r="D76" s="173">
        <v>5</v>
      </c>
      <c r="E76" s="173">
        <v>0</v>
      </c>
      <c r="F76" s="173">
        <v>0</v>
      </c>
      <c r="G76" s="175">
        <f>IF(E76=0,D76,E76)</f>
        <v>5</v>
      </c>
      <c r="H76" s="176"/>
      <c r="I76" s="177">
        <f>AVERAGE(G76,D76)</f>
        <v>5</v>
      </c>
      <c r="J76" s="178" t="s">
        <v>129</v>
      </c>
      <c r="K76" s="183">
        <v>1355</v>
      </c>
      <c r="L76" s="50">
        <f>ROUND(K76*I76,0)</f>
        <v>6775</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3.839E-3</v>
      </c>
      <c r="L77" s="50">
        <f>ROUND(I77*K77,0)</f>
        <v>125605</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3.839E-3</v>
      </c>
      <c r="L78" s="50">
        <f>ROUND(I78*K78,0)</f>
        <v>2567</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151855</v>
      </c>
      <c r="AD81" s="195"/>
    </row>
    <row r="82" spans="1:30" ht="22.5" customHeight="1" thickTop="1" thickBot="1" x14ac:dyDescent="0.35">
      <c r="B82" s="13" t="s">
        <v>141</v>
      </c>
      <c r="C82" s="13"/>
      <c r="D82" s="13"/>
      <c r="E82" s="13"/>
      <c r="F82" s="13"/>
      <c r="G82" s="13"/>
      <c r="H82" s="13"/>
      <c r="I82" s="13"/>
      <c r="J82" s="13"/>
      <c r="K82" s="13"/>
      <c r="L82" s="196">
        <f>SUM(L44:L81)</f>
        <v>4701855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'3392'!AC81</f>
        <v>151855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4701855</v>
      </c>
      <c r="L86" s="82">
        <f>IF(G26=0,0,IF(G26&gt;250,-(((250/G26)*K86)*IF(M86="H",0.02,0.05)),IF(M86="H",-0.02*K86,-0.05*K86)))</f>
        <v>-84802.452168643416</v>
      </c>
      <c r="M86" s="306"/>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4617052.5478313565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2366412</v>
      </c>
      <c r="G89" s="13"/>
      <c r="H89" s="13"/>
      <c r="I89" s="13"/>
      <c r="J89" s="13"/>
      <c r="K89" s="206"/>
      <c r="L89" s="82">
        <v>-3116390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1500662.5478313565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375165.63695783913</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150290.29783135658</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277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278</v>
      </c>
      <c r="C123" s="219" t="s">
        <v>200</v>
      </c>
    </row>
    <row r="124" spans="2:3" ht="15.5" hidden="1" x14ac:dyDescent="0.35">
      <c r="B124" s="223" t="s">
        <v>279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41646.469236111101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51"/>
  <sheetViews>
    <sheetView topLeftCell="B2" zoomScale="90" zoomScaleNormal="90" workbookViewId="0">
      <selection activeCell="D28" sqref="D28:D35"/>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'3394'!B2</f>
        <v>50</v>
      </c>
      <c r="W2" s="413" t="s">
        <v>4</v>
      </c>
      <c r="X2" s="414"/>
      <c r="Y2" s="415"/>
      <c r="Z2" s="415"/>
      <c r="AA2" s="415"/>
      <c r="AB2" s="415"/>
      <c r="AC2" s="415"/>
      <c r="AD2" s="9"/>
    </row>
    <row r="3" spans="1:30" ht="20" x14ac:dyDescent="0.4">
      <c r="B3" s="10" t="str">
        <f>"Revenue Estimate Worksheet for "&amp;B124</f>
        <v>Revenue Estimate Worksheet for Montessori Acad. Early Enrich</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'3394'!G7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18.399999999999999</v>
      </c>
      <c r="E10" s="45">
        <v>0</v>
      </c>
      <c r="F10" s="45">
        <v>22.73</v>
      </c>
      <c r="G10" s="46">
        <f>IF(E10=0,D10*2,D10+E10)</f>
        <v>36.799999999999997</v>
      </c>
      <c r="H10" s="47"/>
      <c r="I10" s="48">
        <v>1.125</v>
      </c>
      <c r="J10" s="48"/>
      <c r="K10" s="49">
        <f>ROUND(G10*I10,4)</f>
        <v>41.4</v>
      </c>
      <c r="L10" s="50">
        <f>ROUND(ROUND(K10*$G$7,4)*($K$7),0)</f>
        <v>160409</v>
      </c>
      <c r="N10" s="51">
        <v>5101</v>
      </c>
      <c r="O10" s="52">
        <v>101</v>
      </c>
      <c r="Q10" s="53"/>
      <c r="V10" s="404" t="s">
        <v>28</v>
      </c>
      <c r="W10" s="404"/>
      <c r="X10" s="396">
        <f>IF('3394'!K$84=1,'3394'!G10,0)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43.26</v>
      </c>
      <c r="E11" s="13">
        <v>0</v>
      </c>
      <c r="F11" s="13">
        <v>52.64</v>
      </c>
      <c r="G11" s="46">
        <f t="shared" ref="G11:G25" si="2">IF(E11=0,D11*2,D11+E11)</f>
        <v>86.52</v>
      </c>
      <c r="H11" s="47"/>
      <c r="I11" s="56">
        <f>I10</f>
        <v>1.125</v>
      </c>
      <c r="J11" s="56"/>
      <c r="K11" s="49">
        <f t="shared" ref="K11:K25" si="3">ROUND(G11*I11,4)</f>
        <v>97.334999999999994</v>
      </c>
      <c r="L11" s="50">
        <f t="shared" ref="L11:L25" si="4">ROUND(ROUND(K11*$G$7,4)*($K$7),0)</f>
        <v>377137</v>
      </c>
      <c r="M11" s="1" t="str">
        <f>IF(ROUND(G11,2)=ROUND(SUM(G28:G30),2)," ","CHECK 2. PK-3 Lines Below")</f>
        <v xml:space="preserve"> </v>
      </c>
      <c r="N11" s="51">
        <v>5101</v>
      </c>
      <c r="O11" s="57" t="s">
        <v>31</v>
      </c>
      <c r="Q11" s="53"/>
      <c r="V11" s="357" t="s">
        <v>30</v>
      </c>
      <c r="W11" s="357"/>
      <c r="X11" s="396">
        <f>IF('3394'!K$84=1,'3394'!G11,0)</f>
        <v>0</v>
      </c>
      <c r="Y11" s="396"/>
      <c r="Z11" s="397">
        <v>1</v>
      </c>
      <c r="AA11" s="397"/>
      <c r="AB11" s="54">
        <f t="shared" si="0"/>
        <v>0</v>
      </c>
      <c r="AC11" s="55">
        <f t="shared" si="1"/>
        <v>0</v>
      </c>
      <c r="AD11" s="9"/>
    </row>
    <row r="12" spans="1:30" x14ac:dyDescent="0.3">
      <c r="A12" s="1" t="s">
        <v>32</v>
      </c>
      <c r="B12" s="13" t="s">
        <v>33</v>
      </c>
      <c r="C12" s="13"/>
      <c r="D12" s="13">
        <v>17.239999999999998</v>
      </c>
      <c r="E12" s="13">
        <v>0</v>
      </c>
      <c r="F12" s="13">
        <v>22.91</v>
      </c>
      <c r="G12" s="46">
        <f t="shared" si="2"/>
        <v>34.479999999999997</v>
      </c>
      <c r="H12" s="47"/>
      <c r="I12" s="56">
        <v>1</v>
      </c>
      <c r="J12" s="56"/>
      <c r="K12" s="49">
        <f t="shared" si="3"/>
        <v>34.479999999999997</v>
      </c>
      <c r="L12" s="50">
        <f t="shared" si="4"/>
        <v>133597</v>
      </c>
      <c r="N12" s="51">
        <v>5102</v>
      </c>
      <c r="O12" s="52">
        <v>102</v>
      </c>
      <c r="Q12" s="53"/>
      <c r="V12" s="357" t="s">
        <v>33</v>
      </c>
      <c r="W12" s="357"/>
      <c r="X12" s="396">
        <f>IF('3394'!K$84=1,'3394'!G12,0)</f>
        <v>0</v>
      </c>
      <c r="Y12" s="396"/>
      <c r="Z12" s="397">
        <v>1</v>
      </c>
      <c r="AA12" s="397"/>
      <c r="AB12" s="54">
        <f t="shared" si="0"/>
        <v>0</v>
      </c>
      <c r="AC12" s="55">
        <f t="shared" si="1"/>
        <v>0</v>
      </c>
      <c r="AD12" s="9"/>
    </row>
    <row r="13" spans="1:30" x14ac:dyDescent="0.3">
      <c r="A13" s="1" t="s">
        <v>34</v>
      </c>
      <c r="B13" s="13" t="s">
        <v>35</v>
      </c>
      <c r="C13" s="13"/>
      <c r="D13" s="13">
        <v>9.5</v>
      </c>
      <c r="E13" s="13">
        <v>0</v>
      </c>
      <c r="F13" s="13">
        <v>12.23</v>
      </c>
      <c r="G13" s="46">
        <f t="shared" si="2"/>
        <v>19</v>
      </c>
      <c r="H13" s="47"/>
      <c r="I13" s="56">
        <f>I12</f>
        <v>1</v>
      </c>
      <c r="J13" s="56"/>
      <c r="K13" s="49">
        <f t="shared" si="3"/>
        <v>19</v>
      </c>
      <c r="L13" s="50">
        <f t="shared" si="4"/>
        <v>73618</v>
      </c>
      <c r="M13" s="1" t="str">
        <f>IF(ROUND(G13,2)=ROUND(SUM(G31:G33),2)," ","CHECK 2. PK-3 Lines Below")</f>
        <v xml:space="preserve"> </v>
      </c>
      <c r="N13" s="51">
        <v>5102</v>
      </c>
      <c r="O13" s="57" t="s">
        <v>36</v>
      </c>
      <c r="Q13" s="53"/>
      <c r="V13" s="357" t="s">
        <v>35</v>
      </c>
      <c r="W13" s="357"/>
      <c r="X13" s="396">
        <f>IF('3394'!K$84=1,'3394'!G13,0)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IF('3394'!K$84=1,'3394'!G14,0)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IF('3394'!K$84=1,'3394'!G15,0)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IF('3394'!K$84=1,'3394'!G16,0)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IF('3394'!K$84=1,'3394'!G17,0)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IF('3394'!K$84=1,'3394'!G18,0)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IF('3394'!K$84=1,'3394'!G19,0)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IF('3394'!K$84=1,'3394'!G20,0)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IF('3394'!K$84=1,'3394'!G21,0)</f>
        <v>0</v>
      </c>
      <c r="Y21" s="396"/>
      <c r="Z21" s="397">
        <v>1</v>
      </c>
      <c r="AA21" s="397"/>
      <c r="AB21" s="54">
        <f t="shared" si="0"/>
        <v>0</v>
      </c>
      <c r="AC21" s="55">
        <f t="shared" si="1"/>
        <v>0</v>
      </c>
      <c r="AD21" s="9"/>
    </row>
    <row r="22" spans="1:30" ht="15.5" x14ac:dyDescent="0.35">
      <c r="A22" s="1" t="s">
        <v>54</v>
      </c>
      <c r="B22" s="13" t="s">
        <v>55</v>
      </c>
      <c r="C22" s="13"/>
      <c r="D22" s="13">
        <v>11.64</v>
      </c>
      <c r="E22" s="13">
        <v>0</v>
      </c>
      <c r="F22" s="13">
        <v>14.29</v>
      </c>
      <c r="G22" s="46">
        <f t="shared" si="2"/>
        <v>23.28</v>
      </c>
      <c r="H22" s="47"/>
      <c r="I22" s="56">
        <v>1.145</v>
      </c>
      <c r="J22" s="56"/>
      <c r="K22" s="49">
        <f t="shared" si="3"/>
        <v>26.6556</v>
      </c>
      <c r="L22" s="50">
        <f t="shared" si="4"/>
        <v>103280</v>
      </c>
      <c r="N22" s="51">
        <v>5101</v>
      </c>
      <c r="O22" s="52">
        <v>130</v>
      </c>
      <c r="Q22" s="53"/>
      <c r="V22" s="357" t="s">
        <v>55</v>
      </c>
      <c r="W22" s="357"/>
      <c r="X22" s="396">
        <f>IF('3394'!K$84=1,'3394'!G22,0)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IF('3394'!K$84=1,'3394'!G23,0)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IF('3394'!K$84=1,'3394'!G24,0)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IF('3394'!K$84=1,'3394'!G25,0)</f>
        <v>0</v>
      </c>
      <c r="Y25" s="396"/>
      <c r="Z25" s="397">
        <v>1</v>
      </c>
      <c r="AA25" s="397"/>
      <c r="AB25" s="54">
        <f t="shared" si="0"/>
        <v>0</v>
      </c>
      <c r="AC25" s="55">
        <f t="shared" si="1"/>
        <v>0</v>
      </c>
      <c r="AD25" s="9"/>
    </row>
    <row r="26" spans="1:30" ht="20.25" customHeight="1" thickBot="1" x14ac:dyDescent="0.35">
      <c r="B26" s="61" t="s">
        <v>62</v>
      </c>
      <c r="C26" s="61"/>
      <c r="D26" s="320">
        <f t="shared" ref="D26:E26" si="5">SUM(D10:D25)</f>
        <v>100.03999999999999</v>
      </c>
      <c r="E26" s="62">
        <f t="shared" si="5"/>
        <v>0</v>
      </c>
      <c r="F26" s="62"/>
      <c r="G26" s="62">
        <f>SUM(G10:G25)</f>
        <v>200.07999999999998</v>
      </c>
      <c r="H26" s="63"/>
      <c r="I26" s="63"/>
      <c r="J26" s="64"/>
      <c r="K26" s="65">
        <f>SUM(K10:K25)</f>
        <v>218.87059999999997</v>
      </c>
      <c r="L26" s="66">
        <f>SUM(L10:L25)</f>
        <v>848041</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41</v>
      </c>
      <c r="E28" s="13">
        <v>0</v>
      </c>
      <c r="F28" s="78">
        <v>41</v>
      </c>
      <c r="G28" s="46">
        <f>IF(E28=0,D28*2,D28+E28)</f>
        <v>82</v>
      </c>
      <c r="H28" s="79"/>
      <c r="I28" s="80" t="s">
        <v>70</v>
      </c>
      <c r="J28" s="51">
        <v>251</v>
      </c>
      <c r="K28" s="81">
        <v>1047</v>
      </c>
      <c r="L28" s="82">
        <f>ROUND(G28*K28,0)</f>
        <v>85854</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2.2599999999999998</v>
      </c>
      <c r="E29" s="13">
        <v>0</v>
      </c>
      <c r="F29" s="89">
        <v>3</v>
      </c>
      <c r="G29" s="46">
        <f t="shared" ref="G29:G36" si="7">IF(E29=0,D29*2,D29+E29)</f>
        <v>4.5199999999999996</v>
      </c>
      <c r="H29" s="79"/>
      <c r="I29" s="51" t="s">
        <v>70</v>
      </c>
      <c r="J29" s="51">
        <v>252</v>
      </c>
      <c r="K29" s="81">
        <v>3380</v>
      </c>
      <c r="L29" s="82">
        <f t="shared" ref="L29:L36" si="8">ROUND(G29*K29,0)</f>
        <v>15278</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6.5</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9.5</v>
      </c>
      <c r="E31" s="13">
        <v>0</v>
      </c>
      <c r="F31" s="89">
        <v>4</v>
      </c>
      <c r="G31" s="46">
        <f t="shared" si="7"/>
        <v>19</v>
      </c>
      <c r="H31" s="79"/>
      <c r="I31" s="90" t="s">
        <v>74</v>
      </c>
      <c r="J31" s="51">
        <v>251</v>
      </c>
      <c r="K31" s="81">
        <v>1173</v>
      </c>
      <c r="L31" s="82">
        <f t="shared" si="8"/>
        <v>22287</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52.76</v>
      </c>
      <c r="E37" s="62">
        <f t="shared" si="10"/>
        <v>0</v>
      </c>
      <c r="F37" s="62"/>
      <c r="G37" s="62">
        <f>SUM(G28:G36)</f>
        <v>105.52</v>
      </c>
      <c r="H37" s="63"/>
      <c r="I37" s="13" t="s">
        <v>82</v>
      </c>
      <c r="J37" s="13"/>
      <c r="K37" s="13"/>
      <c r="L37" s="50">
        <f>SUM(L28:L36)</f>
        <v>123419</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38415</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1009875</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165.39059999999998</v>
      </c>
      <c r="D47" s="329"/>
      <c r="E47" s="121"/>
      <c r="F47" s="121"/>
      <c r="G47" s="122">
        <f>K7</f>
        <v>1.0326</v>
      </c>
      <c r="H47" s="122"/>
      <c r="I47" s="123">
        <v>1316.85</v>
      </c>
      <c r="J47" s="124" t="s">
        <v>97</v>
      </c>
      <c r="K47" s="125">
        <f>ROUND(C47*G47*I47,0)</f>
        <v>224895</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53.48</v>
      </c>
      <c r="D48" s="329"/>
      <c r="E48" s="121"/>
      <c r="F48" s="121"/>
      <c r="G48" s="122">
        <f>K7</f>
        <v>1.0326</v>
      </c>
      <c r="H48" s="122"/>
      <c r="I48" s="123">
        <v>898.23</v>
      </c>
      <c r="J48" s="124" t="s">
        <v>97</v>
      </c>
      <c r="K48" s="125">
        <f>ROUND(C48*G48*I48,0)</f>
        <v>49603</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329"/>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218.87059999999997</v>
      </c>
      <c r="D50" s="330"/>
      <c r="E50" s="145"/>
      <c r="F50" s="145"/>
      <c r="G50" s="146" t="s">
        <v>99</v>
      </c>
      <c r="H50" s="146"/>
      <c r="I50" s="146"/>
      <c r="J50" s="146"/>
      <c r="K50" s="146"/>
      <c r="L50" s="50">
        <f>IF(B2=75,0,K49+K48+K47)</f>
        <v>274498</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218.87059999999997</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1.1329999999999999E-3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200.07999999999998</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1.1150000000000001E-3</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1.1329999999999999E-3</v>
      </c>
      <c r="L59" s="50">
        <f>ROUND(I59*K59,0)</f>
        <v>4671</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1.1329999999999999E-3</v>
      </c>
      <c r="L67" s="50">
        <f>ROUND(I67*K67,0)</f>
        <v>109646</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1.1150000000000001E-3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1.1329999999999999E-3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1.1329999999999999E-3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1.1150000000000001E-3</v>
      </c>
      <c r="L72" s="50">
        <f>ROUND(I72*K72,0)</f>
        <v>15741</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43</v>
      </c>
      <c r="AA74" s="171" t="s">
        <v>129</v>
      </c>
      <c r="AB74" s="172">
        <f>+K75</f>
        <v>360</v>
      </c>
      <c r="AC74" s="55">
        <f>ROUND(AB74*Z74,0)</f>
        <v>15480</v>
      </c>
      <c r="AD74" s="9"/>
    </row>
    <row r="75" spans="1:30" ht="19.5" customHeight="1" x14ac:dyDescent="0.3">
      <c r="A75" s="1" t="s">
        <v>130</v>
      </c>
      <c r="B75" s="173" t="s">
        <v>127</v>
      </c>
      <c r="C75" s="174" t="s">
        <v>128</v>
      </c>
      <c r="D75" s="333">
        <v>43</v>
      </c>
      <c r="E75" s="173">
        <v>0</v>
      </c>
      <c r="F75" s="173">
        <v>0</v>
      </c>
      <c r="G75" s="175">
        <f>IF(E75=0,D75,E75)</f>
        <v>43</v>
      </c>
      <c r="H75" s="176"/>
      <c r="I75" s="177">
        <f>AVERAGE(G75,D75)</f>
        <v>43</v>
      </c>
      <c r="J75" s="178" t="s">
        <v>129</v>
      </c>
      <c r="K75" s="179">
        <v>360</v>
      </c>
      <c r="L75" s="50">
        <f>ROUND(K75*I75,0)</f>
        <v>15480</v>
      </c>
      <c r="N75" s="1">
        <v>7802</v>
      </c>
      <c r="O75" s="1">
        <v>0</v>
      </c>
      <c r="V75" s="358" t="s">
        <v>127</v>
      </c>
      <c r="W75" s="358"/>
      <c r="X75" s="168" t="s">
        <v>131</v>
      </c>
      <c r="Y75" s="180"/>
      <c r="Z75" s="181">
        <f>+I76</f>
        <v>4</v>
      </c>
      <c r="AA75" s="171" t="s">
        <v>129</v>
      </c>
      <c r="AB75" s="182">
        <f>+K76</f>
        <v>1355</v>
      </c>
      <c r="AC75" s="55">
        <f>ROUND(AB75*Z75,0)</f>
        <v>5420</v>
      </c>
      <c r="AD75" s="9"/>
    </row>
    <row r="76" spans="1:30" ht="19.5" customHeight="1" x14ac:dyDescent="0.3">
      <c r="A76" s="1" t="s">
        <v>132</v>
      </c>
      <c r="B76" s="173" t="s">
        <v>127</v>
      </c>
      <c r="C76" s="174" t="s">
        <v>131</v>
      </c>
      <c r="D76" s="333">
        <v>4</v>
      </c>
      <c r="E76" s="173">
        <v>0</v>
      </c>
      <c r="F76" s="173">
        <v>0</v>
      </c>
      <c r="G76" s="175">
        <f>IF(E76=0,D76,E76)</f>
        <v>4</v>
      </c>
      <c r="H76" s="176"/>
      <c r="I76" s="177">
        <f>AVERAGE(G76,D76)</f>
        <v>4</v>
      </c>
      <c r="J76" s="178" t="s">
        <v>129</v>
      </c>
      <c r="K76" s="183">
        <v>1355</v>
      </c>
      <c r="L76" s="50">
        <f>ROUND(K76*I76,0)</f>
        <v>5420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1.1329999999999999E-3</v>
      </c>
      <c r="L77" s="50">
        <f>ROUND(I77*K77,0)</f>
        <v>37070</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1.1329999999999999E-3</v>
      </c>
      <c r="L78" s="50">
        <f>ROUND(I78*K78,0)</f>
        <v>758</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20900</v>
      </c>
      <c r="AD81" s="195"/>
    </row>
    <row r="82" spans="1:30" ht="22.5" customHeight="1" thickTop="1" thickBot="1" x14ac:dyDescent="0.35">
      <c r="B82" s="13" t="s">
        <v>141</v>
      </c>
      <c r="C82" s="13"/>
      <c r="D82" s="314"/>
      <c r="E82" s="13"/>
      <c r="F82" s="13"/>
      <c r="G82" s="13"/>
      <c r="H82" s="13"/>
      <c r="I82" s="13"/>
      <c r="J82" s="13"/>
      <c r="K82" s="13"/>
      <c r="L82" s="196">
        <f>SUM(L44:L81)</f>
        <v>1473159</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'3394'!AC81</f>
        <v>20900</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1473159</v>
      </c>
      <c r="L86" s="82">
        <f>IF(G26=0,0,IF(G26&gt;250,-(((250/G26)*K86)*IF(M86="H",0.02,0.05)),IF(M86="H",-0.02*K86,-0.05*K86)))</f>
        <v>-73657.95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1399501.05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688908</v>
      </c>
      <c r="G89" s="13"/>
      <c r="H89" s="13"/>
      <c r="I89" s="13"/>
      <c r="J89" s="13"/>
      <c r="K89" s="206"/>
      <c r="L89" s="82">
        <v>-925590</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473911.05000000005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118477.76250000001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281</v>
      </c>
      <c r="C123" s="219" t="s">
        <v>200</v>
      </c>
    </row>
    <row r="124" spans="2:3" ht="15.5" hidden="1" x14ac:dyDescent="0.35">
      <c r="B124" s="223" t="s">
        <v>282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41646.4692476852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51"/>
  <sheetViews>
    <sheetView topLeftCell="B77"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'3395'!B2</f>
        <v>50</v>
      </c>
      <c r="W2" s="413" t="s">
        <v>4</v>
      </c>
      <c r="X2" s="414"/>
      <c r="Y2" s="415"/>
      <c r="Z2" s="415"/>
      <c r="AA2" s="415"/>
      <c r="AB2" s="415"/>
      <c r="AC2" s="415"/>
      <c r="AD2" s="9"/>
    </row>
    <row r="3" spans="1:30" ht="20" x14ac:dyDescent="0.4">
      <c r="B3" s="10" t="str">
        <f>"Revenue Estimate Worksheet for "&amp;B124</f>
        <v>Revenue Estimate Worksheet for JFK Medical Center Charter Sch</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'3395'!G7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158.08000000000001</v>
      </c>
      <c r="E10" s="45">
        <v>0</v>
      </c>
      <c r="F10" s="45">
        <v>171.81</v>
      </c>
      <c r="G10" s="46">
        <f>IF(E10=0,D10*2,D10+E10)</f>
        <v>316.16000000000003</v>
      </c>
      <c r="H10" s="47"/>
      <c r="I10" s="48">
        <v>1.125</v>
      </c>
      <c r="J10" s="48"/>
      <c r="K10" s="49">
        <f>ROUND(G10*I10,4)</f>
        <v>355.68</v>
      </c>
      <c r="L10" s="50">
        <f>ROUND(ROUND(K10*$G$7,4)*($K$7),0)</f>
        <v>1378127</v>
      </c>
      <c r="N10" s="51">
        <v>5101</v>
      </c>
      <c r="O10" s="52">
        <v>101</v>
      </c>
      <c r="Q10" s="53"/>
      <c r="V10" s="404" t="s">
        <v>28</v>
      </c>
      <c r="W10" s="404"/>
      <c r="X10" s="396">
        <f>IF('3395'!K$84=1,'3395'!G10,0)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19</v>
      </c>
      <c r="E11" s="13">
        <v>0</v>
      </c>
      <c r="F11" s="13">
        <v>21.16</v>
      </c>
      <c r="G11" s="46">
        <f t="shared" ref="G11:G25" si="2">IF(E11=0,D11*2,D11+E11)</f>
        <v>38</v>
      </c>
      <c r="H11" s="47"/>
      <c r="I11" s="56">
        <f>I10</f>
        <v>1.125</v>
      </c>
      <c r="J11" s="56"/>
      <c r="K11" s="49">
        <f t="shared" ref="K11:K25" si="3">ROUND(G11*I11,4)</f>
        <v>42.75</v>
      </c>
      <c r="L11" s="50">
        <f t="shared" ref="L11:L25" si="4">ROUND(ROUND(K11*$G$7,4)*($K$7),0)</f>
        <v>165640</v>
      </c>
      <c r="M11" s="1" t="str">
        <f>IF(ROUND(G11,2)=ROUND(SUM(G28:G30),2)," ","CHECK 2. PK-3 Lines Below")</f>
        <v xml:space="preserve"> </v>
      </c>
      <c r="N11" s="51">
        <v>5101</v>
      </c>
      <c r="O11" s="57" t="s">
        <v>31</v>
      </c>
      <c r="Q11" s="53"/>
      <c r="V11" s="357" t="s">
        <v>30</v>
      </c>
      <c r="W11" s="357"/>
      <c r="X11" s="396">
        <f>IF('3395'!K$84=1,'3395'!G11,0)</f>
        <v>0</v>
      </c>
      <c r="Y11" s="396"/>
      <c r="Z11" s="397">
        <v>1</v>
      </c>
      <c r="AA11" s="397"/>
      <c r="AB11" s="54">
        <f t="shared" si="0"/>
        <v>0</v>
      </c>
      <c r="AC11" s="55">
        <f t="shared" si="1"/>
        <v>0</v>
      </c>
      <c r="AD11" s="9"/>
    </row>
    <row r="12" spans="1:30" x14ac:dyDescent="0.3">
      <c r="A12" s="1" t="s">
        <v>32</v>
      </c>
      <c r="B12" s="13" t="s">
        <v>33</v>
      </c>
      <c r="C12" s="13"/>
      <c r="D12" s="314">
        <v>67.400000000000006</v>
      </c>
      <c r="E12" s="13">
        <v>0</v>
      </c>
      <c r="F12" s="13">
        <v>74.02</v>
      </c>
      <c r="G12" s="46">
        <f t="shared" si="2"/>
        <v>134.80000000000001</v>
      </c>
      <c r="H12" s="47"/>
      <c r="I12" s="56">
        <v>1</v>
      </c>
      <c r="J12" s="56"/>
      <c r="K12" s="49">
        <f t="shared" si="3"/>
        <v>134.80000000000001</v>
      </c>
      <c r="L12" s="50">
        <f t="shared" si="4"/>
        <v>522299</v>
      </c>
      <c r="N12" s="51">
        <v>5102</v>
      </c>
      <c r="O12" s="52">
        <v>102</v>
      </c>
      <c r="Q12" s="53"/>
      <c r="V12" s="357" t="s">
        <v>33</v>
      </c>
      <c r="W12" s="357"/>
      <c r="X12" s="396">
        <f>IF('3395'!K$84=1,'3395'!G12,0)</f>
        <v>0</v>
      </c>
      <c r="Y12" s="396"/>
      <c r="Z12" s="397">
        <v>1</v>
      </c>
      <c r="AA12" s="397"/>
      <c r="AB12" s="54">
        <f t="shared" si="0"/>
        <v>0</v>
      </c>
      <c r="AC12" s="55">
        <f t="shared" si="1"/>
        <v>0</v>
      </c>
      <c r="AD12" s="9"/>
    </row>
    <row r="13" spans="1:30" x14ac:dyDescent="0.3">
      <c r="A13" s="1" t="s">
        <v>34</v>
      </c>
      <c r="B13" s="13" t="s">
        <v>35</v>
      </c>
      <c r="C13" s="13"/>
      <c r="D13" s="314">
        <v>7</v>
      </c>
      <c r="E13" s="13">
        <v>0</v>
      </c>
      <c r="F13" s="13">
        <v>7.84</v>
      </c>
      <c r="G13" s="46">
        <f t="shared" si="2"/>
        <v>14</v>
      </c>
      <c r="H13" s="47"/>
      <c r="I13" s="56">
        <f>I12</f>
        <v>1</v>
      </c>
      <c r="J13" s="56"/>
      <c r="K13" s="49">
        <f t="shared" si="3"/>
        <v>14</v>
      </c>
      <c r="L13" s="50">
        <f t="shared" si="4"/>
        <v>54245</v>
      </c>
      <c r="M13" s="1" t="str">
        <f>IF(ROUND(G13,2)=ROUND(SUM(G31:G33),2)," ","CHECK 2. PK-3 Lines Below")</f>
        <v xml:space="preserve"> </v>
      </c>
      <c r="N13" s="51">
        <v>5102</v>
      </c>
      <c r="O13" s="57" t="s">
        <v>36</v>
      </c>
      <c r="Q13" s="53"/>
      <c r="V13" s="357" t="s">
        <v>35</v>
      </c>
      <c r="W13" s="357"/>
      <c r="X13" s="396">
        <f>IF('3395'!K$84=1,'3395'!G13,0)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IF('3395'!K$84=1,'3395'!G14,0)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IF('3395'!K$84=1,'3395'!G15,0)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IF('3395'!K$84=1,'3395'!G16,0)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IF('3395'!K$84=1,'3395'!G17,0)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IF('3395'!K$84=1,'3395'!G18,0)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IF('3395'!K$84=1,'3395'!G19,0)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IF('3395'!K$84=1,'3395'!G20,0)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IF('3395'!K$84=1,'3395'!G21,0)</f>
        <v>0</v>
      </c>
      <c r="Y21" s="396"/>
      <c r="Z21" s="397">
        <v>1</v>
      </c>
      <c r="AA21" s="397"/>
      <c r="AB21" s="54">
        <f t="shared" si="0"/>
        <v>0</v>
      </c>
      <c r="AC21" s="55">
        <f t="shared" si="1"/>
        <v>0</v>
      </c>
      <c r="AD21" s="9"/>
    </row>
    <row r="22" spans="1:30" ht="15.5" x14ac:dyDescent="0.35">
      <c r="A22" s="1" t="s">
        <v>54</v>
      </c>
      <c r="B22" s="13" t="s">
        <v>55</v>
      </c>
      <c r="C22" s="13"/>
      <c r="D22" s="314">
        <v>8.02</v>
      </c>
      <c r="E22" s="13">
        <v>0</v>
      </c>
      <c r="F22" s="13">
        <v>8.74</v>
      </c>
      <c r="G22" s="46">
        <f t="shared" si="2"/>
        <v>16.04</v>
      </c>
      <c r="H22" s="47"/>
      <c r="I22" s="56">
        <v>1.145</v>
      </c>
      <c r="J22" s="56"/>
      <c r="K22" s="49">
        <f t="shared" si="3"/>
        <v>18.3658</v>
      </c>
      <c r="L22" s="50">
        <f t="shared" si="4"/>
        <v>71161</v>
      </c>
      <c r="N22" s="51">
        <v>5101</v>
      </c>
      <c r="O22" s="52">
        <v>130</v>
      </c>
      <c r="Q22" s="53"/>
      <c r="V22" s="357" t="s">
        <v>55</v>
      </c>
      <c r="W22" s="357"/>
      <c r="X22" s="396">
        <f>IF('3395'!K$84=1,'3395'!G22,0)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IF('3395'!K$84=1,'3395'!G23,0)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IF('3395'!K$84=1,'3395'!G24,0)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IF('3395'!K$84=1,'3395'!G25,0)</f>
        <v>0</v>
      </c>
      <c r="Y25" s="396"/>
      <c r="Z25" s="397">
        <v>1</v>
      </c>
      <c r="AA25" s="397"/>
      <c r="AB25" s="54">
        <f t="shared" si="0"/>
        <v>0</v>
      </c>
      <c r="AC25" s="55">
        <f t="shared" si="1"/>
        <v>0</v>
      </c>
      <c r="AD25" s="9"/>
    </row>
    <row r="26" spans="1:30" ht="20.25" customHeight="1" thickBot="1" x14ac:dyDescent="0.35">
      <c r="B26" s="61" t="s">
        <v>62</v>
      </c>
      <c r="C26" s="61"/>
      <c r="D26" s="320">
        <f t="shared" ref="D26:E26" si="5">SUM(D10:D25)</f>
        <v>259.5</v>
      </c>
      <c r="E26" s="62">
        <f t="shared" si="5"/>
        <v>0</v>
      </c>
      <c r="F26" s="62"/>
      <c r="G26" s="62">
        <f>SUM(G10:G25)</f>
        <v>519</v>
      </c>
      <c r="H26" s="63"/>
      <c r="I26" s="63"/>
      <c r="J26" s="64"/>
      <c r="K26" s="65">
        <f>SUM(K10:K25)</f>
        <v>565.59580000000005</v>
      </c>
      <c r="L26" s="66">
        <f>SUM(L10:L25)</f>
        <v>2191472</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18.5</v>
      </c>
      <c r="E28" s="13">
        <v>0</v>
      </c>
      <c r="F28" s="78">
        <v>13.5</v>
      </c>
      <c r="G28" s="46">
        <f>IF(E28=0,D28*2,D28+E28)</f>
        <v>37</v>
      </c>
      <c r="H28" s="79"/>
      <c r="I28" s="80" t="s">
        <v>70</v>
      </c>
      <c r="J28" s="51">
        <v>251</v>
      </c>
      <c r="K28" s="81">
        <v>1047</v>
      </c>
      <c r="L28" s="82">
        <f>ROUND(G28*K28,0)</f>
        <v>38739</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7</v>
      </c>
      <c r="E31" s="13">
        <v>0</v>
      </c>
      <c r="F31" s="89">
        <v>10.46</v>
      </c>
      <c r="G31" s="46">
        <f t="shared" si="7"/>
        <v>14</v>
      </c>
      <c r="H31" s="79"/>
      <c r="I31" s="90" t="s">
        <v>74</v>
      </c>
      <c r="J31" s="51">
        <v>251</v>
      </c>
      <c r="K31" s="81">
        <v>1173</v>
      </c>
      <c r="L31" s="82">
        <f t="shared" si="8"/>
        <v>16422</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26</v>
      </c>
      <c r="E37" s="62">
        <f t="shared" si="10"/>
        <v>0</v>
      </c>
      <c r="F37" s="62"/>
      <c r="G37" s="62">
        <f>SUM(G28:G36)</f>
        <v>52</v>
      </c>
      <c r="H37" s="63"/>
      <c r="I37" s="13" t="s">
        <v>82</v>
      </c>
      <c r="J37" s="13"/>
      <c r="K37" s="13"/>
      <c r="L37" s="50">
        <f>SUM(L28:L36)</f>
        <v>58541</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99648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2349661</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416.79579999999999</v>
      </c>
      <c r="D47" s="329"/>
      <c r="E47" s="121"/>
      <c r="F47" s="121"/>
      <c r="G47" s="122">
        <f>K7</f>
        <v>1.0326</v>
      </c>
      <c r="H47" s="122"/>
      <c r="I47" s="123">
        <v>1316.85</v>
      </c>
      <c r="J47" s="124" t="s">
        <v>97</v>
      </c>
      <c r="K47" s="125">
        <f>ROUND(C47*G47*I47,0)</f>
        <v>566750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148.80000000000001</v>
      </c>
      <c r="D48" s="329"/>
      <c r="E48" s="121"/>
      <c r="F48" s="121"/>
      <c r="G48" s="122">
        <f>K7</f>
        <v>1.0326</v>
      </c>
      <c r="H48" s="122"/>
      <c r="I48" s="123">
        <v>898.23</v>
      </c>
      <c r="J48" s="124" t="s">
        <v>97</v>
      </c>
      <c r="K48" s="125">
        <f>ROUND(C48*G48*I48,0)</f>
        <v>138014</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329"/>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565.59580000000005</v>
      </c>
      <c r="D50" s="330"/>
      <c r="E50" s="145"/>
      <c r="F50" s="145"/>
      <c r="G50" s="146" t="s">
        <v>99</v>
      </c>
      <c r="H50" s="146"/>
      <c r="I50" s="146"/>
      <c r="J50" s="146"/>
      <c r="K50" s="146"/>
      <c r="L50" s="50">
        <f>IF(B2=75,0,K49+K48+K47)</f>
        <v>704764</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565.59580000000005</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2.928E-3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519</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2.8930000000000002E-3</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2.928E-3</v>
      </c>
      <c r="L59" s="50">
        <f>ROUND(I59*K59,0)</f>
        <v>12072</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2.928E-3</v>
      </c>
      <c r="L67" s="50">
        <f>ROUND(I67*K67,0)</f>
        <v>283356</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2.8930000000000002E-3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2.928E-3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2.928E-3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2.8930000000000002E-3</v>
      </c>
      <c r="L72" s="50">
        <f>ROUND(I72*K72,0)</f>
        <v>40841</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107</v>
      </c>
      <c r="AA74" s="171" t="s">
        <v>129</v>
      </c>
      <c r="AB74" s="172">
        <f>+K75</f>
        <v>360</v>
      </c>
      <c r="AC74" s="55">
        <f>ROUND(AB74*Z74,0)</f>
        <v>38520</v>
      </c>
      <c r="AD74" s="9"/>
    </row>
    <row r="75" spans="1:30" ht="19.5" customHeight="1" x14ac:dyDescent="0.3">
      <c r="A75" s="1" t="s">
        <v>130</v>
      </c>
      <c r="B75" s="173" t="s">
        <v>127</v>
      </c>
      <c r="C75" s="174" t="s">
        <v>128</v>
      </c>
      <c r="D75" s="333">
        <v>107</v>
      </c>
      <c r="E75" s="173">
        <v>0</v>
      </c>
      <c r="F75" s="173">
        <v>0</v>
      </c>
      <c r="G75" s="175">
        <f>IF(E75=0,D75,E75)</f>
        <v>107</v>
      </c>
      <c r="H75" s="176"/>
      <c r="I75" s="177">
        <f>AVERAGE(G75,D75)</f>
        <v>107</v>
      </c>
      <c r="J75" s="178" t="s">
        <v>129</v>
      </c>
      <c r="K75" s="179">
        <v>360</v>
      </c>
      <c r="L75" s="50">
        <f>ROUND(K75*I75,0)</f>
        <v>38520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33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2.928E-3</v>
      </c>
      <c r="L77" s="50">
        <f>ROUND(I77*K77,0)</f>
        <v>95799</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2.928E-3</v>
      </c>
      <c r="L78" s="50">
        <f>ROUND(I78*K78,0)</f>
        <v>1958</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38520</v>
      </c>
      <c r="AD81" s="195"/>
    </row>
    <row r="82" spans="1:30" ht="22.5" customHeight="1" thickTop="1" thickBot="1" x14ac:dyDescent="0.35">
      <c r="B82" s="13" t="s">
        <v>141</v>
      </c>
      <c r="C82" s="13"/>
      <c r="D82" s="314"/>
      <c r="E82" s="13"/>
      <c r="F82" s="13"/>
      <c r="G82" s="13"/>
      <c r="H82" s="13"/>
      <c r="I82" s="13"/>
      <c r="J82" s="13"/>
      <c r="K82" s="13"/>
      <c r="L82" s="196">
        <f>SUM(L44:L81)</f>
        <v>3526971</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'3395'!AC81</f>
        <v>38520</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3526971</v>
      </c>
      <c r="L86" s="82">
        <f>IF(G26=0,0,IF(G26&gt;250,-(((250/G26)*K86)*IF(M86="H",0.02,0.05)),IF(M86="H",-0.02*K86,-0.05*K86)))</f>
        <v>-84946.315028901736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3442024.6849710983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1706860</v>
      </c>
      <c r="G89" s="13"/>
      <c r="H89" s="13"/>
      <c r="I89" s="13"/>
      <c r="J89" s="13"/>
      <c r="K89" s="206"/>
      <c r="L89" s="82">
        <v>-2285248</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1156776.6849710983</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289194.17124277458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91402.234971098282</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284</v>
      </c>
      <c r="C123" s="219" t="s">
        <v>200</v>
      </c>
    </row>
    <row r="124" spans="2:3" ht="15.5" hidden="1" x14ac:dyDescent="0.35">
      <c r="B124" s="223" t="s">
        <v>285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41646.469259259298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51"/>
  <sheetViews>
    <sheetView topLeftCell="B83" zoomScale="90" zoomScaleNormal="90" workbookViewId="0">
      <selection activeCell="D28" sqref="D28:D36"/>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'3396'!B2</f>
        <v>50</v>
      </c>
      <c r="W2" s="413" t="s">
        <v>4</v>
      </c>
      <c r="X2" s="414"/>
      <c r="Y2" s="415"/>
      <c r="Z2" s="415"/>
      <c r="AA2" s="415"/>
      <c r="AB2" s="415"/>
      <c r="AC2" s="415"/>
      <c r="AD2" s="9"/>
    </row>
    <row r="3" spans="1:30" ht="20" x14ac:dyDescent="0.4">
      <c r="B3" s="10" t="str">
        <f>"Revenue Estimate Worksheet for "&amp;B124</f>
        <v>Revenue Estimate Worksheet for G. Hauptner G-Star Charter</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'3396'!G7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IF('3396'!K$84=1,'3396'!G10,0)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IF('3396'!K$84=1,'3396'!G11,0)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IF('3396'!K$84=1,'3396'!G12,0)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IF('3396'!K$84=1,'3396'!G13,0)</f>
        <v>0</v>
      </c>
      <c r="Y13" s="396"/>
      <c r="Z13" s="397">
        <v>1</v>
      </c>
      <c r="AA13" s="397"/>
      <c r="AB13" s="54">
        <f t="shared" si="0"/>
        <v>0</v>
      </c>
      <c r="AC13" s="55">
        <f t="shared" si="1"/>
        <v>0</v>
      </c>
      <c r="AD13" s="9"/>
    </row>
    <row r="14" spans="1:30" x14ac:dyDescent="0.3">
      <c r="A14" s="1" t="s">
        <v>37</v>
      </c>
      <c r="B14" s="13" t="s">
        <v>38</v>
      </c>
      <c r="C14" s="13"/>
      <c r="D14" s="13">
        <v>434.29</v>
      </c>
      <c r="E14" s="13">
        <v>0</v>
      </c>
      <c r="F14" s="13">
        <v>499.06</v>
      </c>
      <c r="G14" s="46">
        <f t="shared" si="2"/>
        <v>868.58</v>
      </c>
      <c r="H14" s="47"/>
      <c r="I14" s="56">
        <v>1.0109999999999999</v>
      </c>
      <c r="J14" s="56"/>
      <c r="K14" s="49">
        <f t="shared" si="3"/>
        <v>878.13440000000003</v>
      </c>
      <c r="L14" s="50">
        <f t="shared" si="4"/>
        <v>3402441</v>
      </c>
      <c r="N14" s="51">
        <v>5103</v>
      </c>
      <c r="O14" s="52">
        <v>103</v>
      </c>
      <c r="Q14" s="53"/>
      <c r="V14" s="357" t="s">
        <v>38</v>
      </c>
      <c r="W14" s="357"/>
      <c r="X14" s="396">
        <f>IF('3396'!K$84=1,'3396'!G14,0)</f>
        <v>0</v>
      </c>
      <c r="Y14" s="396"/>
      <c r="Z14" s="397">
        <v>1</v>
      </c>
      <c r="AA14" s="397"/>
      <c r="AB14" s="54">
        <f t="shared" si="0"/>
        <v>0</v>
      </c>
      <c r="AC14" s="55">
        <f t="shared" si="1"/>
        <v>0</v>
      </c>
      <c r="AD14" s="9"/>
    </row>
    <row r="15" spans="1:30" x14ac:dyDescent="0.3">
      <c r="A15" s="1" t="s">
        <v>39</v>
      </c>
      <c r="B15" s="13" t="s">
        <v>40</v>
      </c>
      <c r="C15" s="13"/>
      <c r="D15" s="13">
        <v>40.61</v>
      </c>
      <c r="E15" s="13">
        <v>0</v>
      </c>
      <c r="F15" s="13">
        <v>47.54</v>
      </c>
      <c r="G15" s="46">
        <f t="shared" si="2"/>
        <v>81.22</v>
      </c>
      <c r="H15" s="47"/>
      <c r="I15" s="56">
        <f>I14</f>
        <v>1.0109999999999999</v>
      </c>
      <c r="J15" s="56"/>
      <c r="K15" s="49">
        <f t="shared" si="3"/>
        <v>82.113399999999999</v>
      </c>
      <c r="L15" s="58">
        <f t="shared" si="4"/>
        <v>318159</v>
      </c>
      <c r="M15" s="1" t="str">
        <f>IF(ROUND(G15,2)=ROUND(SUM(G34:G36),2)," ","CHECK 2. PK-3 Lines Below")</f>
        <v xml:space="preserve"> </v>
      </c>
      <c r="N15" s="51">
        <v>5103</v>
      </c>
      <c r="O15" s="57" t="s">
        <v>41</v>
      </c>
      <c r="Q15" s="53"/>
      <c r="V15" s="357" t="s">
        <v>40</v>
      </c>
      <c r="W15" s="357"/>
      <c r="X15" s="396">
        <f>IF('3396'!K$84=1,'3396'!G15,0)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IF('3396'!K$84=1,'3396'!G16,0)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IF('3396'!K$84=1,'3396'!G17,0)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IF('3396'!K$84=1,'3396'!G18,0)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IF('3396'!K$84=1,'3396'!G19,0)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IF('3396'!K$84=1,'3396'!G20,0)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IF('3396'!K$84=1,'3396'!G21,0)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IF('3396'!K$84=1,'3396'!G22,0)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IF('3396'!K$84=1,'3396'!G23,0)</f>
        <v>0</v>
      </c>
      <c r="Y23" s="396"/>
      <c r="Z23" s="397">
        <v>1</v>
      </c>
      <c r="AA23" s="397"/>
      <c r="AB23" s="54">
        <f t="shared" si="0"/>
        <v>0</v>
      </c>
      <c r="AC23" s="55">
        <f t="shared" si="1"/>
        <v>0</v>
      </c>
      <c r="AD23" s="9"/>
    </row>
    <row r="24" spans="1:30" ht="15.5" x14ac:dyDescent="0.35">
      <c r="A24" s="1" t="s">
        <v>58</v>
      </c>
      <c r="B24" s="13" t="s">
        <v>59</v>
      </c>
      <c r="C24" s="13"/>
      <c r="D24" s="13">
        <v>0.28999999999999998</v>
      </c>
      <c r="E24" s="13">
        <v>0</v>
      </c>
      <c r="F24" s="13">
        <v>0.33</v>
      </c>
      <c r="G24" s="46">
        <f t="shared" si="2"/>
        <v>0.57999999999999996</v>
      </c>
      <c r="H24" s="47"/>
      <c r="I24" s="56">
        <f>I23</f>
        <v>1.145</v>
      </c>
      <c r="J24" s="56"/>
      <c r="K24" s="49">
        <f t="shared" si="3"/>
        <v>0.66410000000000002</v>
      </c>
      <c r="L24" s="50">
        <f t="shared" si="4"/>
        <v>2573</v>
      </c>
      <c r="N24" s="51">
        <v>5103</v>
      </c>
      <c r="O24" s="52">
        <v>130</v>
      </c>
      <c r="Q24" s="53"/>
      <c r="V24" s="357" t="s">
        <v>59</v>
      </c>
      <c r="W24" s="357"/>
      <c r="X24" s="396">
        <f>IF('3396'!K$84=1,'3396'!G24,0)</f>
        <v>0</v>
      </c>
      <c r="Y24" s="396"/>
      <c r="Z24" s="397">
        <v>1</v>
      </c>
      <c r="AA24" s="397"/>
      <c r="AB24" s="54">
        <f t="shared" si="0"/>
        <v>0</v>
      </c>
      <c r="AC24" s="55">
        <f t="shared" si="1"/>
        <v>0</v>
      </c>
      <c r="AD24" s="9"/>
    </row>
    <row r="25" spans="1:30" ht="16" thickBot="1" x14ac:dyDescent="0.4">
      <c r="A25" s="1" t="s">
        <v>60</v>
      </c>
      <c r="B25" s="13" t="s">
        <v>61</v>
      </c>
      <c r="C25" s="13"/>
      <c r="D25" s="13">
        <v>47.22</v>
      </c>
      <c r="E25" s="13">
        <v>0</v>
      </c>
      <c r="F25" s="13">
        <v>54.87</v>
      </c>
      <c r="G25" s="60">
        <f t="shared" si="2"/>
        <v>94.44</v>
      </c>
      <c r="H25" s="47"/>
      <c r="I25" s="56">
        <v>1.0109999999999999</v>
      </c>
      <c r="J25" s="56"/>
      <c r="K25" s="49">
        <f t="shared" si="3"/>
        <v>95.478800000000007</v>
      </c>
      <c r="L25" s="50">
        <f t="shared" si="4"/>
        <v>369945</v>
      </c>
      <c r="N25" s="51">
        <v>5310</v>
      </c>
      <c r="O25" s="52">
        <v>300</v>
      </c>
      <c r="Q25" s="53"/>
      <c r="V25" s="357" t="s">
        <v>61</v>
      </c>
      <c r="W25" s="357"/>
      <c r="X25" s="396">
        <f>IF('3396'!K$84=1,'3396'!G25,0)</f>
        <v>0</v>
      </c>
      <c r="Y25" s="396"/>
      <c r="Z25" s="397">
        <v>1</v>
      </c>
      <c r="AA25" s="397"/>
      <c r="AB25" s="54">
        <f t="shared" si="0"/>
        <v>0</v>
      </c>
      <c r="AC25" s="55">
        <f t="shared" si="1"/>
        <v>0</v>
      </c>
      <c r="AD25" s="9"/>
    </row>
    <row r="26" spans="1:30" ht="20.25" customHeight="1" thickBot="1" x14ac:dyDescent="0.35">
      <c r="B26" s="61" t="s">
        <v>62</v>
      </c>
      <c r="C26" s="61"/>
      <c r="D26" s="320">
        <f t="shared" ref="D26:E26" si="5">SUM(D10:D25)</f>
        <v>522.41000000000008</v>
      </c>
      <c r="E26" s="62">
        <f t="shared" si="5"/>
        <v>0</v>
      </c>
      <c r="F26" s="62"/>
      <c r="G26" s="62">
        <f>SUM(G10:G25)</f>
        <v>1044.8200000000002</v>
      </c>
      <c r="H26" s="63"/>
      <c r="I26" s="63"/>
      <c r="J26" s="64"/>
      <c r="K26" s="65">
        <f>SUM(K10:K25)</f>
        <v>1056.3906999999999</v>
      </c>
      <c r="L26" s="66">
        <f>SUM(L10:L25)</f>
        <v>4093118</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39.11</v>
      </c>
      <c r="E34" s="13">
        <v>0</v>
      </c>
      <c r="F34" s="89">
        <v>36</v>
      </c>
      <c r="G34" s="46">
        <f t="shared" si="7"/>
        <v>78.22</v>
      </c>
      <c r="H34" s="79"/>
      <c r="I34" s="90" t="s">
        <v>78</v>
      </c>
      <c r="J34" s="51">
        <v>251</v>
      </c>
      <c r="K34" s="81">
        <v>835</v>
      </c>
      <c r="L34" s="82">
        <f t="shared" si="8"/>
        <v>65314</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1</v>
      </c>
      <c r="E35" s="13">
        <v>0</v>
      </c>
      <c r="F35" s="89">
        <v>1</v>
      </c>
      <c r="G35" s="46">
        <f t="shared" si="7"/>
        <v>2</v>
      </c>
      <c r="H35" s="79"/>
      <c r="I35" s="90" t="s">
        <v>78</v>
      </c>
      <c r="J35" s="51">
        <v>252</v>
      </c>
      <c r="K35" s="81">
        <v>3168</v>
      </c>
      <c r="L35" s="82">
        <f t="shared" si="8"/>
        <v>6336</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0.5</v>
      </c>
      <c r="E36" s="13">
        <v>0</v>
      </c>
      <c r="F36" s="89">
        <v>0.5</v>
      </c>
      <c r="G36" s="46">
        <f t="shared" si="7"/>
        <v>1</v>
      </c>
      <c r="H36" s="79"/>
      <c r="I36" s="90" t="s">
        <v>78</v>
      </c>
      <c r="J36" s="51">
        <v>253</v>
      </c>
      <c r="K36" s="81">
        <v>6685</v>
      </c>
      <c r="L36" s="93">
        <f t="shared" si="8"/>
        <v>6685</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40.61</v>
      </c>
      <c r="E37" s="62">
        <f t="shared" si="10"/>
        <v>0</v>
      </c>
      <c r="F37" s="62"/>
      <c r="G37" s="62">
        <f>SUM(G28:G36)</f>
        <v>81.22</v>
      </c>
      <c r="H37" s="63"/>
      <c r="I37" s="13" t="s">
        <v>82</v>
      </c>
      <c r="J37" s="13"/>
      <c r="K37" s="13"/>
      <c r="L37" s="50">
        <f>SUM(L28:L36)</f>
        <v>78335</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200605</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4372058</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1056.3906999999999</v>
      </c>
      <c r="D49" s="121"/>
      <c r="E49" s="121"/>
      <c r="F49" s="121"/>
      <c r="G49" s="122">
        <f>K7</f>
        <v>1.0326</v>
      </c>
      <c r="H49" s="122"/>
      <c r="I49" s="123">
        <v>900.39</v>
      </c>
      <c r="J49" s="124" t="s">
        <v>97</v>
      </c>
      <c r="K49" s="125">
        <f>ROUND(C49*G49*I49,0)</f>
        <v>982172</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1056.3906999999999</v>
      </c>
      <c r="D50" s="144"/>
      <c r="E50" s="145"/>
      <c r="F50" s="145"/>
      <c r="G50" s="146" t="s">
        <v>99</v>
      </c>
      <c r="H50" s="146"/>
      <c r="I50" s="146"/>
      <c r="J50" s="146"/>
      <c r="K50" s="146"/>
      <c r="L50" s="50">
        <f>IF(B2=75,0,K49+K48+K47)</f>
        <v>982172</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1056.3906999999999</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5.4689999999999999E-3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1044.8200000000002</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5.8240000000000002E-3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5.4689999999999999E-3</v>
      </c>
      <c r="L59" s="50">
        <f>ROUND(I59*K59,0)</f>
        <v>22548</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5.4689999999999999E-3</v>
      </c>
      <c r="L67" s="50">
        <f>ROUND(I67*K67,0)</f>
        <v>529260</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5.8240000000000002E-3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5.4689999999999999E-3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5.4689999999999999E-3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5.8240000000000002E-3</v>
      </c>
      <c r="L72" s="50">
        <f>ROUND(I72*K72,0)</f>
        <v>82219</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594</v>
      </c>
      <c r="AA74" s="171" t="s">
        <v>129</v>
      </c>
      <c r="AB74" s="172">
        <f>+K75</f>
        <v>360</v>
      </c>
      <c r="AC74" s="55">
        <f>ROUND(AB74*Z74,0)</f>
        <v>213840</v>
      </c>
      <c r="AD74" s="9"/>
    </row>
    <row r="75" spans="1:30" ht="19.5" customHeight="1" x14ac:dyDescent="0.3">
      <c r="A75" s="1" t="s">
        <v>130</v>
      </c>
      <c r="B75" s="173" t="s">
        <v>127</v>
      </c>
      <c r="C75" s="174" t="s">
        <v>128</v>
      </c>
      <c r="D75" s="173">
        <v>594</v>
      </c>
      <c r="E75" s="173">
        <v>0</v>
      </c>
      <c r="F75" s="173">
        <v>0</v>
      </c>
      <c r="G75" s="175">
        <f>IF(E75=0,D75,E75)</f>
        <v>594</v>
      </c>
      <c r="H75" s="176"/>
      <c r="I75" s="177">
        <f>AVERAGE(G75,D75)</f>
        <v>594</v>
      </c>
      <c r="J75" s="178" t="s">
        <v>129</v>
      </c>
      <c r="K75" s="179">
        <v>360</v>
      </c>
      <c r="L75" s="50">
        <f>ROUND(K75*I75,0)</f>
        <v>213840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5.4689999999999999E-3</v>
      </c>
      <c r="L77" s="50">
        <f>ROUND(I77*K77,0)</f>
        <v>178936</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5.4689999999999999E-3</v>
      </c>
      <c r="L78" s="50">
        <f>ROUND(I78*K78,0)</f>
        <v>3657</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213840</v>
      </c>
      <c r="AD81" s="195"/>
    </row>
    <row r="82" spans="1:30" ht="22.5" customHeight="1" thickTop="1" thickBot="1" x14ac:dyDescent="0.35">
      <c r="B82" s="13" t="s">
        <v>141</v>
      </c>
      <c r="C82" s="13"/>
      <c r="D82" s="13"/>
      <c r="E82" s="13"/>
      <c r="F82" s="13"/>
      <c r="G82" s="13"/>
      <c r="H82" s="13"/>
      <c r="I82" s="13"/>
      <c r="J82" s="13"/>
      <c r="K82" s="13"/>
      <c r="L82" s="196">
        <f>SUM(L44:L81)</f>
        <v>6384690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'3396'!AC81</f>
        <v>213840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400</v>
      </c>
      <c r="C86" s="13"/>
      <c r="D86" s="13"/>
      <c r="E86" s="13"/>
      <c r="F86" s="13"/>
      <c r="G86" s="13"/>
      <c r="H86" s="13"/>
      <c r="I86" s="13"/>
      <c r="J86" s="204" t="s">
        <v>150</v>
      </c>
      <c r="K86" s="205">
        <f>IF(K84=1,L84,L82)</f>
        <v>6384690</v>
      </c>
      <c r="L86" s="82">
        <f>IF(G26=0,0,IF(G26&gt;250,-(((250/G26)*K86)*IF(M86="H",0.02,0.05)),IF(M86="H",-0.02*K86,-0.05*K86)))</f>
        <v>-30554.01887406443</v>
      </c>
      <c r="M86" s="197" t="str">
        <f>IF(B123="2801","H",IF(B123="2911","H",IF(B123="3382","H",IF(B123="3396","H"," "))))</f>
        <v>H</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6354135.9811259359</v>
      </c>
      <c r="M87" s="197"/>
      <c r="N87" s="198"/>
      <c r="O87" s="1"/>
      <c r="Q87" s="160"/>
      <c r="V87" s="193"/>
      <c r="W87" s="193"/>
      <c r="X87" s="193"/>
      <c r="Y87" s="193"/>
      <c r="Z87" s="193"/>
      <c r="AA87" s="193"/>
      <c r="AB87" s="193"/>
      <c r="AC87" s="193"/>
      <c r="AD87" s="207"/>
    </row>
    <row r="88" spans="1:30" x14ac:dyDescent="0.3">
      <c r="V88" s="193">
        <v>3396</v>
      </c>
      <c r="W88" s="193"/>
      <c r="X88" s="193"/>
      <c r="Y88" s="193"/>
      <c r="Z88" s="193"/>
      <c r="AA88" s="193"/>
      <c r="AB88" s="193"/>
      <c r="AC88" s="193"/>
      <c r="AD88" s="208"/>
    </row>
    <row r="89" spans="1:30" ht="18.75" customHeight="1" x14ac:dyDescent="0.3">
      <c r="A89" s="1" t="s">
        <v>153</v>
      </c>
      <c r="B89" s="13" t="s">
        <v>154</v>
      </c>
      <c r="C89" s="13"/>
      <c r="D89" s="13">
        <v>0</v>
      </c>
      <c r="E89" s="13">
        <v>0</v>
      </c>
      <c r="F89" s="13">
        <v>3210597</v>
      </c>
      <c r="G89" s="13"/>
      <c r="H89" s="13"/>
      <c r="I89" s="13"/>
      <c r="J89" s="13"/>
      <c r="K89" s="206"/>
      <c r="L89" s="82">
        <v>-4243167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2110968.9811259359</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527742.24528148398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97139.78112593558</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hidden="1"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287</v>
      </c>
      <c r="C123" s="219" t="s">
        <v>200</v>
      </c>
    </row>
    <row r="124" spans="2:3" ht="15.5" hidden="1" x14ac:dyDescent="0.35">
      <c r="B124" s="223" t="s">
        <v>288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41646.469270833302</v>
      </c>
      <c r="C136" s="226" t="s">
        <v>212</v>
      </c>
    </row>
    <row r="137" spans="2:3" ht="15.5" hidden="1"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51"/>
  <sheetViews>
    <sheetView topLeftCell="B83"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'0054'!B2</f>
        <v>50</v>
      </c>
      <c r="W2" s="413" t="s">
        <v>4</v>
      </c>
      <c r="X2" s="414"/>
      <c r="Y2" s="415"/>
      <c r="Z2" s="415"/>
      <c r="AA2" s="415"/>
      <c r="AB2" s="415"/>
      <c r="AC2" s="415"/>
      <c r="AD2" s="9"/>
    </row>
    <row r="3" spans="1:30" ht="20" x14ac:dyDescent="0.4">
      <c r="B3" s="10" t="str">
        <f>"Revenue Estimate Worksheet for "&amp;B124</f>
        <v>Revenue Estimate Worksheet for Boca Raton Charter School</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'0054'!G7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32.270000000000003</v>
      </c>
      <c r="E10" s="45">
        <v>0</v>
      </c>
      <c r="F10" s="45">
        <v>33.549999999999997</v>
      </c>
      <c r="G10" s="46">
        <f>IF(E10=0,D10*2,D10+E10)</f>
        <v>64.540000000000006</v>
      </c>
      <c r="H10" s="47"/>
      <c r="I10" s="48">
        <v>1.125</v>
      </c>
      <c r="J10" s="48"/>
      <c r="K10" s="49">
        <f>ROUND(G10*I10,4)</f>
        <v>72.607500000000002</v>
      </c>
      <c r="L10" s="50">
        <f>ROUND(ROUND(K10*$G$7,4)*($K$7),0)</f>
        <v>281327</v>
      </c>
      <c r="N10" s="51">
        <v>5101</v>
      </c>
      <c r="O10" s="52">
        <v>101</v>
      </c>
      <c r="Q10" s="53"/>
      <c r="V10" s="404" t="s">
        <v>28</v>
      </c>
      <c r="W10" s="404"/>
      <c r="X10" s="396">
        <f>IF('0054'!K$84=1,'0054'!G10,0)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2</v>
      </c>
      <c r="E11" s="13">
        <v>0</v>
      </c>
      <c r="F11" s="13">
        <v>2.16</v>
      </c>
      <c r="G11" s="46">
        <f t="shared" ref="G11:G25" si="2">IF(E11=0,D11*2,D11+E11)</f>
        <v>4</v>
      </c>
      <c r="H11" s="47"/>
      <c r="I11" s="56">
        <f>I10</f>
        <v>1.125</v>
      </c>
      <c r="J11" s="56"/>
      <c r="K11" s="49">
        <f t="shared" ref="K11:K25" si="3">ROUND(G11*I11,4)</f>
        <v>4.5</v>
      </c>
      <c r="L11" s="50">
        <f t="shared" ref="L11:L25" si="4">ROUND(ROUND(K11*$G$7,4)*($K$7),0)</f>
        <v>17436</v>
      </c>
      <c r="M11" s="1" t="str">
        <f>IF(ROUND(G11,2)=ROUND(SUM(G28:G30),2)," ","CHECK 2. PK-3 Lines Below")</f>
        <v xml:space="preserve"> </v>
      </c>
      <c r="N11" s="51">
        <v>5101</v>
      </c>
      <c r="O11" s="57" t="s">
        <v>31</v>
      </c>
      <c r="Q11" s="53"/>
      <c r="V11" s="357" t="s">
        <v>30</v>
      </c>
      <c r="W11" s="357"/>
      <c r="X11" s="396">
        <f>IF('0054'!K$84=1,'0054'!G11,0)</f>
        <v>0</v>
      </c>
      <c r="Y11" s="396"/>
      <c r="Z11" s="397">
        <v>1</v>
      </c>
      <c r="AA11" s="397"/>
      <c r="AB11" s="54">
        <f t="shared" si="0"/>
        <v>0</v>
      </c>
      <c r="AC11" s="55">
        <f t="shared" si="1"/>
        <v>0</v>
      </c>
      <c r="AD11" s="9"/>
    </row>
    <row r="12" spans="1:30" x14ac:dyDescent="0.3">
      <c r="A12" s="1" t="s">
        <v>32</v>
      </c>
      <c r="B12" s="13" t="s">
        <v>33</v>
      </c>
      <c r="C12" s="13"/>
      <c r="D12" s="13">
        <v>14.09</v>
      </c>
      <c r="E12" s="13">
        <v>0</v>
      </c>
      <c r="F12" s="13">
        <v>14.65</v>
      </c>
      <c r="G12" s="46">
        <f t="shared" si="2"/>
        <v>28.18</v>
      </c>
      <c r="H12" s="47"/>
      <c r="I12" s="56">
        <v>1</v>
      </c>
      <c r="J12" s="56"/>
      <c r="K12" s="49">
        <f t="shared" si="3"/>
        <v>28.18</v>
      </c>
      <c r="L12" s="50">
        <f t="shared" si="4"/>
        <v>109187</v>
      </c>
      <c r="N12" s="51">
        <v>5102</v>
      </c>
      <c r="O12" s="52">
        <v>102</v>
      </c>
      <c r="Q12" s="53"/>
      <c r="V12" s="357" t="s">
        <v>33</v>
      </c>
      <c r="W12" s="357"/>
      <c r="X12" s="396">
        <f>IF('0054'!K$84=1,'0054'!G12,0)</f>
        <v>0</v>
      </c>
      <c r="Y12" s="396"/>
      <c r="Z12" s="397">
        <v>1</v>
      </c>
      <c r="AA12" s="397"/>
      <c r="AB12" s="54">
        <f t="shared" si="0"/>
        <v>0</v>
      </c>
      <c r="AC12" s="55">
        <f t="shared" si="1"/>
        <v>0</v>
      </c>
      <c r="AD12" s="9"/>
    </row>
    <row r="13" spans="1:30" x14ac:dyDescent="0.3">
      <c r="A13" s="1" t="s">
        <v>34</v>
      </c>
      <c r="B13" s="13" t="s">
        <v>35</v>
      </c>
      <c r="C13" s="13"/>
      <c r="D13" s="13">
        <v>2</v>
      </c>
      <c r="E13" s="13">
        <v>0</v>
      </c>
      <c r="F13" s="13">
        <v>2.15</v>
      </c>
      <c r="G13" s="46">
        <f t="shared" si="2"/>
        <v>4</v>
      </c>
      <c r="H13" s="47"/>
      <c r="I13" s="56">
        <f>I12</f>
        <v>1</v>
      </c>
      <c r="J13" s="56"/>
      <c r="K13" s="49">
        <f t="shared" si="3"/>
        <v>4</v>
      </c>
      <c r="L13" s="50">
        <f t="shared" si="4"/>
        <v>15498</v>
      </c>
      <c r="M13" s="1" t="str">
        <f>IF(ROUND(G13,2)=ROUND(SUM(G31:G33),2)," ","CHECK 2. PK-3 Lines Below")</f>
        <v xml:space="preserve"> </v>
      </c>
      <c r="N13" s="51">
        <v>5102</v>
      </c>
      <c r="O13" s="57" t="s">
        <v>36</v>
      </c>
      <c r="Q13" s="53"/>
      <c r="V13" s="357" t="s">
        <v>35</v>
      </c>
      <c r="W13" s="357"/>
      <c r="X13" s="396">
        <f>IF('0054'!K$84=1,'0054'!G13,0)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IF('0054'!K$84=1,'0054'!G14,0)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IF('0054'!K$84=1,'0054'!G15,0)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IF('0054'!K$84=1,'0054'!G16,0)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IF('0054'!K$84=1,'0054'!G17,0)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IF('0054'!K$84=1,'0054'!G18,0)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IF('0054'!K$84=1,'0054'!G19,0)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IF('0054'!K$84=1,'0054'!G20,0)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IF('0054'!K$84=1,'0054'!G21,0)</f>
        <v>0</v>
      </c>
      <c r="Y21" s="396"/>
      <c r="Z21" s="397">
        <v>1</v>
      </c>
      <c r="AA21" s="397"/>
      <c r="AB21" s="54">
        <f t="shared" si="0"/>
        <v>0</v>
      </c>
      <c r="AC21" s="55">
        <f t="shared" si="1"/>
        <v>0</v>
      </c>
      <c r="AD21" s="9"/>
    </row>
    <row r="22" spans="1:30" ht="15.5" x14ac:dyDescent="0.35">
      <c r="A22" s="1" t="s">
        <v>54</v>
      </c>
      <c r="B22" s="13" t="s">
        <v>55</v>
      </c>
      <c r="C22" s="13"/>
      <c r="D22" s="13">
        <v>1.64</v>
      </c>
      <c r="E22" s="13">
        <v>0</v>
      </c>
      <c r="F22" s="13">
        <v>1.72</v>
      </c>
      <c r="G22" s="46">
        <f t="shared" si="2"/>
        <v>3.28</v>
      </c>
      <c r="H22" s="47"/>
      <c r="I22" s="56">
        <v>1.145</v>
      </c>
      <c r="J22" s="56"/>
      <c r="K22" s="49">
        <f t="shared" si="3"/>
        <v>3.7555999999999998</v>
      </c>
      <c r="L22" s="50">
        <f t="shared" si="4"/>
        <v>14552</v>
      </c>
      <c r="N22" s="51">
        <v>5101</v>
      </c>
      <c r="O22" s="52">
        <v>130</v>
      </c>
      <c r="Q22" s="53"/>
      <c r="V22" s="357" t="s">
        <v>55</v>
      </c>
      <c r="W22" s="357"/>
      <c r="X22" s="396">
        <f>IF('0054'!K$84=1,'0054'!G22,0)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IF('0054'!K$84=1,'0054'!G23,0)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IF('0054'!K$84=1,'0054'!G24,0)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IF('0054'!K$84=1,'0054'!G25,0)</f>
        <v>0</v>
      </c>
      <c r="Y25" s="396"/>
      <c r="Z25" s="397">
        <v>1</v>
      </c>
      <c r="AA25" s="397"/>
      <c r="AB25" s="54">
        <f t="shared" si="0"/>
        <v>0</v>
      </c>
      <c r="AC25" s="55">
        <f t="shared" si="1"/>
        <v>0</v>
      </c>
      <c r="AD25" s="9"/>
    </row>
    <row r="26" spans="1:30" ht="20.25" customHeight="1" thickBot="1" x14ac:dyDescent="0.35">
      <c r="B26" s="61" t="s">
        <v>62</v>
      </c>
      <c r="C26" s="61"/>
      <c r="D26" s="62">
        <f t="shared" ref="D26:E26" si="5">SUM(D10:D25)</f>
        <v>52</v>
      </c>
      <c r="E26" s="62">
        <f t="shared" si="5"/>
        <v>0</v>
      </c>
      <c r="F26" s="62"/>
      <c r="G26" s="62">
        <f>SUM(G10:G25)</f>
        <v>104</v>
      </c>
      <c r="H26" s="63"/>
      <c r="I26" s="63"/>
      <c r="J26" s="64"/>
      <c r="K26" s="65">
        <f>SUM(K10:K25)</f>
        <v>113.0431</v>
      </c>
      <c r="L26" s="66">
        <f>SUM(L10:L25)</f>
        <v>438000</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2</v>
      </c>
      <c r="E28" s="13">
        <v>0</v>
      </c>
      <c r="F28" s="78">
        <v>3.5</v>
      </c>
      <c r="G28" s="46">
        <f>IF(E28=0,D28*2,D28+E28)</f>
        <v>4</v>
      </c>
      <c r="H28" s="79"/>
      <c r="I28" s="80" t="s">
        <v>70</v>
      </c>
      <c r="J28" s="51">
        <v>251</v>
      </c>
      <c r="K28" s="81">
        <v>1047</v>
      </c>
      <c r="L28" s="82">
        <f>ROUND(G28*K28,0)</f>
        <v>4188</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2</v>
      </c>
      <c r="E31" s="13">
        <v>0</v>
      </c>
      <c r="F31" s="89">
        <v>1.5</v>
      </c>
      <c r="G31" s="46">
        <f t="shared" si="7"/>
        <v>4</v>
      </c>
      <c r="H31" s="79"/>
      <c r="I31" s="90" t="s">
        <v>74</v>
      </c>
      <c r="J31" s="51">
        <v>251</v>
      </c>
      <c r="K31" s="81">
        <v>1173</v>
      </c>
      <c r="L31" s="82">
        <f t="shared" si="8"/>
        <v>4692</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4</v>
      </c>
      <c r="E37" s="62">
        <f t="shared" si="10"/>
        <v>0</v>
      </c>
      <c r="F37" s="62"/>
      <c r="G37" s="62">
        <f>SUM(G28:G36)</f>
        <v>8</v>
      </c>
      <c r="H37" s="63"/>
      <c r="I37" s="13" t="s">
        <v>82</v>
      </c>
      <c r="J37" s="13"/>
      <c r="K37" s="13"/>
      <c r="L37" s="50">
        <f>SUM(L28:L36)</f>
        <v>8880</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19968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466848</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80.863100000000003</v>
      </c>
      <c r="D47" s="121"/>
      <c r="E47" s="121"/>
      <c r="F47" s="121"/>
      <c r="G47" s="122">
        <f>K7</f>
        <v>1.0326</v>
      </c>
      <c r="H47" s="122"/>
      <c r="I47" s="123">
        <v>1316.85</v>
      </c>
      <c r="J47" s="124" t="s">
        <v>97</v>
      </c>
      <c r="K47" s="125">
        <f>ROUND(C47*G47*I47,0)</f>
        <v>109956</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32.18</v>
      </c>
      <c r="D48" s="121"/>
      <c r="E48" s="121"/>
      <c r="F48" s="121"/>
      <c r="G48" s="122">
        <f>K7</f>
        <v>1.0326</v>
      </c>
      <c r="H48" s="122"/>
      <c r="I48" s="123">
        <v>898.23</v>
      </c>
      <c r="J48" s="124" t="s">
        <v>97</v>
      </c>
      <c r="K48" s="125">
        <f>ROUND(C48*G48*I48,0)</f>
        <v>29847</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113.04310000000001</v>
      </c>
      <c r="D50" s="144"/>
      <c r="E50" s="145"/>
      <c r="F50" s="145"/>
      <c r="G50" s="146" t="s">
        <v>99</v>
      </c>
      <c r="H50" s="146"/>
      <c r="I50" s="146"/>
      <c r="J50" s="146"/>
      <c r="K50" s="146"/>
      <c r="L50" s="50">
        <f>IF(B2=75,0,K49+K48+K47)</f>
        <v>139803</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113.0431</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5.8500000000000002E-4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104</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5.8E-4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5.8500000000000002E-4</v>
      </c>
      <c r="L59" s="50">
        <f>ROUND(I59*K59,0)</f>
        <v>2412</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5.8500000000000002E-4</v>
      </c>
      <c r="L67" s="50">
        <f>ROUND(I67*K67,0)</f>
        <v>56613</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5.8E-4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5.8500000000000002E-4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5.8500000000000002E-4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5.8E-4</v>
      </c>
      <c r="L72" s="50">
        <f>ROUND(I72*K72,0)</f>
        <v>8188</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5.8500000000000002E-4</v>
      </c>
      <c r="L77" s="50">
        <f>ROUND(I77*K77,0)</f>
        <v>19140</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5.8500000000000002E-4</v>
      </c>
      <c r="L78" s="50">
        <f>ROUND(I78*K78,0)</f>
        <v>391</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693395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'0054'!AC81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693395</v>
      </c>
      <c r="L86" s="82">
        <f>IF(G26=0,0,IF(G26&gt;250,-(((250/G26)*K86)*IF(M86="H",0.02,0.05)),IF(M86="H",-0.02*K86,-0.05*K86)))</f>
        <v>-34669.75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658725.25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322350</v>
      </c>
      <c r="G89" s="13"/>
      <c r="H89" s="13"/>
      <c r="I89" s="13"/>
      <c r="J89" s="13"/>
      <c r="K89" s="206"/>
      <c r="L89" s="82">
        <v>-434475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224250.25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56062.5625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174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199</v>
      </c>
      <c r="C123" s="219" t="s">
        <v>200</v>
      </c>
    </row>
    <row r="124" spans="2:3" ht="15.5" hidden="1" x14ac:dyDescent="0.35">
      <c r="B124" s="223" t="s">
        <v>201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2.31481462833472E-5</v>
      </c>
      <c r="C135" s="225"/>
    </row>
    <row r="136" spans="2:3" ht="15.5" hidden="1" x14ac:dyDescent="0.35">
      <c r="B136" s="226">
        <f>NvsEndTime</f>
        <v>41646.468958333302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51"/>
  <sheetViews>
    <sheetView topLeftCell="B77"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'3398'!B2</f>
        <v>50</v>
      </c>
      <c r="W2" s="413" t="s">
        <v>4</v>
      </c>
      <c r="X2" s="414"/>
      <c r="Y2" s="415"/>
      <c r="Z2" s="415"/>
      <c r="AA2" s="415"/>
      <c r="AB2" s="415"/>
      <c r="AC2" s="415"/>
      <c r="AD2" s="9"/>
    </row>
    <row r="3" spans="1:30" ht="20" x14ac:dyDescent="0.4">
      <c r="B3" s="10" t="str">
        <f>"Revenue Estimate Worksheet for "&amp;B124</f>
        <v>Revenue Estimate Worksheet for Everglades Prep Academy</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'3398'!G7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IF('3398'!K$84=1,'3398'!G10,0)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IF('3398'!K$84=1,'3398'!G11,0)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IF('3398'!K$84=1,'3398'!G12,0)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IF('3398'!K$84=1,'3398'!G13,0)</f>
        <v>0</v>
      </c>
      <c r="Y13" s="396"/>
      <c r="Z13" s="397">
        <v>1</v>
      </c>
      <c r="AA13" s="397"/>
      <c r="AB13" s="54">
        <f t="shared" si="0"/>
        <v>0</v>
      </c>
      <c r="AC13" s="55">
        <f t="shared" si="1"/>
        <v>0</v>
      </c>
      <c r="AD13" s="9"/>
    </row>
    <row r="14" spans="1:30" x14ac:dyDescent="0.3">
      <c r="A14" s="1" t="s">
        <v>37</v>
      </c>
      <c r="B14" s="13" t="s">
        <v>38</v>
      </c>
      <c r="C14" s="13"/>
      <c r="D14" s="13">
        <v>27.28</v>
      </c>
      <c r="E14" s="13">
        <v>0</v>
      </c>
      <c r="F14" s="13">
        <v>30.08</v>
      </c>
      <c r="G14" s="46">
        <f t="shared" si="2"/>
        <v>54.56</v>
      </c>
      <c r="H14" s="47"/>
      <c r="I14" s="56">
        <v>1.0109999999999999</v>
      </c>
      <c r="J14" s="56"/>
      <c r="K14" s="49">
        <f t="shared" si="3"/>
        <v>55.160200000000003</v>
      </c>
      <c r="L14" s="50">
        <f t="shared" si="4"/>
        <v>213725</v>
      </c>
      <c r="N14" s="51">
        <v>5103</v>
      </c>
      <c r="O14" s="52">
        <v>103</v>
      </c>
      <c r="Q14" s="53"/>
      <c r="V14" s="357" t="s">
        <v>38</v>
      </c>
      <c r="W14" s="357"/>
      <c r="X14" s="396">
        <f>IF('3398'!K$84=1,'3398'!G14,0)</f>
        <v>0</v>
      </c>
      <c r="Y14" s="396"/>
      <c r="Z14" s="397">
        <v>1</v>
      </c>
      <c r="AA14" s="397"/>
      <c r="AB14" s="54">
        <f t="shared" si="0"/>
        <v>0</v>
      </c>
      <c r="AC14" s="55">
        <f t="shared" si="1"/>
        <v>0</v>
      </c>
      <c r="AD14" s="9"/>
    </row>
    <row r="15" spans="1:30" x14ac:dyDescent="0.3">
      <c r="A15" s="1" t="s">
        <v>39</v>
      </c>
      <c r="B15" s="13" t="s">
        <v>40</v>
      </c>
      <c r="C15" s="13"/>
      <c r="D15" s="13">
        <v>13.37</v>
      </c>
      <c r="E15" s="13">
        <v>0</v>
      </c>
      <c r="F15" s="13">
        <v>19.3</v>
      </c>
      <c r="G15" s="46">
        <f t="shared" si="2"/>
        <v>26.74</v>
      </c>
      <c r="H15" s="47"/>
      <c r="I15" s="56">
        <f>I14</f>
        <v>1.0109999999999999</v>
      </c>
      <c r="J15" s="56"/>
      <c r="K15" s="49">
        <f t="shared" si="3"/>
        <v>27.034099999999999</v>
      </c>
      <c r="L15" s="58">
        <f t="shared" si="4"/>
        <v>104747</v>
      </c>
      <c r="M15" s="1" t="str">
        <f>IF(ROUND(G15,2)=ROUND(SUM(G34:G36),2)," ","CHECK 2. PK-3 Lines Below")</f>
        <v xml:space="preserve"> </v>
      </c>
      <c r="N15" s="51">
        <v>5103</v>
      </c>
      <c r="O15" s="57" t="s">
        <v>41</v>
      </c>
      <c r="Q15" s="53"/>
      <c r="V15" s="357" t="s">
        <v>40</v>
      </c>
      <c r="W15" s="357"/>
      <c r="X15" s="396">
        <f>IF('3398'!K$84=1,'3398'!G15,0)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IF('3398'!K$84=1,'3398'!G16,0)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IF('3398'!K$84=1,'3398'!G17,0)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IF('3398'!K$84=1,'3398'!G18,0)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IF('3398'!K$84=1,'3398'!G19,0)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IF('3398'!K$84=1,'3398'!G20,0)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IF('3398'!K$84=1,'3398'!G21,0)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IF('3398'!K$84=1,'3398'!G22,0)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IF('3398'!K$84=1,'3398'!G23,0)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IF('3398'!K$84=1,'3398'!G24,0)</f>
        <v>0</v>
      </c>
      <c r="Y24" s="396"/>
      <c r="Z24" s="397">
        <v>1</v>
      </c>
      <c r="AA24" s="397"/>
      <c r="AB24" s="54">
        <f t="shared" si="0"/>
        <v>0</v>
      </c>
      <c r="AC24" s="55">
        <f t="shared" si="1"/>
        <v>0</v>
      </c>
      <c r="AD24" s="9"/>
    </row>
    <row r="25" spans="1:30" ht="16" thickBot="1" x14ac:dyDescent="0.4">
      <c r="A25" s="1" t="s">
        <v>60</v>
      </c>
      <c r="B25" s="13" t="s">
        <v>61</v>
      </c>
      <c r="C25" s="13"/>
      <c r="D25" s="13">
        <v>3.33</v>
      </c>
      <c r="E25" s="13">
        <v>0</v>
      </c>
      <c r="F25" s="13">
        <v>3.67</v>
      </c>
      <c r="G25" s="60">
        <f t="shared" si="2"/>
        <v>6.66</v>
      </c>
      <c r="H25" s="47"/>
      <c r="I25" s="56">
        <v>1.0109999999999999</v>
      </c>
      <c r="J25" s="56"/>
      <c r="K25" s="49">
        <f t="shared" si="3"/>
        <v>6.7332999999999998</v>
      </c>
      <c r="L25" s="50">
        <f t="shared" si="4"/>
        <v>26089</v>
      </c>
      <c r="N25" s="51">
        <v>5310</v>
      </c>
      <c r="O25" s="52">
        <v>300</v>
      </c>
      <c r="Q25" s="53"/>
      <c r="V25" s="357" t="s">
        <v>61</v>
      </c>
      <c r="W25" s="357"/>
      <c r="X25" s="396">
        <f>IF('3398'!K$84=1,'3398'!G25,0)</f>
        <v>0</v>
      </c>
      <c r="Y25" s="396"/>
      <c r="Z25" s="397">
        <v>1</v>
      </c>
      <c r="AA25" s="397"/>
      <c r="AB25" s="54">
        <f t="shared" si="0"/>
        <v>0</v>
      </c>
      <c r="AC25" s="55">
        <f t="shared" si="1"/>
        <v>0</v>
      </c>
      <c r="AD25" s="9"/>
    </row>
    <row r="26" spans="1:30" ht="20.25" customHeight="1" thickBot="1" x14ac:dyDescent="0.35">
      <c r="B26" s="61" t="s">
        <v>62</v>
      </c>
      <c r="C26" s="61"/>
      <c r="D26" s="62">
        <f t="shared" ref="D26:E26" si="5">SUM(D10:D25)</f>
        <v>43.98</v>
      </c>
      <c r="E26" s="62">
        <f t="shared" si="5"/>
        <v>0</v>
      </c>
      <c r="F26" s="62"/>
      <c r="G26" s="62">
        <f>SUM(G10:G25)</f>
        <v>87.96</v>
      </c>
      <c r="H26" s="63"/>
      <c r="I26" s="63"/>
      <c r="J26" s="64"/>
      <c r="K26" s="65">
        <f>SUM(K10:K25)</f>
        <v>88.927599999999998</v>
      </c>
      <c r="L26" s="66">
        <f>SUM(L10:L25)</f>
        <v>344561</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10.87</v>
      </c>
      <c r="E34" s="13">
        <v>0</v>
      </c>
      <c r="F34" s="89">
        <v>7.5</v>
      </c>
      <c r="G34" s="46">
        <f t="shared" si="7"/>
        <v>21.74</v>
      </c>
      <c r="H34" s="79"/>
      <c r="I34" s="90" t="s">
        <v>78</v>
      </c>
      <c r="J34" s="51">
        <v>251</v>
      </c>
      <c r="K34" s="81">
        <v>835</v>
      </c>
      <c r="L34" s="82">
        <f t="shared" si="8"/>
        <v>18153</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2.5</v>
      </c>
      <c r="E35" s="13">
        <v>0</v>
      </c>
      <c r="F35" s="89">
        <v>2.5</v>
      </c>
      <c r="G35" s="46">
        <f t="shared" si="7"/>
        <v>5</v>
      </c>
      <c r="H35" s="79"/>
      <c r="I35" s="90" t="s">
        <v>78</v>
      </c>
      <c r="J35" s="51">
        <v>252</v>
      </c>
      <c r="K35" s="81">
        <v>3168</v>
      </c>
      <c r="L35" s="82">
        <f t="shared" si="8"/>
        <v>15840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13.37</v>
      </c>
      <c r="E37" s="62">
        <f t="shared" si="10"/>
        <v>0</v>
      </c>
      <c r="F37" s="62"/>
      <c r="G37" s="62">
        <f>SUM(G28:G36)</f>
        <v>26.74</v>
      </c>
      <c r="H37" s="63"/>
      <c r="I37" s="13" t="s">
        <v>82</v>
      </c>
      <c r="J37" s="13"/>
      <c r="K37" s="13"/>
      <c r="L37" s="50">
        <f>SUM(L28:L36)</f>
        <v>33993</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16888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395442</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88.927599999999998</v>
      </c>
      <c r="D49" s="121"/>
      <c r="E49" s="121"/>
      <c r="F49" s="121"/>
      <c r="G49" s="122">
        <f>K7</f>
        <v>1.0326</v>
      </c>
      <c r="H49" s="122"/>
      <c r="I49" s="123">
        <v>900.39</v>
      </c>
      <c r="J49" s="124" t="s">
        <v>97</v>
      </c>
      <c r="K49" s="125">
        <f>ROUND(C49*G49*I49,0)</f>
        <v>82680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88.927599999999998</v>
      </c>
      <c r="D50" s="144"/>
      <c r="E50" s="145"/>
      <c r="F50" s="145"/>
      <c r="G50" s="146" t="s">
        <v>99</v>
      </c>
      <c r="H50" s="146"/>
      <c r="I50" s="146"/>
      <c r="J50" s="146"/>
      <c r="K50" s="146"/>
      <c r="L50" s="50">
        <f>IF(B2=75,0,K49+K48+K47)</f>
        <v>82680</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88.927599999999998</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4.6000000000000001E-4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87.96</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4.8999999999999998E-4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4.6000000000000001E-4</v>
      </c>
      <c r="L59" s="50">
        <f>ROUND(I59*K59,0)</f>
        <v>1897</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4.6000000000000001E-4</v>
      </c>
      <c r="L67" s="50">
        <f>ROUND(I67*K67,0)</f>
        <v>44516</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4.8999999999999998E-4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4.6000000000000001E-4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4.6000000000000001E-4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4.8999999999999998E-4</v>
      </c>
      <c r="L72" s="50">
        <f>ROUND(I72*K72,0)</f>
        <v>6917</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4.6000000000000001E-4</v>
      </c>
      <c r="L77" s="50">
        <f>ROUND(I77*K77,0)</f>
        <v>15050</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4.6000000000000001E-4</v>
      </c>
      <c r="L78" s="50">
        <f>ROUND(I78*K78,0)</f>
        <v>308</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546810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'3398'!AC81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546810</v>
      </c>
      <c r="L86" s="82">
        <f>IF(G26=0,0,IF(G26&gt;250,-(((250/G26)*K86)*IF(M86="H",0.02,0.05)),IF(M86="H",-0.02*K86,-0.05*K86)))</f>
        <v>-27340.5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519469.5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278121</v>
      </c>
      <c r="G89" s="13"/>
      <c r="H89" s="13"/>
      <c r="I89" s="13"/>
      <c r="J89" s="13"/>
      <c r="K89" s="206"/>
      <c r="L89" s="82">
        <v>-358571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160898.5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40224.625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289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290</v>
      </c>
      <c r="C123" s="219" t="s">
        <v>200</v>
      </c>
    </row>
    <row r="124" spans="2:3" ht="15.5" hidden="1" x14ac:dyDescent="0.35">
      <c r="B124" s="223" t="s">
        <v>291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41646.469282407401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51"/>
  <sheetViews>
    <sheetView topLeftCell="B83"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'3400'!B2</f>
        <v>50</v>
      </c>
      <c r="W2" s="413" t="s">
        <v>4</v>
      </c>
      <c r="X2" s="414"/>
      <c r="Y2" s="415"/>
      <c r="Z2" s="415"/>
      <c r="AA2" s="415"/>
      <c r="AB2" s="415"/>
      <c r="AC2" s="415"/>
      <c r="AD2" s="9"/>
    </row>
    <row r="3" spans="1:30" ht="20" x14ac:dyDescent="0.4">
      <c r="B3" s="10" t="str">
        <f>"Revenue Estimate Worksheet for "&amp;B124</f>
        <v>Revenue Estimate Worksheet for Believers</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'3400'!G7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IF('3400'!K$84=1,'3400'!G10,0)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IF('3400'!K$84=1,'3400'!G11,0)</f>
        <v>0</v>
      </c>
      <c r="Y11" s="396"/>
      <c r="Z11" s="397">
        <v>1</v>
      </c>
      <c r="AA11" s="397"/>
      <c r="AB11" s="54">
        <f t="shared" si="0"/>
        <v>0</v>
      </c>
      <c r="AC11" s="55">
        <f t="shared" si="1"/>
        <v>0</v>
      </c>
      <c r="AD11" s="9"/>
    </row>
    <row r="12" spans="1:30" x14ac:dyDescent="0.3">
      <c r="A12" s="1" t="s">
        <v>32</v>
      </c>
      <c r="B12" s="13" t="s">
        <v>33</v>
      </c>
      <c r="C12" s="13"/>
      <c r="D12" s="314">
        <v>0</v>
      </c>
      <c r="E12" s="13">
        <v>0</v>
      </c>
      <c r="F12" s="13">
        <v>0</v>
      </c>
      <c r="G12" s="46">
        <f t="shared" si="2"/>
        <v>0</v>
      </c>
      <c r="H12" s="47"/>
      <c r="I12" s="56">
        <v>1</v>
      </c>
      <c r="J12" s="56"/>
      <c r="K12" s="49">
        <f t="shared" si="3"/>
        <v>0</v>
      </c>
      <c r="L12" s="50">
        <f t="shared" si="4"/>
        <v>0</v>
      </c>
      <c r="N12" s="51">
        <v>5102</v>
      </c>
      <c r="O12" s="52">
        <v>102</v>
      </c>
      <c r="Q12" s="53"/>
      <c r="V12" s="357" t="s">
        <v>33</v>
      </c>
      <c r="W12" s="357"/>
      <c r="X12" s="396">
        <f>IF('3400'!K$84=1,'3400'!G12,0)</f>
        <v>0</v>
      </c>
      <c r="Y12" s="396"/>
      <c r="Z12" s="397">
        <v>1</v>
      </c>
      <c r="AA12" s="397"/>
      <c r="AB12" s="54">
        <f t="shared" si="0"/>
        <v>0</v>
      </c>
      <c r="AC12" s="55">
        <f t="shared" si="1"/>
        <v>0</v>
      </c>
      <c r="AD12" s="9"/>
    </row>
    <row r="13" spans="1:30" x14ac:dyDescent="0.3">
      <c r="A13" s="1" t="s">
        <v>34</v>
      </c>
      <c r="B13" s="13" t="s">
        <v>35</v>
      </c>
      <c r="C13" s="13"/>
      <c r="D13" s="314">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IF('3400'!K$84=1,'3400'!G13,0)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IF('3400'!K$84=1,'3400'!G14,0)</f>
        <v>0</v>
      </c>
      <c r="Y14" s="396"/>
      <c r="Z14" s="397">
        <v>1</v>
      </c>
      <c r="AA14" s="397"/>
      <c r="AB14" s="54">
        <f t="shared" si="0"/>
        <v>0</v>
      </c>
      <c r="AC14" s="55">
        <f t="shared" si="1"/>
        <v>0</v>
      </c>
      <c r="AD14" s="9"/>
    </row>
    <row r="15" spans="1:30" x14ac:dyDescent="0.3">
      <c r="A15" s="1" t="s">
        <v>39</v>
      </c>
      <c r="B15" s="13" t="s">
        <v>40</v>
      </c>
      <c r="C15" s="13"/>
      <c r="D15" s="314">
        <v>66.5</v>
      </c>
      <c r="E15" s="13">
        <v>0</v>
      </c>
      <c r="F15" s="13">
        <v>75.02</v>
      </c>
      <c r="G15" s="46">
        <f t="shared" si="2"/>
        <v>133</v>
      </c>
      <c r="H15" s="47"/>
      <c r="I15" s="56">
        <f>I14</f>
        <v>1.0109999999999999</v>
      </c>
      <c r="J15" s="56"/>
      <c r="K15" s="49">
        <f t="shared" si="3"/>
        <v>134.46299999999999</v>
      </c>
      <c r="L15" s="58">
        <f t="shared" si="4"/>
        <v>520994</v>
      </c>
      <c r="M15" s="1" t="str">
        <f>IF(ROUND(G15,2)=ROUND(SUM(G34:G36),2)," ","CHECK 2. PK-3 Lines Below")</f>
        <v xml:space="preserve"> </v>
      </c>
      <c r="N15" s="51">
        <v>5103</v>
      </c>
      <c r="O15" s="57" t="s">
        <v>41</v>
      </c>
      <c r="Q15" s="53"/>
      <c r="V15" s="357" t="s">
        <v>40</v>
      </c>
      <c r="W15" s="357"/>
      <c r="X15" s="396">
        <f>IF('3400'!K$84=1,'3400'!G15,0)</f>
        <v>133</v>
      </c>
      <c r="Y15" s="396"/>
      <c r="Z15" s="397">
        <v>1</v>
      </c>
      <c r="AA15" s="397"/>
      <c r="AB15" s="54">
        <f t="shared" si="0"/>
        <v>133</v>
      </c>
      <c r="AC15" s="59">
        <f t="shared" si="1"/>
        <v>515325</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IF('3400'!K$84=1,'3400'!G16,0)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IF('3400'!K$84=1,'3400'!G17,0)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IF('3400'!K$84=1,'3400'!G18,0)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IF('3400'!K$84=1,'3400'!G19,0)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IF('3400'!K$84=1,'3400'!G20,0)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IF('3400'!K$84=1,'3400'!G21,0)</f>
        <v>0</v>
      </c>
      <c r="Y21" s="396"/>
      <c r="Z21" s="397">
        <v>1</v>
      </c>
      <c r="AA21" s="397"/>
      <c r="AB21" s="54">
        <f t="shared" si="0"/>
        <v>0</v>
      </c>
      <c r="AC21" s="55">
        <f t="shared" si="1"/>
        <v>0</v>
      </c>
      <c r="AD21" s="9"/>
    </row>
    <row r="22" spans="1:30" ht="15.5" x14ac:dyDescent="0.35">
      <c r="A22" s="1" t="s">
        <v>54</v>
      </c>
      <c r="B22" s="13" t="s">
        <v>55</v>
      </c>
      <c r="C22" s="13"/>
      <c r="D22" s="314">
        <v>0</v>
      </c>
      <c r="E22" s="13">
        <v>0</v>
      </c>
      <c r="F22" s="13">
        <v>0</v>
      </c>
      <c r="G22" s="46">
        <f t="shared" si="2"/>
        <v>0</v>
      </c>
      <c r="H22" s="47"/>
      <c r="I22" s="56">
        <v>1.145</v>
      </c>
      <c r="J22" s="56"/>
      <c r="K22" s="49">
        <f t="shared" si="3"/>
        <v>0</v>
      </c>
      <c r="L22" s="50">
        <f t="shared" si="4"/>
        <v>0</v>
      </c>
      <c r="N22" s="51">
        <v>5101</v>
      </c>
      <c r="O22" s="52">
        <v>130</v>
      </c>
      <c r="Q22" s="53"/>
      <c r="V22" s="357" t="s">
        <v>55</v>
      </c>
      <c r="W22" s="357"/>
      <c r="X22" s="396">
        <f>IF('3400'!K$84=1,'3400'!G22,0)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IF('3400'!K$84=1,'3400'!G23,0)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IF('3400'!K$84=1,'3400'!G24,0)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IF('3400'!K$84=1,'3400'!G25,0)</f>
        <v>0</v>
      </c>
      <c r="Y25" s="396"/>
      <c r="Z25" s="397">
        <v>1</v>
      </c>
      <c r="AA25" s="397"/>
      <c r="AB25" s="54">
        <f t="shared" si="0"/>
        <v>0</v>
      </c>
      <c r="AC25" s="55">
        <f t="shared" si="1"/>
        <v>0</v>
      </c>
      <c r="AD25" s="9"/>
    </row>
    <row r="26" spans="1:30" ht="20.25" customHeight="1" thickBot="1" x14ac:dyDescent="0.35">
      <c r="B26" s="61" t="s">
        <v>62</v>
      </c>
      <c r="C26" s="61"/>
      <c r="D26" s="320">
        <f t="shared" ref="D26:E26" si="5">SUM(D10:D25)</f>
        <v>66.5</v>
      </c>
      <c r="E26" s="62">
        <f t="shared" si="5"/>
        <v>0</v>
      </c>
      <c r="F26" s="62"/>
      <c r="G26" s="62">
        <f>SUM(G10:G25)</f>
        <v>133</v>
      </c>
      <c r="H26" s="63"/>
      <c r="I26" s="63"/>
      <c r="J26" s="64"/>
      <c r="K26" s="65">
        <f>SUM(K10:K25)</f>
        <v>134.46299999999999</v>
      </c>
      <c r="L26" s="66">
        <f>SUM(L10:L25)</f>
        <v>520994</v>
      </c>
      <c r="N26" s="53"/>
      <c r="O26" s="67"/>
      <c r="P26" s="53"/>
      <c r="Q26" s="53"/>
      <c r="V26" s="398" t="s">
        <v>62</v>
      </c>
      <c r="W26" s="398"/>
      <c r="X26" s="387">
        <f>SUM(X10:X25)</f>
        <v>133</v>
      </c>
      <c r="Y26" s="387"/>
      <c r="Z26" s="399"/>
      <c r="AA26" s="400"/>
      <c r="AB26" s="68">
        <f>SUM(AB10:AB25)</f>
        <v>133</v>
      </c>
      <c r="AC26" s="69">
        <f>SUM(AC10:AC25)</f>
        <v>515325</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11.5</v>
      </c>
      <c r="E34" s="13">
        <v>0</v>
      </c>
      <c r="F34" s="89">
        <v>11.5</v>
      </c>
      <c r="G34" s="46">
        <f t="shared" si="7"/>
        <v>23</v>
      </c>
      <c r="H34" s="79"/>
      <c r="I34" s="90" t="s">
        <v>78</v>
      </c>
      <c r="J34" s="51">
        <v>251</v>
      </c>
      <c r="K34" s="81">
        <v>835</v>
      </c>
      <c r="L34" s="82">
        <f t="shared" si="8"/>
        <v>19205</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36</v>
      </c>
      <c r="E35" s="13">
        <v>0</v>
      </c>
      <c r="F35" s="89">
        <v>36</v>
      </c>
      <c r="G35" s="46">
        <f t="shared" si="7"/>
        <v>72</v>
      </c>
      <c r="H35" s="79"/>
      <c r="I35" s="90" t="s">
        <v>78</v>
      </c>
      <c r="J35" s="51">
        <v>252</v>
      </c>
      <c r="K35" s="81">
        <v>3168</v>
      </c>
      <c r="L35" s="82">
        <f t="shared" si="8"/>
        <v>228096</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19</v>
      </c>
      <c r="E36" s="13">
        <v>0</v>
      </c>
      <c r="F36" s="89">
        <v>22.5</v>
      </c>
      <c r="G36" s="46">
        <f t="shared" si="7"/>
        <v>38</v>
      </c>
      <c r="H36" s="79"/>
      <c r="I36" s="90" t="s">
        <v>78</v>
      </c>
      <c r="J36" s="51">
        <v>253</v>
      </c>
      <c r="K36" s="81">
        <v>6685</v>
      </c>
      <c r="L36" s="93">
        <f t="shared" si="8"/>
        <v>254030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66.5</v>
      </c>
      <c r="E37" s="62">
        <f t="shared" si="10"/>
        <v>0</v>
      </c>
      <c r="F37" s="62"/>
      <c r="G37" s="62">
        <f>SUM(G28:G36)</f>
        <v>133</v>
      </c>
      <c r="H37" s="63"/>
      <c r="I37" s="13" t="s">
        <v>82</v>
      </c>
      <c r="J37" s="13"/>
      <c r="K37" s="13"/>
      <c r="L37" s="50">
        <f>SUM(L28:L36)</f>
        <v>501331</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25536</v>
      </c>
      <c r="N40" s="103"/>
      <c r="O40" s="103"/>
      <c r="P40" s="103"/>
      <c r="Q40" s="103"/>
      <c r="V40" s="382" t="s">
        <v>86</v>
      </c>
      <c r="W40" s="382"/>
      <c r="X40" s="383">
        <f>+G40</f>
        <v>179393.64</v>
      </c>
      <c r="Y40" s="383"/>
      <c r="Z40" s="383"/>
      <c r="AA40" s="383"/>
      <c r="AB40" s="55">
        <f>ROUND(X39/X40,0)</f>
        <v>192</v>
      </c>
      <c r="AC40" s="55">
        <f>ROUND(AB40*$X$26,0)</f>
        <v>25536</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1047861</v>
      </c>
      <c r="O44" s="1"/>
      <c r="V44" s="376" t="s">
        <v>90</v>
      </c>
      <c r="W44" s="376"/>
      <c r="X44" s="376"/>
      <c r="Y44" s="376"/>
      <c r="Z44" s="376"/>
      <c r="AA44" s="376"/>
      <c r="AB44" s="376"/>
      <c r="AC44" s="111">
        <f>SUM(AC26,AC37,AC40)</f>
        <v>540861</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329"/>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329"/>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134.46299999999999</v>
      </c>
      <c r="D49" s="329"/>
      <c r="E49" s="121"/>
      <c r="F49" s="121"/>
      <c r="G49" s="122">
        <f>K7</f>
        <v>1.0326</v>
      </c>
      <c r="H49" s="122"/>
      <c r="I49" s="123">
        <v>900.39</v>
      </c>
      <c r="J49" s="124" t="s">
        <v>97</v>
      </c>
      <c r="K49" s="125">
        <f>ROUND(C49*G49*I49,0)</f>
        <v>125016</v>
      </c>
      <c r="L49" s="61"/>
      <c r="M49" s="108"/>
      <c r="N49" s="137"/>
      <c r="O49" s="138"/>
      <c r="P49" s="67"/>
      <c r="Q49" s="139"/>
      <c r="V49" s="140" t="s">
        <v>78</v>
      </c>
      <c r="W49" s="141">
        <f>AB14+AB15+AB18+AB21+AB24+AB25</f>
        <v>133</v>
      </c>
      <c r="X49" s="369">
        <f>AB7</f>
        <v>1.0326</v>
      </c>
      <c r="Y49" s="369"/>
      <c r="Z49" s="128">
        <f>+I49</f>
        <v>900.39</v>
      </c>
      <c r="AA49" s="129" t="s">
        <v>97</v>
      </c>
      <c r="AB49" s="130">
        <f>ROUND(W49*X49*Z49,0)</f>
        <v>123656</v>
      </c>
      <c r="AC49" s="134"/>
      <c r="AD49" s="109"/>
    </row>
    <row r="50" spans="2:30" ht="24" customHeight="1" thickBot="1" x14ac:dyDescent="0.35">
      <c r="B50" s="142" t="s">
        <v>98</v>
      </c>
      <c r="C50" s="143">
        <f>SUM(C47:C49)</f>
        <v>134.46299999999999</v>
      </c>
      <c r="D50" s="330"/>
      <c r="E50" s="145"/>
      <c r="F50" s="145"/>
      <c r="G50" s="146" t="s">
        <v>99</v>
      </c>
      <c r="H50" s="146"/>
      <c r="I50" s="146"/>
      <c r="J50" s="146"/>
      <c r="K50" s="146"/>
      <c r="L50" s="50">
        <f>IF(B2=75,0,K49+K48+K47)</f>
        <v>125016</v>
      </c>
      <c r="N50" s="3"/>
      <c r="O50" s="1"/>
      <c r="V50" s="147" t="s">
        <v>98</v>
      </c>
      <c r="W50" s="148">
        <f>SUM(W47:W49)</f>
        <v>133</v>
      </c>
      <c r="X50" s="370" t="s">
        <v>99</v>
      </c>
      <c r="Y50" s="371"/>
      <c r="Z50" s="371"/>
      <c r="AA50" s="371"/>
      <c r="AB50" s="371"/>
      <c r="AC50" s="55">
        <f>IF(V2=75,0,AB49+AB48+AB47)</f>
        <v>123656</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134.46299999999999</v>
      </c>
      <c r="H53" s="56" t="s">
        <v>103</v>
      </c>
      <c r="I53" s="56"/>
      <c r="J53" s="152">
        <v>193142.74</v>
      </c>
      <c r="K53" s="152"/>
      <c r="L53" s="152"/>
      <c r="N53" s="3"/>
      <c r="O53" s="1"/>
      <c r="V53" s="364" t="s">
        <v>102</v>
      </c>
      <c r="W53" s="364"/>
      <c r="X53" s="153">
        <f>AB26</f>
        <v>133</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6.96E-4</v>
      </c>
      <c r="L54" s="154"/>
      <c r="N54" s="67"/>
      <c r="O54" s="1"/>
      <c r="V54" s="364" t="s">
        <v>104</v>
      </c>
      <c r="W54" s="364"/>
      <c r="X54" s="364"/>
      <c r="Y54" s="364"/>
      <c r="Z54" s="364"/>
      <c r="AA54" s="364"/>
      <c r="AB54" s="367">
        <f>ROUND(X53/AA53,6)</f>
        <v>6.8900000000000005E-4</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133</v>
      </c>
      <c r="H56" s="56" t="s">
        <v>107</v>
      </c>
      <c r="I56" s="56"/>
      <c r="J56" s="152">
        <v>179393.64</v>
      </c>
      <c r="K56" s="152"/>
      <c r="L56" s="152"/>
      <c r="O56" s="1"/>
      <c r="V56" s="364" t="s">
        <v>106</v>
      </c>
      <c r="W56" s="364"/>
      <c r="X56" s="156">
        <f>X26</f>
        <v>133</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7.4100000000000001E-4</v>
      </c>
      <c r="L57" s="154"/>
      <c r="O57" s="1"/>
      <c r="V57" s="364" t="s">
        <v>108</v>
      </c>
      <c r="W57" s="364"/>
      <c r="X57" s="364"/>
      <c r="Y57" s="364"/>
      <c r="Z57" s="364"/>
      <c r="AA57" s="364"/>
      <c r="AB57" s="367">
        <f>ROUND(X56/AA56,6)</f>
        <v>7.4100000000000001E-4</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6.8900000000000005E-4</v>
      </c>
      <c r="AC58" s="55">
        <f>ROUND(Y58*AB58,0)</f>
        <v>2841</v>
      </c>
      <c r="AD58" s="9"/>
    </row>
    <row r="59" spans="2:30" x14ac:dyDescent="0.3">
      <c r="B59" s="61" t="s">
        <v>110</v>
      </c>
      <c r="C59" s="61"/>
      <c r="D59" s="327"/>
      <c r="E59" s="61"/>
      <c r="F59" s="61"/>
      <c r="G59" s="61"/>
      <c r="H59" s="160" t="s">
        <v>22</v>
      </c>
      <c r="I59" s="125">
        <f>G66+G65+G63+G62+G61</f>
        <v>4122856</v>
      </c>
      <c r="J59" s="161" t="s">
        <v>111</v>
      </c>
      <c r="K59" s="162">
        <f>K54</f>
        <v>6.96E-4</v>
      </c>
      <c r="L59" s="50">
        <f>ROUND(I59*K59,0)</f>
        <v>2870</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6.8900000000000005E-4</v>
      </c>
      <c r="AC66" s="55">
        <f>ROUND(Y66*AB66,0)</f>
        <v>66678</v>
      </c>
      <c r="AD66" s="9"/>
    </row>
    <row r="67" spans="1:30" ht="20.25" customHeight="1" x14ac:dyDescent="0.3">
      <c r="B67" s="13" t="s">
        <v>119</v>
      </c>
      <c r="C67" s="13"/>
      <c r="D67" s="314"/>
      <c r="E67" s="13"/>
      <c r="F67" s="13"/>
      <c r="H67" s="160" t="s">
        <v>25</v>
      </c>
      <c r="I67" s="125">
        <v>96774526</v>
      </c>
      <c r="J67" s="161" t="s">
        <v>111</v>
      </c>
      <c r="K67" s="162">
        <f>K54</f>
        <v>6.96E-4</v>
      </c>
      <c r="L67" s="50">
        <f>ROUND(I67*K67,0)</f>
        <v>67355</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7.4100000000000001E-4</v>
      </c>
      <c r="AC68" s="55">
        <f>ROUND(Y68*AB68,0)</f>
        <v>0</v>
      </c>
      <c r="AD68" s="9"/>
    </row>
    <row r="69" spans="1:30" ht="15" customHeight="1" x14ac:dyDescent="0.3">
      <c r="B69" s="166" t="s">
        <v>121</v>
      </c>
      <c r="C69" s="13"/>
      <c r="D69" s="314"/>
      <c r="E69" s="13"/>
      <c r="F69" s="13"/>
      <c r="H69" s="160" t="s">
        <v>23</v>
      </c>
      <c r="I69" s="125">
        <v>0</v>
      </c>
      <c r="J69" s="161" t="s">
        <v>111</v>
      </c>
      <c r="K69" s="162">
        <f>K57</f>
        <v>7.4100000000000001E-4</v>
      </c>
      <c r="L69" s="50">
        <f>ROUND(I69*K69,0)</f>
        <v>0</v>
      </c>
      <c r="O69" s="1"/>
      <c r="V69" s="354" t="s">
        <v>122</v>
      </c>
      <c r="W69" s="354"/>
      <c r="X69" s="354"/>
      <c r="Y69" s="360">
        <f>+I70</f>
        <v>0</v>
      </c>
      <c r="Z69" s="360"/>
      <c r="AA69" s="158" t="s">
        <v>111</v>
      </c>
      <c r="AB69" s="159">
        <f>AB54</f>
        <v>6.8900000000000005E-4</v>
      </c>
      <c r="AC69" s="55">
        <f>ROUND(Y69*AB69,0)</f>
        <v>0</v>
      </c>
      <c r="AD69" s="9"/>
    </row>
    <row r="70" spans="1:30" ht="20.25" customHeight="1" x14ac:dyDescent="0.3">
      <c r="B70" s="13" t="s">
        <v>122</v>
      </c>
      <c r="C70" s="13"/>
      <c r="D70" s="314"/>
      <c r="E70" s="13"/>
      <c r="F70" s="13"/>
      <c r="H70" s="160" t="s">
        <v>22</v>
      </c>
      <c r="I70" s="125">
        <v>0</v>
      </c>
      <c r="J70" s="161" t="s">
        <v>111</v>
      </c>
      <c r="K70" s="162">
        <f>K54</f>
        <v>6.96E-4</v>
      </c>
      <c r="L70" s="50">
        <f>ROUND(I70*K70,0)</f>
        <v>0</v>
      </c>
      <c r="O70" s="1"/>
      <c r="V70" s="354" t="s">
        <v>123</v>
      </c>
      <c r="W70" s="354"/>
      <c r="X70" s="354"/>
      <c r="Y70" s="356">
        <f>+I71</f>
        <v>0</v>
      </c>
      <c r="Z70" s="356"/>
      <c r="AA70" s="158" t="s">
        <v>111</v>
      </c>
      <c r="AB70" s="159">
        <f>AB54</f>
        <v>6.8900000000000005E-4</v>
      </c>
      <c r="AC70" s="55">
        <f>ROUND(Y70*AB70,0)</f>
        <v>0</v>
      </c>
      <c r="AD70" s="9"/>
    </row>
    <row r="71" spans="1:30" ht="20.25" customHeight="1" x14ac:dyDescent="0.3">
      <c r="B71" s="13" t="s">
        <v>123</v>
      </c>
      <c r="C71" s="13"/>
      <c r="D71" s="314"/>
      <c r="E71" s="13"/>
      <c r="F71" s="13"/>
      <c r="H71" s="160" t="s">
        <v>22</v>
      </c>
      <c r="I71" s="125">
        <v>0</v>
      </c>
      <c r="J71" s="161" t="s">
        <v>111</v>
      </c>
      <c r="K71" s="162">
        <f>K54</f>
        <v>6.96E-4</v>
      </c>
      <c r="L71" s="50">
        <f>ROUND(I71*K71,0)</f>
        <v>0</v>
      </c>
      <c r="O71" s="1"/>
      <c r="V71" s="354" t="s">
        <v>124</v>
      </c>
      <c r="W71" s="354"/>
      <c r="X71" s="354"/>
      <c r="Y71" s="356">
        <f>+I72</f>
        <v>14117224</v>
      </c>
      <c r="Z71" s="356"/>
      <c r="AA71" s="158" t="s">
        <v>111</v>
      </c>
      <c r="AB71" s="159">
        <f>AB57</f>
        <v>7.4100000000000001E-4</v>
      </c>
      <c r="AC71" s="55">
        <f>ROUND(Y71*AB71,0)</f>
        <v>10461</v>
      </c>
      <c r="AD71" s="9"/>
    </row>
    <row r="72" spans="1:30" ht="21" customHeight="1" x14ac:dyDescent="0.35">
      <c r="B72" s="13" t="s">
        <v>124</v>
      </c>
      <c r="C72" s="13"/>
      <c r="D72" s="314"/>
      <c r="E72" s="13"/>
      <c r="F72" s="13"/>
      <c r="H72" s="160" t="s">
        <v>23</v>
      </c>
      <c r="I72" s="125">
        <v>14117224</v>
      </c>
      <c r="J72" s="161" t="s">
        <v>111</v>
      </c>
      <c r="K72" s="162">
        <f>K57</f>
        <v>7.4100000000000001E-4</v>
      </c>
      <c r="L72" s="50">
        <f>ROUND(I72*K72,0)</f>
        <v>10461</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121</v>
      </c>
      <c r="AA74" s="171" t="s">
        <v>129</v>
      </c>
      <c r="AB74" s="172">
        <f>+K75</f>
        <v>360</v>
      </c>
      <c r="AC74" s="55">
        <f>ROUND(AB74*Z74,0)</f>
        <v>43560</v>
      </c>
      <c r="AD74" s="9"/>
    </row>
    <row r="75" spans="1:30" ht="19.5" customHeight="1" x14ac:dyDescent="0.3">
      <c r="A75" s="1" t="s">
        <v>130</v>
      </c>
      <c r="B75" s="173" t="s">
        <v>127</v>
      </c>
      <c r="C75" s="174" t="s">
        <v>128</v>
      </c>
      <c r="D75" s="333">
        <v>121</v>
      </c>
      <c r="E75" s="173">
        <v>0</v>
      </c>
      <c r="F75" s="173">
        <v>0</v>
      </c>
      <c r="G75" s="175">
        <f>IF(E75=0,D75,E75)</f>
        <v>121</v>
      </c>
      <c r="H75" s="176"/>
      <c r="I75" s="177">
        <f>AVERAGE(G75,D75)</f>
        <v>121</v>
      </c>
      <c r="J75" s="178" t="s">
        <v>129</v>
      </c>
      <c r="K75" s="179">
        <v>360</v>
      </c>
      <c r="L75" s="50">
        <f>ROUND(K75*I75,0)</f>
        <v>43560</v>
      </c>
      <c r="N75" s="1">
        <v>7802</v>
      </c>
      <c r="O75" s="1">
        <v>0</v>
      </c>
      <c r="V75" s="358" t="s">
        <v>127</v>
      </c>
      <c r="W75" s="358"/>
      <c r="X75" s="168" t="s">
        <v>131</v>
      </c>
      <c r="Y75" s="180"/>
      <c r="Z75" s="181">
        <f>+I76</f>
        <v>5</v>
      </c>
      <c r="AA75" s="171" t="s">
        <v>129</v>
      </c>
      <c r="AB75" s="182">
        <f>+K76</f>
        <v>1355</v>
      </c>
      <c r="AC75" s="55">
        <f>ROUND(AB75*Z75,0)</f>
        <v>6775</v>
      </c>
      <c r="AD75" s="9"/>
    </row>
    <row r="76" spans="1:30" ht="19.5" customHeight="1" x14ac:dyDescent="0.3">
      <c r="A76" s="1" t="s">
        <v>132</v>
      </c>
      <c r="B76" s="173" t="s">
        <v>127</v>
      </c>
      <c r="C76" s="174" t="s">
        <v>131</v>
      </c>
      <c r="D76" s="333">
        <v>5</v>
      </c>
      <c r="E76" s="173">
        <v>0</v>
      </c>
      <c r="F76" s="173">
        <v>0</v>
      </c>
      <c r="G76" s="175">
        <f>IF(E76=0,D76,E76)</f>
        <v>5</v>
      </c>
      <c r="H76" s="176"/>
      <c r="I76" s="177">
        <f>AVERAGE(G76,D76)</f>
        <v>5</v>
      </c>
      <c r="J76" s="178" t="s">
        <v>129</v>
      </c>
      <c r="K76" s="183">
        <v>1355</v>
      </c>
      <c r="L76" s="50">
        <f>ROUND(K76*I76,0)</f>
        <v>6775</v>
      </c>
      <c r="N76" s="1">
        <v>7802</v>
      </c>
      <c r="O76" s="1">
        <v>110</v>
      </c>
      <c r="V76" s="354" t="s">
        <v>133</v>
      </c>
      <c r="W76" s="354"/>
      <c r="X76" s="354"/>
      <c r="Y76" s="355">
        <f>+I77</f>
        <v>32718286</v>
      </c>
      <c r="Z76" s="355"/>
      <c r="AA76" s="171" t="s">
        <v>129</v>
      </c>
      <c r="AB76" s="159">
        <f>AB54</f>
        <v>6.8900000000000005E-4</v>
      </c>
      <c r="AC76" s="55">
        <f>ROUND(Y76*AB76,0)</f>
        <v>22543</v>
      </c>
      <c r="AD76" s="9"/>
    </row>
    <row r="77" spans="1:30" ht="26.25" customHeight="1" x14ac:dyDescent="0.3">
      <c r="B77" s="13" t="s">
        <v>133</v>
      </c>
      <c r="C77" s="13"/>
      <c r="D77" s="314"/>
      <c r="E77" s="13"/>
      <c r="F77" s="13"/>
      <c r="H77" s="160" t="s">
        <v>134</v>
      </c>
      <c r="I77" s="184">
        <v>32718286</v>
      </c>
      <c r="J77" s="161" t="s">
        <v>111</v>
      </c>
      <c r="K77" s="162">
        <f>K54</f>
        <v>6.96E-4</v>
      </c>
      <c r="L77" s="50">
        <f>ROUND(I77*K77,0)</f>
        <v>22772</v>
      </c>
      <c r="O77" s="1"/>
      <c r="V77" s="354" t="str">
        <f>+B78</f>
        <v>15.  Additional Allocation (WFTE share)</v>
      </c>
      <c r="W77" s="354"/>
      <c r="X77" s="354"/>
      <c r="Y77" s="355">
        <f>+I78</f>
        <v>668680</v>
      </c>
      <c r="Z77" s="355"/>
      <c r="AA77" s="171" t="s">
        <v>129</v>
      </c>
      <c r="AB77" s="159">
        <f>AB54</f>
        <v>6.8900000000000005E-4</v>
      </c>
      <c r="AC77" s="55">
        <f>ROUND(Y77*AB77,0)</f>
        <v>461</v>
      </c>
      <c r="AD77" s="9"/>
    </row>
    <row r="78" spans="1:30" ht="26.25" customHeight="1" x14ac:dyDescent="0.3">
      <c r="B78" s="353" t="s">
        <v>135</v>
      </c>
      <c r="C78" s="353"/>
      <c r="D78" s="353"/>
      <c r="E78" s="13"/>
      <c r="F78" s="13"/>
      <c r="H78" s="160" t="s">
        <v>136</v>
      </c>
      <c r="I78" s="185">
        <v>668680</v>
      </c>
      <c r="J78" s="161" t="s">
        <v>111</v>
      </c>
      <c r="K78" s="162">
        <f>K54</f>
        <v>6.96E-4</v>
      </c>
      <c r="L78" s="50">
        <f>ROUND(I78*K78,0)</f>
        <v>465</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817836</v>
      </c>
      <c r="AD81" s="195"/>
    </row>
    <row r="82" spans="1:30" ht="22.5" customHeight="1" thickTop="1" thickBot="1" x14ac:dyDescent="0.35">
      <c r="B82" s="13" t="s">
        <v>141</v>
      </c>
      <c r="C82" s="13"/>
      <c r="D82" s="314"/>
      <c r="E82" s="13"/>
      <c r="F82" s="13"/>
      <c r="G82" s="13"/>
      <c r="H82" s="13"/>
      <c r="I82" s="13"/>
      <c r="J82" s="13"/>
      <c r="K82" s="13"/>
      <c r="L82" s="196">
        <f>SUM(L44:L81)</f>
        <v>1327135</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f>IF(G26=0,"",IF((G11+G13+SUM(G15:G21))/G26&gt;0.75,1,""))</f>
        <v>1</v>
      </c>
      <c r="L84" s="196">
        <f>'3400'!AC81</f>
        <v>817836</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817836</v>
      </c>
      <c r="L86" s="82">
        <f>IF(G26=0,0,IF(G26&gt;250,-(((250/G26)*K86)*IF(M86="H",0.02,0.05)),IF(M86="H",-0.02*K86,-0.05*K86)))</f>
        <v>-40891.800000000003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1286243.2</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675499</v>
      </c>
      <c r="G89" s="13"/>
      <c r="H89" s="13"/>
      <c r="I89" s="13"/>
      <c r="J89" s="13"/>
      <c r="K89" s="206"/>
      <c r="L89" s="82">
        <v>-878853</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407390.19999999995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101847.54999999999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292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293</v>
      </c>
      <c r="C123" s="219" t="s">
        <v>200</v>
      </c>
    </row>
    <row r="124" spans="2:3" ht="15.5" hidden="1" x14ac:dyDescent="0.35">
      <c r="B124" s="223" t="s">
        <v>294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41646.4692939815</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'3401'!B2</f>
        <v>50</v>
      </c>
      <c r="W2" s="413" t="s">
        <v>4</v>
      </c>
      <c r="X2" s="414"/>
      <c r="Y2" s="415"/>
      <c r="Z2" s="415"/>
      <c r="AA2" s="415"/>
      <c r="AB2" s="415"/>
      <c r="AC2" s="415"/>
      <c r="AD2" s="9"/>
    </row>
    <row r="3" spans="1:30" ht="20" x14ac:dyDescent="0.4">
      <c r="B3" s="10" t="str">
        <f>"Revenue Estimate Worksheet for "&amp;B124</f>
        <v>Revenue Estimate Worksheet for Quantum High School</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'3401'!G7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IF('3401'!K$84=1,'3401'!G10,0)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IF('3401'!K$84=1,'3401'!G11,0)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IF('3401'!K$84=1,'3401'!G12,0)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IF('3401'!K$84=1,'3401'!G13,0)</f>
        <v>0</v>
      </c>
      <c r="Y13" s="396"/>
      <c r="Z13" s="397">
        <v>1</v>
      </c>
      <c r="AA13" s="397"/>
      <c r="AB13" s="54">
        <f t="shared" si="0"/>
        <v>0</v>
      </c>
      <c r="AC13" s="55">
        <f t="shared" si="1"/>
        <v>0</v>
      </c>
      <c r="AD13" s="9"/>
    </row>
    <row r="14" spans="1:30" x14ac:dyDescent="0.3">
      <c r="A14" s="1" t="s">
        <v>37</v>
      </c>
      <c r="B14" s="13" t="s">
        <v>38</v>
      </c>
      <c r="C14" s="13"/>
      <c r="D14" s="13">
        <v>151.37</v>
      </c>
      <c r="E14" s="13">
        <v>0</v>
      </c>
      <c r="F14" s="13">
        <v>152.6</v>
      </c>
      <c r="G14" s="46">
        <f t="shared" si="2"/>
        <v>302.74</v>
      </c>
      <c r="H14" s="47"/>
      <c r="I14" s="56">
        <v>1.0109999999999999</v>
      </c>
      <c r="J14" s="56"/>
      <c r="K14" s="49">
        <f t="shared" si="3"/>
        <v>306.07010000000002</v>
      </c>
      <c r="L14" s="50">
        <f t="shared" si="4"/>
        <v>1185907</v>
      </c>
      <c r="N14" s="51">
        <v>5103</v>
      </c>
      <c r="O14" s="52">
        <v>103</v>
      </c>
      <c r="Q14" s="53"/>
      <c r="V14" s="357" t="s">
        <v>38</v>
      </c>
      <c r="W14" s="357"/>
      <c r="X14" s="396">
        <f>IF('3401'!K$84=1,'3401'!G14,0)</f>
        <v>0</v>
      </c>
      <c r="Y14" s="396"/>
      <c r="Z14" s="397">
        <v>1</v>
      </c>
      <c r="AA14" s="397"/>
      <c r="AB14" s="54">
        <f t="shared" si="0"/>
        <v>0</v>
      </c>
      <c r="AC14" s="55">
        <f t="shared" si="1"/>
        <v>0</v>
      </c>
      <c r="AD14" s="9"/>
    </row>
    <row r="15" spans="1:30" x14ac:dyDescent="0.3">
      <c r="A15" s="1" t="s">
        <v>39</v>
      </c>
      <c r="B15" s="13" t="s">
        <v>40</v>
      </c>
      <c r="C15" s="13"/>
      <c r="D15" s="13">
        <v>40.090000000000003</v>
      </c>
      <c r="E15" s="13">
        <v>0</v>
      </c>
      <c r="F15" s="13">
        <v>40.82</v>
      </c>
      <c r="G15" s="46">
        <f t="shared" si="2"/>
        <v>80.180000000000007</v>
      </c>
      <c r="H15" s="47"/>
      <c r="I15" s="56">
        <f>I14</f>
        <v>1.0109999999999999</v>
      </c>
      <c r="J15" s="56"/>
      <c r="K15" s="49">
        <f t="shared" si="3"/>
        <v>81.061999999999998</v>
      </c>
      <c r="L15" s="58">
        <f t="shared" si="4"/>
        <v>314085</v>
      </c>
      <c r="M15" s="1" t="str">
        <f>IF(ROUND(G15,2)=ROUND(SUM(G34:G36),2)," ","CHECK 2. PK-3 Lines Below")</f>
        <v xml:space="preserve"> </v>
      </c>
      <c r="N15" s="51">
        <v>5103</v>
      </c>
      <c r="O15" s="57" t="s">
        <v>41</v>
      </c>
      <c r="Q15" s="53"/>
      <c r="V15" s="357" t="s">
        <v>40</v>
      </c>
      <c r="W15" s="357"/>
      <c r="X15" s="396">
        <f>IF('3401'!K$84=1,'3401'!G15,0)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IF('3401'!K$84=1,'3401'!G16,0)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IF('3401'!K$84=1,'3401'!G17,0)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IF('3401'!K$84=1,'3401'!G18,0)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IF('3401'!K$84=1,'3401'!G19,0)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IF('3401'!K$84=1,'3401'!G20,0)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IF('3401'!K$84=1,'3401'!G21,0)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IF('3401'!K$84=1,'3401'!G22,0)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IF('3401'!K$84=1,'3401'!G23,0)</f>
        <v>0</v>
      </c>
      <c r="Y23" s="396"/>
      <c r="Z23" s="397">
        <v>1</v>
      </c>
      <c r="AA23" s="397"/>
      <c r="AB23" s="54">
        <f t="shared" si="0"/>
        <v>0</v>
      </c>
      <c r="AC23" s="55">
        <f t="shared" si="1"/>
        <v>0</v>
      </c>
      <c r="AD23" s="9"/>
    </row>
    <row r="24" spans="1:30" ht="15.5" x14ac:dyDescent="0.35">
      <c r="A24" s="1" t="s">
        <v>58</v>
      </c>
      <c r="B24" s="13" t="s">
        <v>59</v>
      </c>
      <c r="C24" s="13"/>
      <c r="D24" s="13">
        <v>2.4</v>
      </c>
      <c r="E24" s="13">
        <v>0</v>
      </c>
      <c r="F24" s="13">
        <v>2.4</v>
      </c>
      <c r="G24" s="46">
        <f t="shared" si="2"/>
        <v>4.8</v>
      </c>
      <c r="H24" s="47"/>
      <c r="I24" s="56">
        <f>I23</f>
        <v>1.145</v>
      </c>
      <c r="J24" s="56"/>
      <c r="K24" s="49">
        <f t="shared" si="3"/>
        <v>5.4960000000000004</v>
      </c>
      <c r="L24" s="50">
        <f t="shared" si="4"/>
        <v>21295</v>
      </c>
      <c r="N24" s="51">
        <v>5103</v>
      </c>
      <c r="O24" s="52">
        <v>130</v>
      </c>
      <c r="Q24" s="53"/>
      <c r="V24" s="357" t="s">
        <v>59</v>
      </c>
      <c r="W24" s="357"/>
      <c r="X24" s="396">
        <f>IF('3401'!K$84=1,'3401'!G24,0)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IF('3401'!K$84=1,'3401'!G25,0)</f>
        <v>0</v>
      </c>
      <c r="Y25" s="396"/>
      <c r="Z25" s="397">
        <v>1</v>
      </c>
      <c r="AA25" s="397"/>
      <c r="AB25" s="54">
        <f t="shared" si="0"/>
        <v>0</v>
      </c>
      <c r="AC25" s="55">
        <f t="shared" si="1"/>
        <v>0</v>
      </c>
      <c r="AD25" s="9"/>
    </row>
    <row r="26" spans="1:30" ht="20.25" customHeight="1" thickBot="1" x14ac:dyDescent="0.35">
      <c r="B26" s="61" t="s">
        <v>62</v>
      </c>
      <c r="C26" s="61"/>
      <c r="D26" s="62">
        <f t="shared" ref="D26:E26" si="5">SUM(D10:D25)</f>
        <v>193.86</v>
      </c>
      <c r="E26" s="62">
        <f t="shared" si="5"/>
        <v>0</v>
      </c>
      <c r="F26" s="62"/>
      <c r="G26" s="62">
        <f>SUM(G10:G25)</f>
        <v>387.72</v>
      </c>
      <c r="H26" s="63"/>
      <c r="I26" s="63"/>
      <c r="J26" s="64"/>
      <c r="K26" s="65">
        <f>SUM(K10:K25)</f>
        <v>392.62810000000002</v>
      </c>
      <c r="L26" s="66">
        <f>SUM(L10:L25)</f>
        <v>1521287</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36.590000000000003</v>
      </c>
      <c r="E34" s="13">
        <v>0</v>
      </c>
      <c r="F34" s="89">
        <v>29</v>
      </c>
      <c r="G34" s="46">
        <f t="shared" si="7"/>
        <v>73.180000000000007</v>
      </c>
      <c r="H34" s="79"/>
      <c r="I34" s="90" t="s">
        <v>78</v>
      </c>
      <c r="J34" s="51">
        <v>251</v>
      </c>
      <c r="K34" s="81">
        <v>835</v>
      </c>
      <c r="L34" s="82">
        <f t="shared" si="8"/>
        <v>61105</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3</v>
      </c>
      <c r="E35" s="13">
        <v>0</v>
      </c>
      <c r="F35" s="89">
        <v>3</v>
      </c>
      <c r="G35" s="46">
        <f t="shared" si="7"/>
        <v>6</v>
      </c>
      <c r="H35" s="79"/>
      <c r="I35" s="90" t="s">
        <v>78</v>
      </c>
      <c r="J35" s="51">
        <v>252</v>
      </c>
      <c r="K35" s="81">
        <v>3168</v>
      </c>
      <c r="L35" s="82">
        <f t="shared" si="8"/>
        <v>19008</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0.5</v>
      </c>
      <c r="E36" s="13">
        <v>0</v>
      </c>
      <c r="F36" s="89">
        <v>0.5</v>
      </c>
      <c r="G36" s="46">
        <f t="shared" si="7"/>
        <v>1</v>
      </c>
      <c r="H36" s="79"/>
      <c r="I36" s="90" t="s">
        <v>78</v>
      </c>
      <c r="J36" s="51">
        <v>253</v>
      </c>
      <c r="K36" s="81">
        <v>6685</v>
      </c>
      <c r="L36" s="93">
        <f t="shared" si="8"/>
        <v>6685</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40.090000000000003</v>
      </c>
      <c r="E37" s="62">
        <f t="shared" si="10"/>
        <v>0</v>
      </c>
      <c r="F37" s="62"/>
      <c r="G37" s="62">
        <f>SUM(G28:G36)</f>
        <v>80.180000000000007</v>
      </c>
      <c r="H37" s="63"/>
      <c r="I37" s="13" t="s">
        <v>82</v>
      </c>
      <c r="J37" s="13"/>
      <c r="K37" s="13"/>
      <c r="L37" s="50">
        <f>SUM(L28:L36)</f>
        <v>86798</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74442</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1682527</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392.62810000000002</v>
      </c>
      <c r="D49" s="121"/>
      <c r="E49" s="121"/>
      <c r="F49" s="121"/>
      <c r="G49" s="122">
        <f>K7</f>
        <v>1.0326</v>
      </c>
      <c r="H49" s="122"/>
      <c r="I49" s="123">
        <v>900.39</v>
      </c>
      <c r="J49" s="124" t="s">
        <v>97</v>
      </c>
      <c r="K49" s="125">
        <f>ROUND(C49*G49*I49,0)</f>
        <v>365043</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392.62810000000002</v>
      </c>
      <c r="D50" s="144"/>
      <c r="E50" s="145"/>
      <c r="F50" s="145"/>
      <c r="G50" s="146" t="s">
        <v>99</v>
      </c>
      <c r="H50" s="146"/>
      <c r="I50" s="146"/>
      <c r="J50" s="146"/>
      <c r="K50" s="146"/>
      <c r="L50" s="50">
        <f>IF(B2=75,0,K49+K48+K47)</f>
        <v>365043</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392.62810000000002</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2.0330000000000001E-3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387.72</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2.1610000000000002E-3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2.0330000000000001E-3</v>
      </c>
      <c r="L59" s="50">
        <f>ROUND(I59*K59,0)</f>
        <v>8382</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2.0330000000000001E-3</v>
      </c>
      <c r="L67" s="50">
        <f>ROUND(I67*K67,0)</f>
        <v>196743</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2.1610000000000002E-3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2.0330000000000001E-3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2.0330000000000001E-3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2.1610000000000002E-3</v>
      </c>
      <c r="L72" s="50">
        <f>ROUND(I72*K72,0)</f>
        <v>30507</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188</v>
      </c>
      <c r="AA74" s="171" t="s">
        <v>129</v>
      </c>
      <c r="AB74" s="172">
        <f>+K75</f>
        <v>360</v>
      </c>
      <c r="AC74" s="55">
        <f>ROUND(AB74*Z74,0)</f>
        <v>67680</v>
      </c>
      <c r="AD74" s="9"/>
    </row>
    <row r="75" spans="1:30" ht="19.5" customHeight="1" x14ac:dyDescent="0.3">
      <c r="A75" s="1" t="s">
        <v>130</v>
      </c>
      <c r="B75" s="173" t="s">
        <v>127</v>
      </c>
      <c r="C75" s="174" t="s">
        <v>128</v>
      </c>
      <c r="D75" s="173">
        <v>188</v>
      </c>
      <c r="E75" s="173">
        <v>0</v>
      </c>
      <c r="F75" s="173">
        <v>0</v>
      </c>
      <c r="G75" s="175">
        <f>IF(E75=0,D75,E75)</f>
        <v>188</v>
      </c>
      <c r="H75" s="176"/>
      <c r="I75" s="177">
        <f>AVERAGE(G75,D75)</f>
        <v>188</v>
      </c>
      <c r="J75" s="178" t="s">
        <v>129</v>
      </c>
      <c r="K75" s="179">
        <v>360</v>
      </c>
      <c r="L75" s="50">
        <f>ROUND(K75*I75,0)</f>
        <v>67680</v>
      </c>
      <c r="N75" s="1">
        <v>7802</v>
      </c>
      <c r="O75" s="1">
        <v>0</v>
      </c>
      <c r="V75" s="358" t="s">
        <v>127</v>
      </c>
      <c r="W75" s="358"/>
      <c r="X75" s="168" t="s">
        <v>131</v>
      </c>
      <c r="Y75" s="180"/>
      <c r="Z75" s="181">
        <f>+I76</f>
        <v>2</v>
      </c>
      <c r="AA75" s="171" t="s">
        <v>129</v>
      </c>
      <c r="AB75" s="182">
        <f>+K76</f>
        <v>1355</v>
      </c>
      <c r="AC75" s="55">
        <f>ROUND(AB75*Z75,0)</f>
        <v>2710</v>
      </c>
      <c r="AD75" s="9"/>
    </row>
    <row r="76" spans="1:30" ht="19.5" customHeight="1" x14ac:dyDescent="0.3">
      <c r="A76" s="1" t="s">
        <v>132</v>
      </c>
      <c r="B76" s="173" t="s">
        <v>127</v>
      </c>
      <c r="C76" s="174" t="s">
        <v>131</v>
      </c>
      <c r="D76" s="173">
        <v>2</v>
      </c>
      <c r="E76" s="173">
        <v>0</v>
      </c>
      <c r="F76" s="173">
        <v>0</v>
      </c>
      <c r="G76" s="175">
        <f>IF(E76=0,D76,E76)</f>
        <v>2</v>
      </c>
      <c r="H76" s="176"/>
      <c r="I76" s="177">
        <f>AVERAGE(G76,D76)</f>
        <v>2</v>
      </c>
      <c r="J76" s="178" t="s">
        <v>129</v>
      </c>
      <c r="K76" s="183">
        <v>1355</v>
      </c>
      <c r="L76" s="50">
        <f>ROUND(K76*I76,0)</f>
        <v>2710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2.0330000000000001E-3</v>
      </c>
      <c r="L77" s="50">
        <f>ROUND(I77*K77,0)</f>
        <v>66516</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2.0330000000000001E-3</v>
      </c>
      <c r="L78" s="50">
        <f>ROUND(I78*K78,0)</f>
        <v>1359</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70390</v>
      </c>
      <c r="AD81" s="195"/>
    </row>
    <row r="82" spans="1:30" ht="22.5" customHeight="1" thickTop="1" thickBot="1" x14ac:dyDescent="0.35">
      <c r="B82" s="13" t="s">
        <v>141</v>
      </c>
      <c r="C82" s="13"/>
      <c r="D82" s="13"/>
      <c r="E82" s="13"/>
      <c r="F82" s="13"/>
      <c r="G82" s="13"/>
      <c r="H82" s="13"/>
      <c r="I82" s="13"/>
      <c r="J82" s="13"/>
      <c r="K82" s="13"/>
      <c r="L82" s="196">
        <f>SUM(L44:L81)</f>
        <v>2421467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'3401'!AC81</f>
        <v>70390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2421467</v>
      </c>
      <c r="L86" s="82">
        <f>IF(G26=0,0,IF(G26&gt;250,-(((250/G26)*K86)*IF(M86="H",0.02,0.05)),IF(M86="H",-0.02*K86,-0.05*K86)))</f>
        <v>-78067.516506757456</v>
      </c>
      <c r="M86" s="197"/>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2343399.4834932424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956836</v>
      </c>
      <c r="G89" s="13"/>
      <c r="H89" s="13"/>
      <c r="I89" s="13"/>
      <c r="J89" s="13"/>
      <c r="K89" s="206"/>
      <c r="L89" s="82">
        <v>-1418931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924468.48349324241</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231117.1208733106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43005.83349324255</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295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296</v>
      </c>
      <c r="C123" s="219" t="s">
        <v>200</v>
      </c>
    </row>
    <row r="124" spans="2:3" ht="15.5" hidden="1" x14ac:dyDescent="0.35">
      <c r="B124" s="223" t="s">
        <v>297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41646.469305555598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D151"/>
  <sheetViews>
    <sheetView topLeftCell="B83" zoomScale="90" zoomScaleNormal="90" workbookViewId="0">
      <selection activeCell="B2" sqref="B2"/>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'3411'!B2</f>
        <v>50</v>
      </c>
      <c r="W2" s="413" t="s">
        <v>4</v>
      </c>
      <c r="X2" s="414"/>
      <c r="Y2" s="415"/>
      <c r="Z2" s="415"/>
      <c r="AA2" s="415"/>
      <c r="AB2" s="415"/>
      <c r="AC2" s="415"/>
      <c r="AD2" s="9"/>
    </row>
    <row r="3" spans="1:30" ht="20" x14ac:dyDescent="0.4">
      <c r="B3" s="10" t="str">
        <f>"Revenue Estimate Worksheet for "&amp;B124</f>
        <v>Revenue Estimate Worksheet for My Choice Academy</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'3411'!G7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IF('3411'!K$84=1,'3411'!G10,0)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IF('3411'!K$84=1,'3411'!G11,0)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IF('3411'!K$84=1,'3411'!G12,0)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IF('3411'!K$84=1,'3411'!G13,0)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IF('3411'!K$84=1,'3411'!G14,0)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IF('3411'!K$84=1,'3411'!G15,0)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IF('3411'!K$84=1,'3411'!G16,0)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IF('3411'!K$84=1,'3411'!G17,0)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IF('3411'!K$84=1,'3411'!G18,0)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IF('3411'!K$84=1,'3411'!G19,0)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IF('3411'!K$84=1,'3411'!G20,0)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IF('3411'!K$84=1,'3411'!G21,0)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IF('3411'!K$84=1,'3411'!G22,0)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IF('3411'!K$84=1,'3411'!G23,0)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IF('3411'!K$84=1,'3411'!G24,0)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IF('3411'!K$84=1,'3411'!G25,0)</f>
        <v>0</v>
      </c>
      <c r="Y25" s="396"/>
      <c r="Z25" s="397">
        <v>1</v>
      </c>
      <c r="AA25" s="397"/>
      <c r="AB25" s="54">
        <f t="shared" si="0"/>
        <v>0</v>
      </c>
      <c r="AC25" s="55">
        <f t="shared" si="1"/>
        <v>0</v>
      </c>
      <c r="AD25" s="9"/>
    </row>
    <row r="26" spans="1:30" ht="20.25" customHeight="1" thickBot="1" x14ac:dyDescent="0.35">
      <c r="B26" s="61" t="s">
        <v>62</v>
      </c>
      <c r="C26" s="61"/>
      <c r="D26" s="62">
        <f t="shared" ref="D26:E26" si="5">SUM(D10:D25)</f>
        <v>0</v>
      </c>
      <c r="E26" s="62">
        <f t="shared" si="5"/>
        <v>0</v>
      </c>
      <c r="F26" s="62"/>
      <c r="G26" s="62">
        <f>SUM(G10:G25)</f>
        <v>0</v>
      </c>
      <c r="H26" s="63"/>
      <c r="I26" s="63"/>
      <c r="J26" s="64"/>
      <c r="K26" s="65">
        <f>SUM(K10:K25)</f>
        <v>0</v>
      </c>
      <c r="L26" s="66">
        <f>SUM(L10:L25)</f>
        <v>0</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0</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0</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0</v>
      </c>
      <c r="D50" s="144"/>
      <c r="E50" s="145"/>
      <c r="F50" s="145"/>
      <c r="G50" s="146" t="s">
        <v>99</v>
      </c>
      <c r="H50" s="146"/>
      <c r="I50" s="146"/>
      <c r="J50" s="146"/>
      <c r="K50" s="146"/>
      <c r="L50" s="50">
        <f>IF(B2=75,0,K49+K48+K47)</f>
        <v>0</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0</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0</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0</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0</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0</v>
      </c>
      <c r="L59" s="50">
        <f>ROUND(I59*K59,0)</f>
        <v>0</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0</v>
      </c>
      <c r="L67" s="50">
        <f>ROUND(I67*K67,0)</f>
        <v>0</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0</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0</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0</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0</v>
      </c>
      <c r="L72" s="50">
        <f>ROUND(I72*K72,0)</f>
        <v>0</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0</v>
      </c>
      <c r="L77" s="50">
        <f>ROUND(I77*K77,0)</f>
        <v>0</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0</v>
      </c>
      <c r="L78" s="50">
        <f>ROUND(I78*K78,0)</f>
        <v>0</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0</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'3411'!AC81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0</v>
      </c>
      <c r="L86" s="82">
        <f>IF(G26=0,0,IF(G26&gt;250,-(((250/G26)*K86)*IF(M86="H",0.02,0.05)),IF(M86="H",-0.02*K86,-0.05*K86)))</f>
        <v>0</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0</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16395</v>
      </c>
      <c r="G89" s="13"/>
      <c r="H89" s="13"/>
      <c r="I89" s="13"/>
      <c r="J89" s="13"/>
      <c r="K89" s="206"/>
      <c r="L89" s="82">
        <f>-F89</f>
        <v>-16395</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-16395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0</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f>
        <v>-16395</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298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299</v>
      </c>
      <c r="C123" s="219" t="s">
        <v>200</v>
      </c>
    </row>
    <row r="124" spans="2:3" ht="15.5" hidden="1" x14ac:dyDescent="0.35">
      <c r="B124" s="223" t="s">
        <v>300</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41646.469317129602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'3413'!B2</f>
        <v>50</v>
      </c>
      <c r="W2" s="413" t="s">
        <v>4</v>
      </c>
      <c r="X2" s="414"/>
      <c r="Y2" s="415"/>
      <c r="Z2" s="415"/>
      <c r="AA2" s="415"/>
      <c r="AB2" s="415"/>
      <c r="AC2" s="415"/>
      <c r="AD2" s="9"/>
    </row>
    <row r="3" spans="1:30" ht="20" x14ac:dyDescent="0.4">
      <c r="B3" s="10" t="str">
        <f>"Revenue Estimate Worksheet for "&amp;B124</f>
        <v>Revenue Estimate Worksheet for Somerset Academy Boca East</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'3413'!G7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97.92</v>
      </c>
      <c r="E10" s="45">
        <v>0</v>
      </c>
      <c r="F10" s="45">
        <v>108.55</v>
      </c>
      <c r="G10" s="46">
        <f>IF(E10=0,D10*2,D10+E10)</f>
        <v>195.84</v>
      </c>
      <c r="H10" s="47"/>
      <c r="I10" s="48">
        <v>1.125</v>
      </c>
      <c r="J10" s="48"/>
      <c r="K10" s="49">
        <f>ROUND(G10*I10,4)</f>
        <v>220.32</v>
      </c>
      <c r="L10" s="50">
        <f>ROUND(ROUND(K10*$G$7,4)*($K$7),0)</f>
        <v>853657</v>
      </c>
      <c r="N10" s="51">
        <v>5101</v>
      </c>
      <c r="O10" s="52">
        <v>101</v>
      </c>
      <c r="Q10" s="53"/>
      <c r="V10" s="404" t="s">
        <v>28</v>
      </c>
      <c r="W10" s="404"/>
      <c r="X10" s="396">
        <f>IF('3413'!K$84=1,'3413'!G10,0)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14.5</v>
      </c>
      <c r="E11" s="13">
        <v>0</v>
      </c>
      <c r="F11" s="13">
        <v>16.68</v>
      </c>
      <c r="G11" s="46">
        <f t="shared" ref="G11:G25" si="2">IF(E11=0,D11*2,D11+E11)</f>
        <v>29</v>
      </c>
      <c r="H11" s="47"/>
      <c r="I11" s="56">
        <f>I10</f>
        <v>1.125</v>
      </c>
      <c r="J11" s="56"/>
      <c r="K11" s="49">
        <f t="shared" ref="K11:K25" si="3">ROUND(G11*I11,4)</f>
        <v>32.625</v>
      </c>
      <c r="L11" s="50">
        <f t="shared" ref="L11:L25" si="4">ROUND(ROUND(K11*$G$7,4)*($K$7),0)</f>
        <v>126410</v>
      </c>
      <c r="M11" s="1" t="str">
        <f>IF(ROUND(G11,2)=ROUND(SUM(G28:G30),2)," ","CHECK 2. PK-3 Lines Below")</f>
        <v xml:space="preserve"> </v>
      </c>
      <c r="N11" s="51">
        <v>5101</v>
      </c>
      <c r="O11" s="57" t="s">
        <v>31</v>
      </c>
      <c r="Q11" s="53"/>
      <c r="V11" s="357" t="s">
        <v>30</v>
      </c>
      <c r="W11" s="357"/>
      <c r="X11" s="396">
        <f>IF('3413'!K$84=1,'3413'!G11,0)</f>
        <v>0</v>
      </c>
      <c r="Y11" s="396"/>
      <c r="Z11" s="397">
        <v>1</v>
      </c>
      <c r="AA11" s="397"/>
      <c r="AB11" s="54">
        <f t="shared" si="0"/>
        <v>0</v>
      </c>
      <c r="AC11" s="55">
        <f t="shared" si="1"/>
        <v>0</v>
      </c>
      <c r="AD11" s="9"/>
    </row>
    <row r="12" spans="1:30" x14ac:dyDescent="0.3">
      <c r="A12" s="1" t="s">
        <v>32</v>
      </c>
      <c r="B12" s="13" t="s">
        <v>33</v>
      </c>
      <c r="C12" s="13"/>
      <c r="D12" s="13">
        <v>17.41</v>
      </c>
      <c r="E12" s="13">
        <v>0</v>
      </c>
      <c r="F12" s="13">
        <v>20.58</v>
      </c>
      <c r="G12" s="46">
        <f t="shared" si="2"/>
        <v>34.82</v>
      </c>
      <c r="H12" s="47"/>
      <c r="I12" s="56">
        <v>1</v>
      </c>
      <c r="J12" s="56"/>
      <c r="K12" s="49">
        <f t="shared" si="3"/>
        <v>34.82</v>
      </c>
      <c r="L12" s="50">
        <f t="shared" si="4"/>
        <v>134914</v>
      </c>
      <c r="N12" s="51">
        <v>5102</v>
      </c>
      <c r="O12" s="52">
        <v>102</v>
      </c>
      <c r="Q12" s="53"/>
      <c r="V12" s="357" t="s">
        <v>33</v>
      </c>
      <c r="W12" s="357"/>
      <c r="X12" s="396">
        <f>IF('3413'!K$84=1,'3413'!G12,0)</f>
        <v>0</v>
      </c>
      <c r="Y12" s="396"/>
      <c r="Z12" s="397">
        <v>1</v>
      </c>
      <c r="AA12" s="397"/>
      <c r="AB12" s="54">
        <f t="shared" si="0"/>
        <v>0</v>
      </c>
      <c r="AC12" s="55">
        <f t="shared" si="1"/>
        <v>0</v>
      </c>
      <c r="AD12" s="9"/>
    </row>
    <row r="13" spans="1:30" x14ac:dyDescent="0.3">
      <c r="A13" s="1" t="s">
        <v>34</v>
      </c>
      <c r="B13" s="13" t="s">
        <v>35</v>
      </c>
      <c r="C13" s="13"/>
      <c r="D13" s="13">
        <v>8.5</v>
      </c>
      <c r="E13" s="13">
        <v>0</v>
      </c>
      <c r="F13" s="13">
        <v>10.34</v>
      </c>
      <c r="G13" s="46">
        <f t="shared" si="2"/>
        <v>17</v>
      </c>
      <c r="H13" s="47"/>
      <c r="I13" s="56">
        <f>I12</f>
        <v>1</v>
      </c>
      <c r="J13" s="56"/>
      <c r="K13" s="49">
        <f t="shared" si="3"/>
        <v>17</v>
      </c>
      <c r="L13" s="50">
        <f t="shared" si="4"/>
        <v>65869</v>
      </c>
      <c r="M13" s="1" t="str">
        <f>IF(ROUND(G13,2)=ROUND(SUM(G31:G33),2)," ","CHECK 2. PK-3 Lines Below")</f>
        <v xml:space="preserve"> </v>
      </c>
      <c r="N13" s="51">
        <v>5102</v>
      </c>
      <c r="O13" s="57" t="s">
        <v>36</v>
      </c>
      <c r="Q13" s="53"/>
      <c r="V13" s="357" t="s">
        <v>35</v>
      </c>
      <c r="W13" s="357"/>
      <c r="X13" s="396">
        <f>IF('3413'!K$84=1,'3413'!G13,0)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IF('3413'!K$84=1,'3413'!G14,0)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IF('3413'!K$84=1,'3413'!G15,0)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IF('3413'!K$84=1,'3413'!G16,0)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IF('3413'!K$84=1,'3413'!G17,0)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IF('3413'!K$84=1,'3413'!G18,0)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IF('3413'!K$84=1,'3413'!G19,0)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IF('3413'!K$84=1,'3413'!G20,0)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IF('3413'!K$84=1,'3413'!G21,0)</f>
        <v>0</v>
      </c>
      <c r="Y21" s="396"/>
      <c r="Z21" s="397">
        <v>1</v>
      </c>
      <c r="AA21" s="397"/>
      <c r="AB21" s="54">
        <f t="shared" si="0"/>
        <v>0</v>
      </c>
      <c r="AC21" s="55">
        <f t="shared" si="1"/>
        <v>0</v>
      </c>
      <c r="AD21" s="9"/>
    </row>
    <row r="22" spans="1:30" ht="15.5" x14ac:dyDescent="0.35">
      <c r="A22" s="1" t="s">
        <v>54</v>
      </c>
      <c r="B22" s="13" t="s">
        <v>55</v>
      </c>
      <c r="C22" s="13"/>
      <c r="D22" s="13">
        <v>4.08</v>
      </c>
      <c r="E22" s="13">
        <v>0</v>
      </c>
      <c r="F22" s="13">
        <v>5.09</v>
      </c>
      <c r="G22" s="46">
        <f t="shared" si="2"/>
        <v>8.16</v>
      </c>
      <c r="H22" s="47"/>
      <c r="I22" s="56">
        <v>1.145</v>
      </c>
      <c r="J22" s="56"/>
      <c r="K22" s="49">
        <f t="shared" si="3"/>
        <v>9.3431999999999995</v>
      </c>
      <c r="L22" s="50">
        <f t="shared" si="4"/>
        <v>36201</v>
      </c>
      <c r="N22" s="51">
        <v>5101</v>
      </c>
      <c r="O22" s="52">
        <v>130</v>
      </c>
      <c r="Q22" s="53"/>
      <c r="V22" s="357" t="s">
        <v>55</v>
      </c>
      <c r="W22" s="357"/>
      <c r="X22" s="396">
        <f>IF('3413'!K$84=1,'3413'!G22,0)</f>
        <v>0</v>
      </c>
      <c r="Y22" s="396"/>
      <c r="Z22" s="397">
        <v>1</v>
      </c>
      <c r="AA22" s="397"/>
      <c r="AB22" s="54">
        <f t="shared" si="0"/>
        <v>0</v>
      </c>
      <c r="AC22" s="55">
        <f t="shared" si="1"/>
        <v>0</v>
      </c>
      <c r="AD22" s="9"/>
    </row>
    <row r="23" spans="1:30" ht="15.5" x14ac:dyDescent="0.35">
      <c r="A23" s="1" t="s">
        <v>56</v>
      </c>
      <c r="B23" s="13" t="s">
        <v>57</v>
      </c>
      <c r="C23" s="13"/>
      <c r="D23" s="13">
        <v>0.45</v>
      </c>
      <c r="E23" s="13">
        <v>0</v>
      </c>
      <c r="F23" s="13">
        <v>0</v>
      </c>
      <c r="G23" s="46">
        <f t="shared" si="2"/>
        <v>0.9</v>
      </c>
      <c r="H23" s="47"/>
      <c r="I23" s="56">
        <f>I22</f>
        <v>1.145</v>
      </c>
      <c r="J23" s="56"/>
      <c r="K23" s="49">
        <f t="shared" si="3"/>
        <v>1.0305</v>
      </c>
      <c r="L23" s="50">
        <f t="shared" si="4"/>
        <v>3993</v>
      </c>
      <c r="N23" s="51">
        <v>5102</v>
      </c>
      <c r="O23" s="52">
        <v>130</v>
      </c>
      <c r="Q23" s="53"/>
      <c r="V23" s="357" t="s">
        <v>57</v>
      </c>
      <c r="W23" s="357"/>
      <c r="X23" s="396">
        <f>IF('3413'!K$84=1,'3413'!G23,0)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IF('3413'!K$84=1,'3413'!G24,0)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IF('3413'!K$84=1,'3413'!G25,0)</f>
        <v>0</v>
      </c>
      <c r="Y25" s="396"/>
      <c r="Z25" s="397">
        <v>1</v>
      </c>
      <c r="AA25" s="397"/>
      <c r="AB25" s="54">
        <f t="shared" si="0"/>
        <v>0</v>
      </c>
      <c r="AC25" s="55">
        <f t="shared" si="1"/>
        <v>0</v>
      </c>
      <c r="AD25" s="9"/>
    </row>
    <row r="26" spans="1:30" ht="20.25" customHeight="1" thickBot="1" x14ac:dyDescent="0.35">
      <c r="B26" s="61" t="s">
        <v>62</v>
      </c>
      <c r="C26" s="61"/>
      <c r="D26" s="62">
        <f t="shared" ref="D26:E26" si="5">SUM(D10:D25)</f>
        <v>142.86000000000001</v>
      </c>
      <c r="E26" s="62">
        <f t="shared" si="5"/>
        <v>0</v>
      </c>
      <c r="F26" s="62"/>
      <c r="G26" s="62">
        <f>SUM(G10:G25)</f>
        <v>285.72000000000003</v>
      </c>
      <c r="H26" s="63"/>
      <c r="I26" s="63"/>
      <c r="J26" s="64"/>
      <c r="K26" s="65">
        <f>SUM(K10:K25)</f>
        <v>315.13870000000003</v>
      </c>
      <c r="L26" s="66">
        <f>SUM(L10:L25)</f>
        <v>1221044</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14</v>
      </c>
      <c r="E28" s="13">
        <v>0</v>
      </c>
      <c r="F28" s="78">
        <v>12</v>
      </c>
      <c r="G28" s="46">
        <f>IF(E28=0,D28*2,D28+E28)</f>
        <v>28</v>
      </c>
      <c r="H28" s="79"/>
      <c r="I28" s="80" t="s">
        <v>70</v>
      </c>
      <c r="J28" s="51">
        <v>251</v>
      </c>
      <c r="K28" s="81">
        <v>1047</v>
      </c>
      <c r="L28" s="82">
        <f>ROUND(G28*K28,0)</f>
        <v>29316</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8</v>
      </c>
      <c r="E31" s="13">
        <v>0</v>
      </c>
      <c r="F31" s="89">
        <v>5.5</v>
      </c>
      <c r="G31" s="46">
        <f t="shared" si="7"/>
        <v>16</v>
      </c>
      <c r="H31" s="79"/>
      <c r="I31" s="90" t="s">
        <v>74</v>
      </c>
      <c r="J31" s="51">
        <v>251</v>
      </c>
      <c r="K31" s="81">
        <v>1173</v>
      </c>
      <c r="L31" s="82">
        <f t="shared" si="8"/>
        <v>18768</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0.5</v>
      </c>
      <c r="E32" s="13">
        <v>0</v>
      </c>
      <c r="F32" s="89">
        <v>0.5</v>
      </c>
      <c r="G32" s="46">
        <f t="shared" si="7"/>
        <v>1</v>
      </c>
      <c r="H32" s="79"/>
      <c r="I32" s="90" t="s">
        <v>74</v>
      </c>
      <c r="J32" s="51">
        <v>252</v>
      </c>
      <c r="K32" s="81">
        <v>3506</v>
      </c>
      <c r="L32" s="82">
        <f t="shared" si="8"/>
        <v>3506</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23</v>
      </c>
      <c r="E37" s="62">
        <f t="shared" si="10"/>
        <v>0</v>
      </c>
      <c r="F37" s="62"/>
      <c r="G37" s="62">
        <f>SUM(G28:G36)</f>
        <v>46</v>
      </c>
      <c r="H37" s="63"/>
      <c r="I37" s="13" t="s">
        <v>82</v>
      </c>
      <c r="J37" s="13"/>
      <c r="K37" s="13"/>
      <c r="L37" s="50">
        <f>SUM(L28:L36)</f>
        <v>54970</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54858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1330872</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262.28820000000002</v>
      </c>
      <c r="D47" s="121"/>
      <c r="E47" s="121"/>
      <c r="F47" s="121"/>
      <c r="G47" s="122">
        <f>K7</f>
        <v>1.0326</v>
      </c>
      <c r="H47" s="122"/>
      <c r="I47" s="123">
        <v>1316.85</v>
      </c>
      <c r="J47" s="124" t="s">
        <v>97</v>
      </c>
      <c r="K47" s="125">
        <f>ROUND(C47*G47*I47,0)</f>
        <v>356654</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52.850499999999997</v>
      </c>
      <c r="D48" s="121"/>
      <c r="E48" s="121"/>
      <c r="F48" s="121"/>
      <c r="G48" s="122">
        <f>K7</f>
        <v>1.0326</v>
      </c>
      <c r="H48" s="122"/>
      <c r="I48" s="123">
        <v>898.23</v>
      </c>
      <c r="J48" s="124" t="s">
        <v>97</v>
      </c>
      <c r="K48" s="125">
        <f>ROUND(C48*G48*I48,0)</f>
        <v>49019</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315.13870000000003</v>
      </c>
      <c r="D50" s="144"/>
      <c r="E50" s="145"/>
      <c r="F50" s="145"/>
      <c r="G50" s="146" t="s">
        <v>99</v>
      </c>
      <c r="H50" s="146"/>
      <c r="I50" s="146"/>
      <c r="J50" s="146"/>
      <c r="K50" s="146"/>
      <c r="L50" s="50">
        <f>IF(B2=75,0,K49+K48+K47)</f>
        <v>405673</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315.13870000000003</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1.632E-3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285.72000000000003</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1.593E-3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1.632E-3</v>
      </c>
      <c r="L59" s="50">
        <f>ROUND(I59*K59,0)</f>
        <v>6729</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1.632E-3</v>
      </c>
      <c r="L67" s="50">
        <f>ROUND(I67*K67,0)</f>
        <v>157936</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1.593E-3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1.632E-3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1.632E-3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1.593E-3</v>
      </c>
      <c r="L72" s="50">
        <f>ROUND(I72*K72,0)</f>
        <v>22489</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1.632E-3</v>
      </c>
      <c r="L77" s="50">
        <f>ROUND(I77*K77,0)</f>
        <v>53396</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1.632E-3</v>
      </c>
      <c r="L78" s="50">
        <f>ROUND(I78*K78,0)</f>
        <v>1091</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1978186</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'3413'!AC81</f>
        <v>0</v>
      </c>
      <c r="M84" s="306"/>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1978186</v>
      </c>
      <c r="L86" s="82">
        <f>IF(G26=0,0,IF(G26&gt;250,-(((250/G26)*K86)*IF(M86="H",0.02,0.05)),IF(M86="H",-0.02*K86,-0.05*K86)))</f>
        <v>-86543.906621867558</v>
      </c>
      <c r="M86" s="197"/>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1891642.0933781324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804794</v>
      </c>
      <c r="G89" s="13"/>
      <c r="H89" s="13"/>
      <c r="I89" s="13"/>
      <c r="J89" s="13"/>
      <c r="K89" s="206"/>
      <c r="L89" s="82">
        <v>-1167076</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724566.09337813244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181141.52334453311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12365.393378132445</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301</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302</v>
      </c>
      <c r="C123" s="219" t="s">
        <v>200</v>
      </c>
    </row>
    <row r="124" spans="2:3" ht="15.5" hidden="1" x14ac:dyDescent="0.35">
      <c r="B124" s="223" t="s">
        <v>303</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41646.469340277799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51"/>
  <sheetViews>
    <sheetView topLeftCell="B77"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'3421'!B2</f>
        <v>50</v>
      </c>
      <c r="W2" s="413" t="s">
        <v>4</v>
      </c>
      <c r="X2" s="414"/>
      <c r="Y2" s="415"/>
      <c r="Z2" s="415"/>
      <c r="AA2" s="415"/>
      <c r="AB2" s="415"/>
      <c r="AC2" s="415"/>
      <c r="AD2" s="9"/>
    </row>
    <row r="3" spans="1:30" ht="20" x14ac:dyDescent="0.4">
      <c r="B3" s="10" t="str">
        <f>"Revenue Estimate Worksheet for "&amp;B124</f>
        <v>Revenue Estimate Worksheet for Worthington High School</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'3421'!G7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IF('3421'!K$84=1,'3421'!G10,0)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IF('3421'!K$84=1,'3421'!G11,0)</f>
        <v>0</v>
      </c>
      <c r="Y11" s="396"/>
      <c r="Z11" s="397">
        <v>1</v>
      </c>
      <c r="AA11" s="397"/>
      <c r="AB11" s="54">
        <f t="shared" si="0"/>
        <v>0</v>
      </c>
      <c r="AC11" s="55">
        <f t="shared" si="1"/>
        <v>0</v>
      </c>
      <c r="AD11" s="9"/>
    </row>
    <row r="12" spans="1:30" x14ac:dyDescent="0.3">
      <c r="A12" s="1" t="s">
        <v>32</v>
      </c>
      <c r="B12" s="13" t="s">
        <v>33</v>
      </c>
      <c r="C12" s="13"/>
      <c r="D12" s="314">
        <v>0</v>
      </c>
      <c r="E12" s="13">
        <v>0</v>
      </c>
      <c r="F12" s="13">
        <v>0</v>
      </c>
      <c r="G12" s="46">
        <f t="shared" si="2"/>
        <v>0</v>
      </c>
      <c r="H12" s="47"/>
      <c r="I12" s="56">
        <v>1</v>
      </c>
      <c r="J12" s="56"/>
      <c r="K12" s="49">
        <f t="shared" si="3"/>
        <v>0</v>
      </c>
      <c r="L12" s="50">
        <f t="shared" si="4"/>
        <v>0</v>
      </c>
      <c r="N12" s="51">
        <v>5102</v>
      </c>
      <c r="O12" s="52">
        <v>102</v>
      </c>
      <c r="Q12" s="53"/>
      <c r="V12" s="357" t="s">
        <v>33</v>
      </c>
      <c r="W12" s="357"/>
      <c r="X12" s="396">
        <f>IF('3421'!K$84=1,'3421'!G12,0)</f>
        <v>0</v>
      </c>
      <c r="Y12" s="396"/>
      <c r="Z12" s="397">
        <v>1</v>
      </c>
      <c r="AA12" s="397"/>
      <c r="AB12" s="54">
        <f t="shared" si="0"/>
        <v>0</v>
      </c>
      <c r="AC12" s="55">
        <f t="shared" si="1"/>
        <v>0</v>
      </c>
      <c r="AD12" s="9"/>
    </row>
    <row r="13" spans="1:30" x14ac:dyDescent="0.3">
      <c r="A13" s="1" t="s">
        <v>34</v>
      </c>
      <c r="B13" s="13" t="s">
        <v>35</v>
      </c>
      <c r="C13" s="13"/>
      <c r="D13" s="314">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IF('3421'!K$84=1,'3421'!G13,0)</f>
        <v>0</v>
      </c>
      <c r="Y13" s="396"/>
      <c r="Z13" s="397">
        <v>1</v>
      </c>
      <c r="AA13" s="397"/>
      <c r="AB13" s="54">
        <f t="shared" si="0"/>
        <v>0</v>
      </c>
      <c r="AC13" s="55">
        <f t="shared" si="1"/>
        <v>0</v>
      </c>
      <c r="AD13" s="9"/>
    </row>
    <row r="14" spans="1:30" x14ac:dyDescent="0.3">
      <c r="A14" s="1" t="s">
        <v>37</v>
      </c>
      <c r="B14" s="13" t="s">
        <v>38</v>
      </c>
      <c r="C14" s="13"/>
      <c r="D14" s="314">
        <v>138.78</v>
      </c>
      <c r="E14" s="13">
        <v>0</v>
      </c>
      <c r="F14" s="13">
        <v>139.9</v>
      </c>
      <c r="G14" s="46">
        <f t="shared" si="2"/>
        <v>277.56</v>
      </c>
      <c r="H14" s="47"/>
      <c r="I14" s="56">
        <v>1.0109999999999999</v>
      </c>
      <c r="J14" s="56"/>
      <c r="K14" s="49">
        <f t="shared" si="3"/>
        <v>280.61320000000001</v>
      </c>
      <c r="L14" s="50">
        <f t="shared" si="4"/>
        <v>1087271</v>
      </c>
      <c r="N14" s="51">
        <v>5103</v>
      </c>
      <c r="O14" s="52">
        <v>103</v>
      </c>
      <c r="Q14" s="53"/>
      <c r="V14" s="357" t="s">
        <v>38</v>
      </c>
      <c r="W14" s="357"/>
      <c r="X14" s="396">
        <f>IF('3421'!K$84=1,'3421'!G14,0)</f>
        <v>0</v>
      </c>
      <c r="Y14" s="396"/>
      <c r="Z14" s="397">
        <v>1</v>
      </c>
      <c r="AA14" s="397"/>
      <c r="AB14" s="54">
        <f t="shared" si="0"/>
        <v>0</v>
      </c>
      <c r="AC14" s="55">
        <f t="shared" si="1"/>
        <v>0</v>
      </c>
      <c r="AD14" s="9"/>
    </row>
    <row r="15" spans="1:30" x14ac:dyDescent="0.3">
      <c r="A15" s="1" t="s">
        <v>39</v>
      </c>
      <c r="B15" s="13" t="s">
        <v>40</v>
      </c>
      <c r="C15" s="13"/>
      <c r="D15" s="314">
        <v>24.5</v>
      </c>
      <c r="E15" s="13">
        <v>0</v>
      </c>
      <c r="F15" s="13">
        <v>24.5</v>
      </c>
      <c r="G15" s="46">
        <f t="shared" si="2"/>
        <v>49</v>
      </c>
      <c r="H15" s="47"/>
      <c r="I15" s="56">
        <f>I14</f>
        <v>1.0109999999999999</v>
      </c>
      <c r="J15" s="56"/>
      <c r="K15" s="49">
        <f t="shared" si="3"/>
        <v>49.539000000000001</v>
      </c>
      <c r="L15" s="58">
        <f t="shared" si="4"/>
        <v>191945</v>
      </c>
      <c r="M15" s="1" t="str">
        <f>IF(ROUND(G15,2)=ROUND(SUM(G34:G36),2)," ","CHECK 2. PK-3 Lines Below")</f>
        <v xml:space="preserve"> </v>
      </c>
      <c r="N15" s="51">
        <v>5103</v>
      </c>
      <c r="O15" s="57" t="s">
        <v>41</v>
      </c>
      <c r="Q15" s="53"/>
      <c r="V15" s="357" t="s">
        <v>40</v>
      </c>
      <c r="W15" s="357"/>
      <c r="X15" s="396">
        <f>IF('3421'!K$84=1,'3421'!G15,0)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IF('3421'!K$84=1,'3421'!G16,0)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IF('3421'!K$84=1,'3421'!G17,0)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IF('3421'!K$84=1,'3421'!G18,0)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IF('3421'!K$84=1,'3421'!G19,0)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IF('3421'!K$84=1,'3421'!G20,0)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IF('3421'!K$84=1,'3421'!G21,0)</f>
        <v>0</v>
      </c>
      <c r="Y21" s="396"/>
      <c r="Z21" s="397">
        <v>1</v>
      </c>
      <c r="AA21" s="397"/>
      <c r="AB21" s="54">
        <f t="shared" si="0"/>
        <v>0</v>
      </c>
      <c r="AC21" s="55">
        <f t="shared" si="1"/>
        <v>0</v>
      </c>
      <c r="AD21" s="9"/>
    </row>
    <row r="22" spans="1:30" ht="15.5" x14ac:dyDescent="0.35">
      <c r="A22" s="1" t="s">
        <v>54</v>
      </c>
      <c r="B22" s="13" t="s">
        <v>55</v>
      </c>
      <c r="C22" s="13"/>
      <c r="D22" s="314">
        <v>0</v>
      </c>
      <c r="E22" s="13">
        <v>0</v>
      </c>
      <c r="F22" s="13">
        <v>0</v>
      </c>
      <c r="G22" s="46">
        <f t="shared" si="2"/>
        <v>0</v>
      </c>
      <c r="H22" s="47"/>
      <c r="I22" s="56">
        <v>1.145</v>
      </c>
      <c r="J22" s="56"/>
      <c r="K22" s="49">
        <f t="shared" si="3"/>
        <v>0</v>
      </c>
      <c r="L22" s="50">
        <f t="shared" si="4"/>
        <v>0</v>
      </c>
      <c r="N22" s="51">
        <v>5101</v>
      </c>
      <c r="O22" s="52">
        <v>130</v>
      </c>
      <c r="Q22" s="53"/>
      <c r="V22" s="357" t="s">
        <v>55</v>
      </c>
      <c r="W22" s="357"/>
      <c r="X22" s="396">
        <f>IF('3421'!K$84=1,'3421'!G22,0)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IF('3421'!K$84=1,'3421'!G23,0)</f>
        <v>0</v>
      </c>
      <c r="Y23" s="396"/>
      <c r="Z23" s="397">
        <v>1</v>
      </c>
      <c r="AA23" s="397"/>
      <c r="AB23" s="54">
        <f t="shared" si="0"/>
        <v>0</v>
      </c>
      <c r="AC23" s="55">
        <f t="shared" si="1"/>
        <v>0</v>
      </c>
      <c r="AD23" s="9"/>
    </row>
    <row r="24" spans="1:30" ht="15.5" x14ac:dyDescent="0.35">
      <c r="A24" s="1" t="s">
        <v>58</v>
      </c>
      <c r="B24" s="13" t="s">
        <v>59</v>
      </c>
      <c r="C24" s="13"/>
      <c r="D24" s="314">
        <v>3.6</v>
      </c>
      <c r="E24" s="13">
        <v>0</v>
      </c>
      <c r="F24" s="13">
        <v>3.6</v>
      </c>
      <c r="G24" s="46">
        <f t="shared" si="2"/>
        <v>7.2</v>
      </c>
      <c r="H24" s="47"/>
      <c r="I24" s="56">
        <f>I23</f>
        <v>1.145</v>
      </c>
      <c r="J24" s="56"/>
      <c r="K24" s="49">
        <f t="shared" si="3"/>
        <v>8.2439999999999998</v>
      </c>
      <c r="L24" s="50">
        <f t="shared" si="4"/>
        <v>31942</v>
      </c>
      <c r="N24" s="51">
        <v>5103</v>
      </c>
      <c r="O24" s="52">
        <v>130</v>
      </c>
      <c r="Q24" s="53"/>
      <c r="V24" s="357" t="s">
        <v>59</v>
      </c>
      <c r="W24" s="357"/>
      <c r="X24" s="396">
        <f>IF('3421'!K$84=1,'3421'!G24,0)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IF('3421'!K$84=1,'3421'!G25,0)</f>
        <v>0</v>
      </c>
      <c r="Y25" s="396"/>
      <c r="Z25" s="397">
        <v>1</v>
      </c>
      <c r="AA25" s="397"/>
      <c r="AB25" s="54">
        <f t="shared" si="0"/>
        <v>0</v>
      </c>
      <c r="AC25" s="55">
        <f t="shared" si="1"/>
        <v>0</v>
      </c>
      <c r="AD25" s="9"/>
    </row>
    <row r="26" spans="1:30" ht="20.25" customHeight="1" thickBot="1" x14ac:dyDescent="0.35">
      <c r="B26" s="61" t="s">
        <v>62</v>
      </c>
      <c r="C26" s="61"/>
      <c r="D26" s="320">
        <f t="shared" ref="D26:E26" si="5">SUM(D10:D25)</f>
        <v>166.88</v>
      </c>
      <c r="E26" s="62">
        <f t="shared" si="5"/>
        <v>0</v>
      </c>
      <c r="F26" s="62"/>
      <c r="G26" s="62">
        <f>SUM(G10:G25)</f>
        <v>333.76</v>
      </c>
      <c r="H26" s="63"/>
      <c r="I26" s="63"/>
      <c r="J26" s="64"/>
      <c r="K26" s="65">
        <f>SUM(K10:K25)</f>
        <v>338.39620000000002</v>
      </c>
      <c r="L26" s="66">
        <f>SUM(L10:L25)</f>
        <v>1311158</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24.5</v>
      </c>
      <c r="E34" s="13">
        <v>0</v>
      </c>
      <c r="F34" s="89">
        <v>23.5</v>
      </c>
      <c r="G34" s="46">
        <f t="shared" si="7"/>
        <v>49</v>
      </c>
      <c r="H34" s="79"/>
      <c r="I34" s="90" t="s">
        <v>78</v>
      </c>
      <c r="J34" s="51">
        <v>251</v>
      </c>
      <c r="K34" s="81">
        <v>835</v>
      </c>
      <c r="L34" s="82">
        <f t="shared" si="8"/>
        <v>40915</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24.5</v>
      </c>
      <c r="E37" s="62">
        <f t="shared" si="10"/>
        <v>0</v>
      </c>
      <c r="F37" s="62"/>
      <c r="G37" s="62">
        <f>SUM(G28:G36)</f>
        <v>49</v>
      </c>
      <c r="H37" s="63"/>
      <c r="I37" s="13" t="s">
        <v>82</v>
      </c>
      <c r="J37" s="13"/>
      <c r="K37" s="13"/>
      <c r="L37" s="50">
        <f>SUM(L28:L36)</f>
        <v>40915</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64082</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1416155</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329"/>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329"/>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338.39620000000002</v>
      </c>
      <c r="D49" s="329"/>
      <c r="E49" s="121"/>
      <c r="F49" s="121"/>
      <c r="G49" s="122">
        <f>K7</f>
        <v>1.0326</v>
      </c>
      <c r="H49" s="122"/>
      <c r="I49" s="123">
        <v>900.39</v>
      </c>
      <c r="J49" s="124" t="s">
        <v>97</v>
      </c>
      <c r="K49" s="125">
        <f>ROUND(C49*G49*I49,0)</f>
        <v>314621</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338.39620000000002</v>
      </c>
      <c r="D50" s="330"/>
      <c r="E50" s="145"/>
      <c r="F50" s="145"/>
      <c r="G50" s="146" t="s">
        <v>99</v>
      </c>
      <c r="H50" s="146"/>
      <c r="I50" s="146"/>
      <c r="J50" s="146"/>
      <c r="K50" s="146"/>
      <c r="L50" s="50">
        <f>IF(B2=75,0,K49+K48+K47)</f>
        <v>314621</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338.39620000000002</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1.7520000000000001E-3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333.76</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1.8600000000000001E-3</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1.7520000000000001E-3</v>
      </c>
      <c r="L59" s="50">
        <f>ROUND(I59*K59,0)</f>
        <v>7223</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1.7520000000000001E-3</v>
      </c>
      <c r="L67" s="50">
        <f>ROUND(I67*K67,0)</f>
        <v>169549</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1.8600000000000001E-3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1.7520000000000001E-3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1.7520000000000001E-3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1.8600000000000001E-3</v>
      </c>
      <c r="L72" s="50">
        <f>ROUND(I72*K72,0)</f>
        <v>26258</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275</v>
      </c>
      <c r="AA74" s="171" t="s">
        <v>129</v>
      </c>
      <c r="AB74" s="172">
        <f>+K75</f>
        <v>360</v>
      </c>
      <c r="AC74" s="55">
        <f>ROUND(AB74*Z74,0)</f>
        <v>99000</v>
      </c>
      <c r="AD74" s="9"/>
    </row>
    <row r="75" spans="1:30" ht="19.5" customHeight="1" x14ac:dyDescent="0.3">
      <c r="A75" s="1" t="s">
        <v>130</v>
      </c>
      <c r="B75" s="173" t="s">
        <v>127</v>
      </c>
      <c r="C75" s="174" t="s">
        <v>128</v>
      </c>
      <c r="D75" s="333">
        <v>275</v>
      </c>
      <c r="E75" s="173">
        <v>0</v>
      </c>
      <c r="F75" s="173">
        <v>0</v>
      </c>
      <c r="G75" s="175">
        <f>IF(E75=0,D75,E75)</f>
        <v>275</v>
      </c>
      <c r="H75" s="176"/>
      <c r="I75" s="177">
        <f>AVERAGE(G75,D75)</f>
        <v>275</v>
      </c>
      <c r="J75" s="178" t="s">
        <v>129</v>
      </c>
      <c r="K75" s="179">
        <v>360</v>
      </c>
      <c r="L75" s="50">
        <f>ROUND(K75*I75,0)</f>
        <v>99000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33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1.7520000000000001E-3</v>
      </c>
      <c r="L77" s="50">
        <f>ROUND(I77*K77,0)</f>
        <v>57322</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1.7520000000000001E-3</v>
      </c>
      <c r="L78" s="50">
        <f>ROUND(I78*K78,0)</f>
        <v>1172</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99000</v>
      </c>
      <c r="AD81" s="195"/>
    </row>
    <row r="82" spans="1:30" ht="22.5" customHeight="1" thickTop="1" thickBot="1" x14ac:dyDescent="0.35">
      <c r="B82" s="13" t="s">
        <v>141</v>
      </c>
      <c r="C82" s="13"/>
      <c r="D82" s="314"/>
      <c r="E82" s="13"/>
      <c r="F82" s="13"/>
      <c r="G82" s="13"/>
      <c r="H82" s="13"/>
      <c r="I82" s="13"/>
      <c r="J82" s="13"/>
      <c r="K82" s="13"/>
      <c r="L82" s="196">
        <f>SUM(L44:L81)</f>
        <v>2091300</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'3421'!AC81</f>
        <v>99000</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2091300</v>
      </c>
      <c r="L86" s="82">
        <f>IF(G26=0,0,IF(G26&gt;250,-(((250/G26)*K86)*IF(M86="H",0.02,0.05)),IF(M86="H",-0.02*K86,-0.05*K86)))</f>
        <v>-78323.495925215728</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2012976.5040747842</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949527</v>
      </c>
      <c r="G89" s="13"/>
      <c r="H89" s="13"/>
      <c r="I89" s="13"/>
      <c r="J89" s="13"/>
      <c r="K89" s="206"/>
      <c r="L89" s="82">
        <v>-1304011</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708965.50407478423</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177241.37601869606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26241.504074784272</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305</v>
      </c>
      <c r="C123" s="219" t="s">
        <v>200</v>
      </c>
    </row>
    <row r="124" spans="2:3" ht="15.5" hidden="1" x14ac:dyDescent="0.35">
      <c r="B124" s="223" t="s">
        <v>306</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41646.469351851898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51"/>
  <sheetViews>
    <sheetView topLeftCell="B77"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3.36328125" style="1" customWidth="1"/>
    <col min="10" max="10" width="12.90625" style="1" customWidth="1"/>
    <col min="11" max="11" width="14.08984375"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'3431'!B2</f>
        <v>50</v>
      </c>
      <c r="W2" s="413" t="s">
        <v>4</v>
      </c>
      <c r="X2" s="414"/>
      <c r="Y2" s="415"/>
      <c r="Z2" s="415"/>
      <c r="AA2" s="415"/>
      <c r="AB2" s="415"/>
      <c r="AC2" s="415"/>
      <c r="AD2" s="9"/>
    </row>
    <row r="3" spans="1:30" ht="20" x14ac:dyDescent="0.4">
      <c r="B3" s="10" t="str">
        <f>"Revenue Estimate Worksheet for "&amp;B124</f>
        <v>Revenue Estimate Worksheet for Renaissance CS @ WPBch</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'3431'!G7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183.16</v>
      </c>
      <c r="E10" s="45">
        <v>0</v>
      </c>
      <c r="F10" s="45">
        <v>223.71</v>
      </c>
      <c r="G10" s="46">
        <f>IF(E10=0,D10*2,D10+E10)</f>
        <v>366.32</v>
      </c>
      <c r="H10" s="47"/>
      <c r="I10" s="48">
        <v>1.125</v>
      </c>
      <c r="J10" s="48"/>
      <c r="K10" s="49">
        <f>ROUND(G10*I10,4)</f>
        <v>412.11</v>
      </c>
      <c r="L10" s="50">
        <f>ROUND(ROUND(K10*$G$7,4)*($K$7),0)</f>
        <v>1596772</v>
      </c>
      <c r="N10" s="51">
        <v>5101</v>
      </c>
      <c r="O10" s="52">
        <v>101</v>
      </c>
      <c r="Q10" s="53"/>
      <c r="V10" s="404" t="s">
        <v>28</v>
      </c>
      <c r="W10" s="404"/>
      <c r="X10" s="396">
        <f>IF('3431'!K$84=1,'3431'!G10,0)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14</v>
      </c>
      <c r="E11" s="13">
        <v>0</v>
      </c>
      <c r="F11" s="13">
        <v>17.989999999999998</v>
      </c>
      <c r="G11" s="46">
        <f t="shared" ref="G11:G25" si="2">IF(E11=0,D11*2,D11+E11)</f>
        <v>28</v>
      </c>
      <c r="H11" s="47"/>
      <c r="I11" s="56">
        <f>I10</f>
        <v>1.125</v>
      </c>
      <c r="J11" s="56"/>
      <c r="K11" s="49">
        <f t="shared" ref="K11:K25" si="3">ROUND(G11*I11,4)</f>
        <v>31.5</v>
      </c>
      <c r="L11" s="50">
        <f t="shared" ref="L11:L25" si="4">ROUND(ROUND(K11*$G$7,4)*($K$7),0)</f>
        <v>122051</v>
      </c>
      <c r="M11" s="1" t="str">
        <f>IF(ROUND(G11,2)=ROUND(SUM(G28:G30),2)," ","CHECK 2. PK-3 Lines Below")</f>
        <v xml:space="preserve"> </v>
      </c>
      <c r="N11" s="51">
        <v>5101</v>
      </c>
      <c r="O11" s="57" t="s">
        <v>31</v>
      </c>
      <c r="Q11" s="53"/>
      <c r="V11" s="357" t="s">
        <v>30</v>
      </c>
      <c r="W11" s="357"/>
      <c r="X11" s="396">
        <f>IF('3431'!K$84=1,'3431'!G11,0)</f>
        <v>0</v>
      </c>
      <c r="Y11" s="396"/>
      <c r="Z11" s="397">
        <v>1</v>
      </c>
      <c r="AA11" s="397"/>
      <c r="AB11" s="54">
        <f t="shared" si="0"/>
        <v>0</v>
      </c>
      <c r="AC11" s="55">
        <f t="shared" si="1"/>
        <v>0</v>
      </c>
      <c r="AD11" s="9"/>
    </row>
    <row r="12" spans="1:30" x14ac:dyDescent="0.3">
      <c r="A12" s="1" t="s">
        <v>32</v>
      </c>
      <c r="B12" s="13" t="s">
        <v>33</v>
      </c>
      <c r="C12" s="13"/>
      <c r="D12" s="13">
        <v>139.76</v>
      </c>
      <c r="E12" s="13">
        <v>0</v>
      </c>
      <c r="F12" s="13">
        <v>179.23</v>
      </c>
      <c r="G12" s="46">
        <f t="shared" si="2"/>
        <v>279.52</v>
      </c>
      <c r="H12" s="47"/>
      <c r="I12" s="56">
        <v>1</v>
      </c>
      <c r="J12" s="56"/>
      <c r="K12" s="49">
        <f t="shared" si="3"/>
        <v>279.52</v>
      </c>
      <c r="L12" s="50">
        <f t="shared" si="4"/>
        <v>1083035</v>
      </c>
      <c r="N12" s="51">
        <v>5102</v>
      </c>
      <c r="O12" s="52">
        <v>102</v>
      </c>
      <c r="Q12" s="53"/>
      <c r="V12" s="357" t="s">
        <v>33</v>
      </c>
      <c r="W12" s="357"/>
      <c r="X12" s="396">
        <f>IF('3431'!K$84=1,'3431'!G12,0)</f>
        <v>0</v>
      </c>
      <c r="Y12" s="396"/>
      <c r="Z12" s="397">
        <v>1</v>
      </c>
      <c r="AA12" s="397"/>
      <c r="AB12" s="54">
        <f t="shared" si="0"/>
        <v>0</v>
      </c>
      <c r="AC12" s="55">
        <f t="shared" si="1"/>
        <v>0</v>
      </c>
      <c r="AD12" s="9"/>
    </row>
    <row r="13" spans="1:30" x14ac:dyDescent="0.3">
      <c r="A13" s="1" t="s">
        <v>34</v>
      </c>
      <c r="B13" s="13" t="s">
        <v>35</v>
      </c>
      <c r="C13" s="13"/>
      <c r="D13" s="13">
        <v>15.5</v>
      </c>
      <c r="E13" s="13">
        <v>0</v>
      </c>
      <c r="F13" s="13">
        <v>20.87</v>
      </c>
      <c r="G13" s="46">
        <f t="shared" si="2"/>
        <v>31</v>
      </c>
      <c r="H13" s="47"/>
      <c r="I13" s="56">
        <f>I12</f>
        <v>1</v>
      </c>
      <c r="J13" s="56"/>
      <c r="K13" s="49">
        <f t="shared" si="3"/>
        <v>31</v>
      </c>
      <c r="L13" s="50">
        <f t="shared" si="4"/>
        <v>120113</v>
      </c>
      <c r="M13" s="1" t="str">
        <f>IF(ROUND(G13,2)=ROUND(SUM(G31:G33),2)," ","CHECK 2. PK-3 Lines Below")</f>
        <v xml:space="preserve"> </v>
      </c>
      <c r="N13" s="51">
        <v>5102</v>
      </c>
      <c r="O13" s="57" t="s">
        <v>36</v>
      </c>
      <c r="Q13" s="53"/>
      <c r="V13" s="357" t="s">
        <v>35</v>
      </c>
      <c r="W13" s="357"/>
      <c r="X13" s="396">
        <f>IF('3431'!K$84=1,'3431'!G13,0)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IF('3431'!K$84=1,'3431'!G14,0)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IF('3431'!K$84=1,'3431'!G15,0)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IF('3431'!K$84=1,'3431'!G16,0)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IF('3431'!K$84=1,'3431'!G17,0)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IF('3431'!K$84=1,'3431'!G18,0)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IF('3431'!K$84=1,'3431'!G19,0)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IF('3431'!K$84=1,'3431'!G20,0)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IF('3431'!K$84=1,'3431'!G21,0)</f>
        <v>0</v>
      </c>
      <c r="Y21" s="396"/>
      <c r="Z21" s="397">
        <v>1</v>
      </c>
      <c r="AA21" s="397"/>
      <c r="AB21" s="54">
        <f t="shared" si="0"/>
        <v>0</v>
      </c>
      <c r="AC21" s="55">
        <f t="shared" si="1"/>
        <v>0</v>
      </c>
      <c r="AD21" s="9"/>
    </row>
    <row r="22" spans="1:30" ht="15.5" x14ac:dyDescent="0.35">
      <c r="A22" s="1" t="s">
        <v>54</v>
      </c>
      <c r="B22" s="13" t="s">
        <v>55</v>
      </c>
      <c r="C22" s="13"/>
      <c r="D22" s="13">
        <v>18.41</v>
      </c>
      <c r="E22" s="13">
        <v>0</v>
      </c>
      <c r="F22" s="13">
        <v>22.31</v>
      </c>
      <c r="G22" s="46">
        <f t="shared" si="2"/>
        <v>36.82</v>
      </c>
      <c r="H22" s="47"/>
      <c r="I22" s="56">
        <v>1.145</v>
      </c>
      <c r="J22" s="56"/>
      <c r="K22" s="49">
        <f t="shared" si="3"/>
        <v>42.158900000000003</v>
      </c>
      <c r="L22" s="50">
        <f t="shared" si="4"/>
        <v>163350</v>
      </c>
      <c r="N22" s="51">
        <v>5101</v>
      </c>
      <c r="O22" s="52">
        <v>130</v>
      </c>
      <c r="Q22" s="53"/>
      <c r="V22" s="357" t="s">
        <v>55</v>
      </c>
      <c r="W22" s="357"/>
      <c r="X22" s="396">
        <f>IF('3431'!K$84=1,'3431'!G22,0)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IF('3431'!K$84=1,'3431'!G23,0)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IF('3431'!K$84=1,'3431'!G24,0)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IF('3431'!K$84=1,'3431'!G25,0)</f>
        <v>0</v>
      </c>
      <c r="Y25" s="396"/>
      <c r="Z25" s="397">
        <v>1</v>
      </c>
      <c r="AA25" s="397"/>
      <c r="AB25" s="54">
        <f t="shared" si="0"/>
        <v>0</v>
      </c>
      <c r="AC25" s="55">
        <f t="shared" si="1"/>
        <v>0</v>
      </c>
      <c r="AD25" s="9"/>
    </row>
    <row r="26" spans="1:30" ht="20.25" customHeight="1" thickBot="1" x14ac:dyDescent="0.35">
      <c r="B26" s="61" t="s">
        <v>62</v>
      </c>
      <c r="C26" s="61"/>
      <c r="D26" s="62">
        <f t="shared" ref="D26:E26" si="5">SUM(D10:D25)</f>
        <v>370.83</v>
      </c>
      <c r="E26" s="62">
        <f t="shared" si="5"/>
        <v>0</v>
      </c>
      <c r="F26" s="62"/>
      <c r="G26" s="62">
        <f>SUM(G10:G25)</f>
        <v>741.66</v>
      </c>
      <c r="H26" s="63"/>
      <c r="I26" s="63"/>
      <c r="J26" s="64"/>
      <c r="K26" s="65">
        <f>SUM(K10:K25)</f>
        <v>796.28890000000001</v>
      </c>
      <c r="L26" s="66">
        <f>SUM(L10:L25)</f>
        <v>3085321</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13.5</v>
      </c>
      <c r="E28" s="13">
        <v>0</v>
      </c>
      <c r="F28" s="78">
        <v>12.5</v>
      </c>
      <c r="G28" s="46">
        <f>IF(E28=0,D28*2,D28+E28)</f>
        <v>27</v>
      </c>
      <c r="H28" s="79"/>
      <c r="I28" s="80" t="s">
        <v>70</v>
      </c>
      <c r="J28" s="51">
        <v>251</v>
      </c>
      <c r="K28" s="81">
        <v>1047</v>
      </c>
      <c r="L28" s="82">
        <f>ROUND(G28*K28,0)</f>
        <v>28269</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14</v>
      </c>
      <c r="E31" s="13">
        <v>0</v>
      </c>
      <c r="F31" s="89">
        <v>10</v>
      </c>
      <c r="G31" s="46">
        <f t="shared" si="7"/>
        <v>28</v>
      </c>
      <c r="H31" s="79"/>
      <c r="I31" s="90" t="s">
        <v>74</v>
      </c>
      <c r="J31" s="51">
        <v>251</v>
      </c>
      <c r="K31" s="81">
        <v>1173</v>
      </c>
      <c r="L31" s="82">
        <f t="shared" si="8"/>
        <v>32844</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1.5</v>
      </c>
      <c r="E32" s="13">
        <v>0</v>
      </c>
      <c r="F32" s="89">
        <v>1.5</v>
      </c>
      <c r="G32" s="46">
        <f t="shared" si="7"/>
        <v>3</v>
      </c>
      <c r="H32" s="79"/>
      <c r="I32" s="90" t="s">
        <v>74</v>
      </c>
      <c r="J32" s="51">
        <v>252</v>
      </c>
      <c r="K32" s="81">
        <v>3506</v>
      </c>
      <c r="L32" s="82">
        <f t="shared" si="8"/>
        <v>10518</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29.5</v>
      </c>
      <c r="E37" s="62">
        <f t="shared" si="10"/>
        <v>0</v>
      </c>
      <c r="F37" s="62"/>
      <c r="G37" s="62">
        <f>SUM(G28:G36)</f>
        <v>59</v>
      </c>
      <c r="H37" s="63"/>
      <c r="I37" s="13" t="s">
        <v>82</v>
      </c>
      <c r="J37" s="13"/>
      <c r="K37" s="13"/>
      <c r="L37" s="50">
        <f>SUM(L28:L36)</f>
        <v>75011</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142399</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3302731</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485.76890000000003</v>
      </c>
      <c r="D47" s="121"/>
      <c r="E47" s="121"/>
      <c r="F47" s="121"/>
      <c r="G47" s="122">
        <f>K7</f>
        <v>1.0326</v>
      </c>
      <c r="H47" s="122"/>
      <c r="I47" s="123">
        <v>1316.85</v>
      </c>
      <c r="J47" s="124" t="s">
        <v>97</v>
      </c>
      <c r="K47" s="125">
        <f>ROUND(C47*G47*I47,0)</f>
        <v>660538</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310.52</v>
      </c>
      <c r="D48" s="121"/>
      <c r="E48" s="121"/>
      <c r="F48" s="121"/>
      <c r="G48" s="122">
        <f>K7</f>
        <v>1.0326</v>
      </c>
      <c r="H48" s="122"/>
      <c r="I48" s="123">
        <v>898.23</v>
      </c>
      <c r="J48" s="124" t="s">
        <v>97</v>
      </c>
      <c r="K48" s="125">
        <f>ROUND(C48*G48*I48,0)</f>
        <v>288011</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796.28890000000001</v>
      </c>
      <c r="D50" s="144"/>
      <c r="E50" s="145"/>
      <c r="F50" s="145"/>
      <c r="G50" s="146" t="s">
        <v>99</v>
      </c>
      <c r="H50" s="146"/>
      <c r="I50" s="146"/>
      <c r="J50" s="146"/>
      <c r="K50" s="146"/>
      <c r="L50" s="50">
        <f>IF(B2=75,0,K49+K48+K47)</f>
        <v>948549</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796.28890000000001</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4.1229999999999999E-3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741.66</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4.1339999999999997E-3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4.1229999999999999E-3</v>
      </c>
      <c r="L59" s="50">
        <f>ROUND(I59*K59,0)</f>
        <v>16999</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4.1229999999999999E-3</v>
      </c>
      <c r="L67" s="50">
        <f>ROUND(I67*K67,0)</f>
        <v>399001</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4.1339999999999997E-3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4.1229999999999999E-3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4.1229999999999999E-3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4.1339999999999997E-3</v>
      </c>
      <c r="L72" s="50">
        <f>ROUND(I72*K72,0)</f>
        <v>58361</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15</v>
      </c>
      <c r="AA74" s="171" t="s">
        <v>129</v>
      </c>
      <c r="AB74" s="172">
        <f>+K75</f>
        <v>360</v>
      </c>
      <c r="AC74" s="55">
        <f>ROUND(AB74*Z74,0)</f>
        <v>5400</v>
      </c>
      <c r="AD74" s="9"/>
    </row>
    <row r="75" spans="1:30" ht="19.5" customHeight="1" x14ac:dyDescent="0.3">
      <c r="A75" s="1" t="s">
        <v>130</v>
      </c>
      <c r="B75" s="173" t="s">
        <v>127</v>
      </c>
      <c r="C75" s="174" t="s">
        <v>128</v>
      </c>
      <c r="D75" s="173">
        <v>15</v>
      </c>
      <c r="E75" s="173">
        <v>0</v>
      </c>
      <c r="F75" s="173">
        <v>0</v>
      </c>
      <c r="G75" s="175">
        <f>IF(E75=0,D75,E75)</f>
        <v>15</v>
      </c>
      <c r="H75" s="176"/>
      <c r="I75" s="177">
        <f>AVERAGE(G75,D75)</f>
        <v>15</v>
      </c>
      <c r="J75" s="178" t="s">
        <v>129</v>
      </c>
      <c r="K75" s="179">
        <v>360</v>
      </c>
      <c r="L75" s="50">
        <f>ROUND(K75*I75,0)</f>
        <v>5400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4.1229999999999999E-3</v>
      </c>
      <c r="L77" s="50">
        <f>ROUND(I77*K77,0)</f>
        <v>134897</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4.1229999999999999E-3</v>
      </c>
      <c r="L78" s="50">
        <f>ROUND(I78*K78,0)</f>
        <v>2757</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5400</v>
      </c>
      <c r="AD81" s="195"/>
    </row>
    <row r="82" spans="1:30" ht="22.5" customHeight="1" thickTop="1" thickBot="1" x14ac:dyDescent="0.35">
      <c r="B82" s="13" t="s">
        <v>141</v>
      </c>
      <c r="C82" s="13"/>
      <c r="D82" s="13"/>
      <c r="E82" s="13"/>
      <c r="F82" s="13"/>
      <c r="G82" s="13"/>
      <c r="H82" s="13"/>
      <c r="I82" s="13"/>
      <c r="J82" s="13"/>
      <c r="K82" s="13"/>
      <c r="L82" s="196">
        <f>SUM(L44:L81)</f>
        <v>4868695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'3431'!AC81</f>
        <v>5400</v>
      </c>
      <c r="M84" s="306"/>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4868695</v>
      </c>
      <c r="L86" s="82">
        <f>IF(G26=0,0,IF(G26&gt;250,-(((250/G26)*K86)*IF(M86="H",0.02,0.05)),IF(M86="H",-0.02*K86,-0.05*K86)))</f>
        <v>-82057.394897931663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4786637.6051020687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2250010</v>
      </c>
      <c r="G89" s="13"/>
      <c r="H89" s="13"/>
      <c r="I89" s="13"/>
      <c r="J89" s="13"/>
      <c r="K89" s="206"/>
      <c r="L89" s="82">
        <v>-3095552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1691085.6051020687</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422771.40127551719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161377.35510206834</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308</v>
      </c>
      <c r="C123" s="219" t="s">
        <v>200</v>
      </c>
    </row>
    <row r="124" spans="2:3" ht="15.5" hidden="1" x14ac:dyDescent="0.35">
      <c r="B124" s="223" t="s">
        <v>309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41646.469363425902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30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3.36328125" style="1" customWidth="1"/>
    <col min="10" max="10" width="12.90625" style="1" customWidth="1"/>
    <col min="11" max="11" width="14.08984375"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'3441'!B2</f>
        <v>50</v>
      </c>
      <c r="W2" s="413" t="s">
        <v>4</v>
      </c>
      <c r="X2" s="414"/>
      <c r="Y2" s="415"/>
      <c r="Z2" s="415"/>
      <c r="AA2" s="415"/>
      <c r="AB2" s="415"/>
      <c r="AC2" s="415"/>
      <c r="AD2" s="9"/>
    </row>
    <row r="3" spans="1:30" ht="20" x14ac:dyDescent="0.4">
      <c r="B3" s="10" t="s">
        <v>398</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30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'3441'!G7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223.71</v>
      </c>
      <c r="G10" s="46">
        <f>IF(E10=0,D10*2,D10+E10)</f>
        <v>0</v>
      </c>
      <c r="H10" s="47"/>
      <c r="I10" s="48">
        <v>1.125</v>
      </c>
      <c r="J10" s="48"/>
      <c r="K10" s="49">
        <f>ROUND(G10*I10,4)</f>
        <v>0</v>
      </c>
      <c r="L10" s="50">
        <f>ROUND(ROUND(K10*$G$7,4)*($K$7),0)</f>
        <v>0</v>
      </c>
      <c r="N10" s="51">
        <v>5101</v>
      </c>
      <c r="O10" s="52">
        <v>101</v>
      </c>
      <c r="Q10" s="53"/>
      <c r="V10" s="404" t="s">
        <v>28</v>
      </c>
      <c r="W10" s="404"/>
      <c r="X10" s="396">
        <f>IF('3441'!K$84=1,'3441'!G10,0)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17.989999999999998</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IF('3441'!K$84=1,'3441'!G11,0)</f>
        <v>0</v>
      </c>
      <c r="Y11" s="396"/>
      <c r="Z11" s="397">
        <v>1</v>
      </c>
      <c r="AA11" s="397"/>
      <c r="AB11" s="54">
        <f t="shared" si="0"/>
        <v>0</v>
      </c>
      <c r="AC11" s="55">
        <f t="shared" si="1"/>
        <v>0</v>
      </c>
      <c r="AD11" s="9"/>
    </row>
    <row r="12" spans="1:30" x14ac:dyDescent="0.3">
      <c r="A12" s="1" t="s">
        <v>32</v>
      </c>
      <c r="B12" s="13" t="s">
        <v>33</v>
      </c>
      <c r="C12" s="13"/>
      <c r="D12" s="13">
        <v>42</v>
      </c>
      <c r="E12" s="13">
        <v>0</v>
      </c>
      <c r="F12" s="13">
        <v>179.23</v>
      </c>
      <c r="G12" s="46">
        <f t="shared" si="2"/>
        <v>84</v>
      </c>
      <c r="H12" s="47"/>
      <c r="I12" s="56">
        <v>1</v>
      </c>
      <c r="J12" s="56"/>
      <c r="K12" s="49">
        <f t="shared" si="3"/>
        <v>84</v>
      </c>
      <c r="L12" s="50">
        <f t="shared" si="4"/>
        <v>325468</v>
      </c>
      <c r="N12" s="51">
        <v>5102</v>
      </c>
      <c r="O12" s="52">
        <v>102</v>
      </c>
      <c r="Q12" s="53"/>
      <c r="V12" s="357" t="s">
        <v>33</v>
      </c>
      <c r="W12" s="357"/>
      <c r="X12" s="396">
        <f>IF('3441'!K$84=1,'3441'!G12,0)</f>
        <v>0</v>
      </c>
      <c r="Y12" s="396"/>
      <c r="Z12" s="397">
        <v>1</v>
      </c>
      <c r="AA12" s="397"/>
      <c r="AB12" s="54">
        <f t="shared" si="0"/>
        <v>0</v>
      </c>
      <c r="AC12" s="55">
        <f t="shared" si="1"/>
        <v>0</v>
      </c>
      <c r="AD12" s="9"/>
    </row>
    <row r="13" spans="1:30" x14ac:dyDescent="0.3">
      <c r="A13" s="1" t="s">
        <v>34</v>
      </c>
      <c r="B13" s="13" t="s">
        <v>35</v>
      </c>
      <c r="C13" s="13"/>
      <c r="D13" s="13">
        <v>0</v>
      </c>
      <c r="E13" s="13">
        <v>0</v>
      </c>
      <c r="F13" s="13">
        <v>20.87</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IF('3441'!K$84=1,'3441'!G13,0)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IF('3441'!K$84=1,'3441'!G14,0)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IF('3441'!K$84=1,'3441'!G15,0)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IF('3441'!K$84=1,'3441'!G16,0)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IF('3441'!K$84=1,'3441'!G17,0)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IF('3441'!K$84=1,'3441'!G18,0)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IF('3441'!K$84=1,'3441'!G19,0)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IF('3441'!K$84=1,'3441'!G20,0)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IF('3441'!K$84=1,'3441'!G21,0)</f>
        <v>0</v>
      </c>
      <c r="Y21" s="396"/>
      <c r="Z21" s="397">
        <v>1</v>
      </c>
      <c r="AA21" s="397"/>
      <c r="AB21" s="54">
        <f t="shared" si="0"/>
        <v>0</v>
      </c>
      <c r="AC21" s="55">
        <f t="shared" si="1"/>
        <v>0</v>
      </c>
      <c r="AD21" s="9"/>
    </row>
    <row r="22" spans="1:30" ht="15.5" x14ac:dyDescent="0.35">
      <c r="A22" s="1" t="s">
        <v>54</v>
      </c>
      <c r="B22" s="13" t="s">
        <v>55</v>
      </c>
      <c r="C22" s="13"/>
      <c r="D22" s="13">
        <v>0</v>
      </c>
      <c r="E22" s="13">
        <v>0</v>
      </c>
      <c r="F22" s="13">
        <v>22.31</v>
      </c>
      <c r="G22" s="46">
        <f t="shared" si="2"/>
        <v>0</v>
      </c>
      <c r="H22" s="47"/>
      <c r="I22" s="56">
        <v>1.145</v>
      </c>
      <c r="J22" s="56"/>
      <c r="K22" s="49">
        <f t="shared" si="3"/>
        <v>0</v>
      </c>
      <c r="L22" s="50">
        <f t="shared" si="4"/>
        <v>0</v>
      </c>
      <c r="N22" s="51">
        <v>5101</v>
      </c>
      <c r="O22" s="52">
        <v>130</v>
      </c>
      <c r="Q22" s="53"/>
      <c r="V22" s="357" t="s">
        <v>55</v>
      </c>
      <c r="W22" s="357"/>
      <c r="X22" s="396">
        <f>IF('3441'!K$84=1,'3441'!G22,0)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IF('3441'!K$84=1,'3441'!G23,0)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IF('3441'!K$84=1,'3441'!G24,0)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IF('3441'!K$84=1,'3441'!G25,0)</f>
        <v>0</v>
      </c>
      <c r="Y25" s="396"/>
      <c r="Z25" s="397">
        <v>1</v>
      </c>
      <c r="AA25" s="397"/>
      <c r="AB25" s="54">
        <f t="shared" si="0"/>
        <v>0</v>
      </c>
      <c r="AC25" s="55">
        <f t="shared" si="1"/>
        <v>0</v>
      </c>
      <c r="AD25" s="9"/>
    </row>
    <row r="26" spans="1:30" ht="20.25" customHeight="1" thickBot="1" x14ac:dyDescent="0.35">
      <c r="B26" s="61" t="s">
        <v>62</v>
      </c>
      <c r="C26" s="61"/>
      <c r="D26" s="62">
        <f t="shared" ref="D26:E26" si="5">SUM(D10:D25)</f>
        <v>42</v>
      </c>
      <c r="E26" s="62">
        <f t="shared" si="5"/>
        <v>0</v>
      </c>
      <c r="F26" s="62"/>
      <c r="G26" s="62">
        <f>SUM(G10:G25)</f>
        <v>84</v>
      </c>
      <c r="H26" s="63"/>
      <c r="I26" s="63"/>
      <c r="J26" s="64"/>
      <c r="K26" s="65">
        <f>SUM(K10:K25)</f>
        <v>84</v>
      </c>
      <c r="L26" s="66">
        <f>SUM(L10:L25)</f>
        <v>325468</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12.5</v>
      </c>
      <c r="G28" s="46">
        <f>IF(E28=0,D28*2,D28+E28)</f>
        <v>0</v>
      </c>
      <c r="H28" s="79"/>
      <c r="I28" s="80" t="s">
        <v>70</v>
      </c>
      <c r="J28" s="51">
        <v>251</v>
      </c>
      <c r="K28" s="81">
        <v>1047</v>
      </c>
      <c r="L28" s="82">
        <f>ROUND(G28*K28,0)</f>
        <v>0</v>
      </c>
      <c r="N28" s="302">
        <v>5101</v>
      </c>
      <c r="O28" s="53">
        <v>251</v>
      </c>
      <c r="P28" s="83"/>
      <c r="Q28" s="84"/>
      <c r="V28" s="395" t="s">
        <v>69</v>
      </c>
      <c r="W28" s="395"/>
      <c r="X28" s="384"/>
      <c r="Y28" s="384"/>
      <c r="Z28" s="85" t="s">
        <v>70</v>
      </c>
      <c r="AA28" s="295">
        <v>251</v>
      </c>
      <c r="AB28" s="87">
        <f>+K28</f>
        <v>1047</v>
      </c>
      <c r="AC28" s="88">
        <f t="shared" ref="AC28:AC36" si="6">ROUND(X28*AB28,0)</f>
        <v>0</v>
      </c>
      <c r="AD28" s="9"/>
    </row>
    <row r="29" spans="1:30" ht="15.5" x14ac:dyDescent="0.35">
      <c r="A29" s="1" t="s">
        <v>71</v>
      </c>
      <c r="B29" s="391"/>
      <c r="C29" s="392"/>
      <c r="D29" s="13">
        <v>0</v>
      </c>
      <c r="E29" s="13">
        <v>0</v>
      </c>
      <c r="F29" s="89">
        <v>0.5</v>
      </c>
      <c r="G29" s="46">
        <f t="shared" ref="G29:G36" si="7">IF(E29=0,D29*2,D29+E29)</f>
        <v>0</v>
      </c>
      <c r="H29" s="79"/>
      <c r="I29" s="51" t="s">
        <v>70</v>
      </c>
      <c r="J29" s="51">
        <v>252</v>
      </c>
      <c r="K29" s="81">
        <v>3380</v>
      </c>
      <c r="L29" s="82">
        <f t="shared" ref="L29:L36" si="8">ROUND(G29*K29,0)</f>
        <v>0</v>
      </c>
      <c r="N29" s="302">
        <v>5101</v>
      </c>
      <c r="O29" s="53">
        <v>252</v>
      </c>
      <c r="P29" s="83"/>
      <c r="Q29" s="84"/>
      <c r="V29" s="395"/>
      <c r="W29" s="395"/>
      <c r="X29" s="384"/>
      <c r="Y29" s="384"/>
      <c r="Z29" s="295" t="s">
        <v>70</v>
      </c>
      <c r="AA29" s="295">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302">
        <v>5101</v>
      </c>
      <c r="O30" s="53">
        <v>253</v>
      </c>
      <c r="P30" s="83"/>
      <c r="Q30" s="67"/>
      <c r="V30" s="395"/>
      <c r="W30" s="395"/>
      <c r="X30" s="384"/>
      <c r="Y30" s="384"/>
      <c r="Z30" s="295" t="s">
        <v>70</v>
      </c>
      <c r="AA30" s="295">
        <v>253</v>
      </c>
      <c r="AB30" s="87">
        <f t="shared" si="9"/>
        <v>6896</v>
      </c>
      <c r="AC30" s="88">
        <f t="shared" si="6"/>
        <v>0</v>
      </c>
      <c r="AD30" s="9"/>
    </row>
    <row r="31" spans="1:30" ht="15.5" x14ac:dyDescent="0.3">
      <c r="A31" s="1" t="s">
        <v>73</v>
      </c>
      <c r="B31" s="391"/>
      <c r="C31" s="392"/>
      <c r="D31" s="13">
        <v>0</v>
      </c>
      <c r="E31" s="13">
        <v>0</v>
      </c>
      <c r="F31" s="89">
        <v>10</v>
      </c>
      <c r="G31" s="46">
        <f t="shared" si="7"/>
        <v>0</v>
      </c>
      <c r="H31" s="79"/>
      <c r="I31" s="90" t="s">
        <v>74</v>
      </c>
      <c r="J31" s="51">
        <v>251</v>
      </c>
      <c r="K31" s="81">
        <v>1173</v>
      </c>
      <c r="L31" s="82">
        <f t="shared" si="8"/>
        <v>0</v>
      </c>
      <c r="N31" s="302">
        <v>5102</v>
      </c>
      <c r="O31" s="53">
        <v>251</v>
      </c>
      <c r="P31" s="83"/>
      <c r="Q31" s="67"/>
      <c r="V31" s="395"/>
      <c r="W31" s="395"/>
      <c r="X31" s="384"/>
      <c r="Y31" s="384"/>
      <c r="Z31" s="91" t="s">
        <v>74</v>
      </c>
      <c r="AA31" s="295">
        <v>251</v>
      </c>
      <c r="AB31" s="87">
        <f t="shared" si="9"/>
        <v>1173</v>
      </c>
      <c r="AC31" s="88">
        <f t="shared" si="6"/>
        <v>0</v>
      </c>
      <c r="AD31" s="9"/>
    </row>
    <row r="32" spans="1:30" ht="15.5" x14ac:dyDescent="0.3">
      <c r="A32" s="1" t="s">
        <v>75</v>
      </c>
      <c r="B32" s="391"/>
      <c r="C32" s="392"/>
      <c r="D32" s="13">
        <v>0</v>
      </c>
      <c r="E32" s="13">
        <v>0</v>
      </c>
      <c r="F32" s="89">
        <v>1.5</v>
      </c>
      <c r="G32" s="46">
        <f t="shared" si="7"/>
        <v>0</v>
      </c>
      <c r="H32" s="79"/>
      <c r="I32" s="90" t="s">
        <v>74</v>
      </c>
      <c r="J32" s="51">
        <v>252</v>
      </c>
      <c r="K32" s="81">
        <v>3506</v>
      </c>
      <c r="L32" s="82">
        <f t="shared" si="8"/>
        <v>0</v>
      </c>
      <c r="N32" s="302">
        <v>5102</v>
      </c>
      <c r="O32" s="53">
        <v>252</v>
      </c>
      <c r="P32" s="83"/>
      <c r="Q32" s="53"/>
      <c r="V32" s="395"/>
      <c r="W32" s="395"/>
      <c r="X32" s="384"/>
      <c r="Y32" s="384"/>
      <c r="Z32" s="91" t="s">
        <v>74</v>
      </c>
      <c r="AA32" s="295">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302">
        <v>5102</v>
      </c>
      <c r="O33" s="53">
        <v>253</v>
      </c>
      <c r="P33" s="83"/>
      <c r="Q33" s="84"/>
      <c r="V33" s="395"/>
      <c r="W33" s="395"/>
      <c r="X33" s="384"/>
      <c r="Y33" s="384"/>
      <c r="Z33" s="91" t="s">
        <v>74</v>
      </c>
      <c r="AA33" s="295">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302">
        <v>5103</v>
      </c>
      <c r="O34" s="53">
        <v>251</v>
      </c>
      <c r="P34" s="83"/>
      <c r="Q34" s="84"/>
      <c r="V34" s="395"/>
      <c r="W34" s="395"/>
      <c r="X34" s="384"/>
      <c r="Y34" s="384"/>
      <c r="Z34" s="91" t="s">
        <v>78</v>
      </c>
      <c r="AA34" s="295">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302">
        <v>5103</v>
      </c>
      <c r="O35" s="53">
        <v>252</v>
      </c>
      <c r="P35" s="83"/>
      <c r="Q35" s="92"/>
      <c r="V35" s="395"/>
      <c r="W35" s="395"/>
      <c r="X35" s="384"/>
      <c r="Y35" s="384"/>
      <c r="Z35" s="91" t="s">
        <v>78</v>
      </c>
      <c r="AA35" s="295">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302">
        <v>5103</v>
      </c>
      <c r="O36" s="53">
        <v>253</v>
      </c>
      <c r="P36" s="83"/>
      <c r="Q36" s="94"/>
      <c r="V36" s="395"/>
      <c r="W36" s="395"/>
      <c r="X36" s="385"/>
      <c r="Y36" s="385"/>
      <c r="Z36" s="91" t="s">
        <v>78</v>
      </c>
      <c r="AA36" s="295">
        <v>253</v>
      </c>
      <c r="AB36" s="87">
        <f t="shared" si="9"/>
        <v>6685</v>
      </c>
      <c r="AC36" s="95">
        <f t="shared" si="6"/>
        <v>0</v>
      </c>
      <c r="AD36" s="9"/>
    </row>
    <row r="37" spans="1:30" ht="18.75" customHeight="1" x14ac:dyDescent="0.3">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16128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299"/>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341596</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298"/>
    </row>
    <row r="46" spans="1:30" ht="18.75" customHeight="1" x14ac:dyDescent="0.3">
      <c r="B46" s="1"/>
      <c r="C46" s="114" t="s">
        <v>92</v>
      </c>
      <c r="D46" s="114"/>
      <c r="E46" s="114"/>
      <c r="F46" s="114"/>
      <c r="G46" s="114" t="s">
        <v>93</v>
      </c>
      <c r="H46" s="115"/>
      <c r="I46" s="116" t="s">
        <v>94</v>
      </c>
      <c r="J46" s="117"/>
      <c r="K46" s="117"/>
      <c r="L46" s="117"/>
      <c r="M46" s="118"/>
      <c r="O46" s="1"/>
      <c r="V46" s="9"/>
      <c r="W46" s="301"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299"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84</v>
      </c>
      <c r="D48" s="121"/>
      <c r="E48" s="121"/>
      <c r="F48" s="121"/>
      <c r="G48" s="122">
        <f>K7</f>
        <v>1.0326</v>
      </c>
      <c r="H48" s="122"/>
      <c r="I48" s="123">
        <v>898.23</v>
      </c>
      <c r="J48" s="124" t="s">
        <v>97</v>
      </c>
      <c r="K48" s="125">
        <f>ROUND(C48*G48*I48,0)</f>
        <v>77911</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84</v>
      </c>
      <c r="D50" s="144"/>
      <c r="E50" s="145"/>
      <c r="F50" s="145"/>
      <c r="G50" s="146" t="s">
        <v>99</v>
      </c>
      <c r="H50" s="146"/>
      <c r="I50" s="146"/>
      <c r="J50" s="146"/>
      <c r="K50" s="146"/>
      <c r="L50" s="50">
        <f>IF(B2=75,0,K49+K48+K47)</f>
        <v>77911</v>
      </c>
      <c r="N50" s="3"/>
      <c r="O50" s="1"/>
      <c r="V50" s="300"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84</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4.35E-4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84</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4.6799999999999999E-4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297"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4.35E-4</v>
      </c>
      <c r="L59" s="50">
        <f>ROUND(I59*K59,0)</f>
        <v>1793</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298"/>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297"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4.35E-4</v>
      </c>
      <c r="L67" s="50">
        <f>ROUND(I67*K67,0)</f>
        <v>42097</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297"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4.6799999999999999E-4</v>
      </c>
      <c r="L69" s="50">
        <f>ROUND(I69*K69,0)</f>
        <v>0</v>
      </c>
      <c r="O69" s="1"/>
      <c r="V69" s="354" t="s">
        <v>122</v>
      </c>
      <c r="W69" s="354"/>
      <c r="X69" s="354"/>
      <c r="Y69" s="360">
        <f>+I70</f>
        <v>0</v>
      </c>
      <c r="Z69" s="360"/>
      <c r="AA69" s="297"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4.35E-4</v>
      </c>
      <c r="L70" s="50">
        <f>ROUND(I70*K70,0)</f>
        <v>0</v>
      </c>
      <c r="O70" s="1"/>
      <c r="V70" s="354" t="s">
        <v>123</v>
      </c>
      <c r="W70" s="354"/>
      <c r="X70" s="354"/>
      <c r="Y70" s="356">
        <f>+I71</f>
        <v>0</v>
      </c>
      <c r="Z70" s="356"/>
      <c r="AA70" s="297"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4.35E-4</v>
      </c>
      <c r="L71" s="50">
        <f>ROUND(I71*K71,0)</f>
        <v>0</v>
      </c>
      <c r="O71" s="1"/>
      <c r="V71" s="354" t="s">
        <v>124</v>
      </c>
      <c r="W71" s="354"/>
      <c r="X71" s="354"/>
      <c r="Y71" s="356">
        <f>+I72</f>
        <v>14117224</v>
      </c>
      <c r="Z71" s="356"/>
      <c r="AA71" s="297"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4.6799999999999999E-4</v>
      </c>
      <c r="L72" s="50">
        <f>ROUND(I72*K72,0)</f>
        <v>6607</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63</v>
      </c>
      <c r="AA74" s="296" t="s">
        <v>129</v>
      </c>
      <c r="AB74" s="172">
        <f>+K75</f>
        <v>360</v>
      </c>
      <c r="AC74" s="55">
        <f>ROUND(AB74*Z74,0)</f>
        <v>22680</v>
      </c>
      <c r="AD74" s="9"/>
    </row>
    <row r="75" spans="1:30" ht="19.5" customHeight="1" x14ac:dyDescent="0.3">
      <c r="A75" s="1" t="s">
        <v>130</v>
      </c>
      <c r="B75" s="173" t="s">
        <v>127</v>
      </c>
      <c r="C75" s="174" t="s">
        <v>128</v>
      </c>
      <c r="D75" s="173">
        <v>63</v>
      </c>
      <c r="E75" s="173">
        <v>0</v>
      </c>
      <c r="F75" s="173">
        <v>0</v>
      </c>
      <c r="G75" s="175">
        <f>IF(E75=0,D75,E75)</f>
        <v>63</v>
      </c>
      <c r="H75" s="176"/>
      <c r="I75" s="177">
        <f>AVERAGE(G75,D75)</f>
        <v>63</v>
      </c>
      <c r="J75" s="178" t="s">
        <v>129</v>
      </c>
      <c r="K75" s="179">
        <v>360</v>
      </c>
      <c r="L75" s="50">
        <f>ROUND(K75*I75,0)</f>
        <v>22680</v>
      </c>
      <c r="N75" s="1">
        <v>7802</v>
      </c>
      <c r="O75" s="1">
        <v>0</v>
      </c>
      <c r="V75" s="358" t="s">
        <v>127</v>
      </c>
      <c r="W75" s="358"/>
      <c r="X75" s="168" t="s">
        <v>131</v>
      </c>
      <c r="Y75" s="180"/>
      <c r="Z75" s="181">
        <f>+I76</f>
        <v>0</v>
      </c>
      <c r="AA75" s="296"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296"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4.35E-4</v>
      </c>
      <c r="L77" s="50">
        <f>ROUND(I77*K77,0)</f>
        <v>14232</v>
      </c>
      <c r="O77" s="1"/>
      <c r="V77" s="354" t="str">
        <f>+B78</f>
        <v>15.  Additional Allocation (WFTE share)</v>
      </c>
      <c r="W77" s="354"/>
      <c r="X77" s="354"/>
      <c r="Y77" s="355">
        <f>+I78</f>
        <v>668680</v>
      </c>
      <c r="Z77" s="355"/>
      <c r="AA77" s="296"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4.35E-4</v>
      </c>
      <c r="L78" s="50">
        <f>ROUND(I78*K78,0)</f>
        <v>291</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22680</v>
      </c>
      <c r="AD81" s="195"/>
    </row>
    <row r="82" spans="1:30" ht="22.5" customHeight="1" thickTop="1" thickBot="1" x14ac:dyDescent="0.35">
      <c r="B82" s="13" t="s">
        <v>141</v>
      </c>
      <c r="C82" s="13"/>
      <c r="D82" s="13"/>
      <c r="E82" s="13"/>
      <c r="F82" s="13"/>
      <c r="G82" s="13"/>
      <c r="H82" s="13"/>
      <c r="I82" s="13"/>
      <c r="J82" s="13"/>
      <c r="K82" s="13"/>
      <c r="L82" s="196">
        <f>SUM(L44:L81)</f>
        <v>507207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'3441'!AC81</f>
        <v>22680</v>
      </c>
      <c r="M84" s="306"/>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302" t="s">
        <v>149</v>
      </c>
      <c r="C86" s="13"/>
      <c r="D86" s="13"/>
      <c r="E86" s="13"/>
      <c r="F86" s="13"/>
      <c r="G86" s="13"/>
      <c r="H86" s="13"/>
      <c r="I86" s="13"/>
      <c r="J86" s="204" t="s">
        <v>150</v>
      </c>
      <c r="K86" s="205">
        <f>IF(K84=1,L84,L82)</f>
        <v>507207</v>
      </c>
      <c r="L86" s="82">
        <f>IF(G26=0,0,IF(G26&gt;250,-(((250/G26)*K86)*IF(M86="H",0.02,0.05)),IF(M86="H",-0.02*K86,-0.05*K86)))</f>
        <v>-25360.350000000002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302" t="s">
        <v>152</v>
      </c>
      <c r="C87" s="13"/>
      <c r="D87" s="13"/>
      <c r="E87" s="13"/>
      <c r="F87" s="13"/>
      <c r="G87" s="13"/>
      <c r="H87" s="13"/>
      <c r="I87" s="13"/>
      <c r="J87" s="13"/>
      <c r="K87" s="206"/>
      <c r="L87" s="200">
        <f>L82+L86</f>
        <v>481846.65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2250010</v>
      </c>
      <c r="G89" s="13"/>
      <c r="H89" s="13"/>
      <c r="I89" s="13"/>
      <c r="J89" s="13"/>
      <c r="K89" s="206"/>
      <c r="L89" s="82">
        <v>-331560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150286.65000000002</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37571.662500000006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307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308</v>
      </c>
      <c r="C123" s="219" t="s">
        <v>200</v>
      </c>
    </row>
    <row r="124" spans="2:3" ht="15.5" hidden="1" x14ac:dyDescent="0.35">
      <c r="B124" s="223" t="s">
        <v>309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41646.469363425902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AD151"/>
  <sheetViews>
    <sheetView topLeftCell="B2" zoomScale="90" zoomScaleNormal="90" workbookViewId="0">
      <selection activeCell="G92" sqref="G92"/>
    </sheetView>
  </sheetViews>
  <sheetFormatPr defaultColWidth="9.0898437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9.0898437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'3443'!B2</f>
        <v>50</v>
      </c>
      <c r="W2" s="413" t="s">
        <v>4</v>
      </c>
      <c r="X2" s="414"/>
      <c r="Y2" s="415"/>
      <c r="Z2" s="415"/>
      <c r="AA2" s="415"/>
      <c r="AB2" s="415"/>
      <c r="AC2" s="415"/>
      <c r="AD2" s="9"/>
    </row>
    <row r="3" spans="1:30" ht="20" x14ac:dyDescent="0.4">
      <c r="B3" s="10" t="str">
        <f>"Revenue Estimate Worksheet for "&amp;B124</f>
        <v>Revenue Estimate Worksheet for Riviera Beach Maritime Academy</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'3443'!G7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IF('3443'!K$84=1,'3443'!G10,0)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IF('3443'!K$84=1,'3443'!G11,0)</f>
        <v>0</v>
      </c>
      <c r="Y11" s="396"/>
      <c r="Z11" s="397">
        <v>1</v>
      </c>
      <c r="AA11" s="397"/>
      <c r="AB11" s="54">
        <f t="shared" si="0"/>
        <v>0</v>
      </c>
      <c r="AC11" s="55">
        <f t="shared" si="1"/>
        <v>0</v>
      </c>
      <c r="AD11" s="9"/>
    </row>
    <row r="12" spans="1:30" x14ac:dyDescent="0.3">
      <c r="A12" s="1" t="s">
        <v>32</v>
      </c>
      <c r="B12" s="13" t="s">
        <v>33</v>
      </c>
      <c r="C12" s="13"/>
      <c r="D12" s="314">
        <v>0</v>
      </c>
      <c r="E12" s="13">
        <v>0</v>
      </c>
      <c r="F12" s="13">
        <v>0</v>
      </c>
      <c r="G12" s="46">
        <f t="shared" si="2"/>
        <v>0</v>
      </c>
      <c r="H12" s="47"/>
      <c r="I12" s="56">
        <v>1</v>
      </c>
      <c r="J12" s="56"/>
      <c r="K12" s="49">
        <f t="shared" si="3"/>
        <v>0</v>
      </c>
      <c r="L12" s="50">
        <f t="shared" si="4"/>
        <v>0</v>
      </c>
      <c r="N12" s="51">
        <v>5102</v>
      </c>
      <c r="O12" s="52">
        <v>102</v>
      </c>
      <c r="Q12" s="53"/>
      <c r="V12" s="357" t="s">
        <v>33</v>
      </c>
      <c r="W12" s="357"/>
      <c r="X12" s="396">
        <f>IF('3443'!K$84=1,'3443'!G12,0)</f>
        <v>0</v>
      </c>
      <c r="Y12" s="396"/>
      <c r="Z12" s="397">
        <v>1</v>
      </c>
      <c r="AA12" s="397"/>
      <c r="AB12" s="54">
        <f t="shared" si="0"/>
        <v>0</v>
      </c>
      <c r="AC12" s="55">
        <f t="shared" si="1"/>
        <v>0</v>
      </c>
      <c r="AD12" s="9"/>
    </row>
    <row r="13" spans="1:30" x14ac:dyDescent="0.3">
      <c r="A13" s="1" t="s">
        <v>34</v>
      </c>
      <c r="B13" s="13" t="s">
        <v>35</v>
      </c>
      <c r="C13" s="13"/>
      <c r="D13" s="314">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IF('3443'!K$84=1,'3443'!G13,0)</f>
        <v>0</v>
      </c>
      <c r="Y13" s="396"/>
      <c r="Z13" s="397">
        <v>1</v>
      </c>
      <c r="AA13" s="397"/>
      <c r="AB13" s="54">
        <f t="shared" si="0"/>
        <v>0</v>
      </c>
      <c r="AC13" s="55">
        <f t="shared" si="1"/>
        <v>0</v>
      </c>
      <c r="AD13" s="9"/>
    </row>
    <row r="14" spans="1:30" x14ac:dyDescent="0.3">
      <c r="A14" s="1" t="s">
        <v>37</v>
      </c>
      <c r="B14" s="13" t="s">
        <v>38</v>
      </c>
      <c r="C14" s="13"/>
      <c r="D14" s="314">
        <v>60.93</v>
      </c>
      <c r="E14" s="13">
        <v>0</v>
      </c>
      <c r="F14" s="13">
        <v>81.23</v>
      </c>
      <c r="G14" s="46">
        <f t="shared" si="2"/>
        <v>121.86</v>
      </c>
      <c r="H14" s="47"/>
      <c r="I14" s="56">
        <v>1.0109999999999999</v>
      </c>
      <c r="J14" s="56"/>
      <c r="K14" s="49">
        <f t="shared" si="3"/>
        <v>123.20050000000001</v>
      </c>
      <c r="L14" s="50">
        <f t="shared" si="4"/>
        <v>477356</v>
      </c>
      <c r="N14" s="51">
        <v>5103</v>
      </c>
      <c r="O14" s="52">
        <v>103</v>
      </c>
      <c r="Q14" s="53"/>
      <c r="V14" s="357" t="s">
        <v>38</v>
      </c>
      <c r="W14" s="357"/>
      <c r="X14" s="396">
        <f>IF('3443'!K$84=1,'3443'!G14,0)</f>
        <v>0</v>
      </c>
      <c r="Y14" s="396"/>
      <c r="Z14" s="397">
        <v>1</v>
      </c>
      <c r="AA14" s="397"/>
      <c r="AB14" s="54">
        <f t="shared" si="0"/>
        <v>0</v>
      </c>
      <c r="AC14" s="55">
        <f t="shared" si="1"/>
        <v>0</v>
      </c>
      <c r="AD14" s="9"/>
    </row>
    <row r="15" spans="1:30" x14ac:dyDescent="0.3">
      <c r="A15" s="1" t="s">
        <v>39</v>
      </c>
      <c r="B15" s="13" t="s">
        <v>40</v>
      </c>
      <c r="C15" s="13"/>
      <c r="D15" s="314">
        <v>12.87</v>
      </c>
      <c r="E15" s="13">
        <v>0</v>
      </c>
      <c r="F15" s="13">
        <v>17.45</v>
      </c>
      <c r="G15" s="46">
        <f t="shared" si="2"/>
        <v>25.74</v>
      </c>
      <c r="H15" s="47"/>
      <c r="I15" s="56">
        <f>I14</f>
        <v>1.0109999999999999</v>
      </c>
      <c r="J15" s="56"/>
      <c r="K15" s="49">
        <f t="shared" si="3"/>
        <v>26.023099999999999</v>
      </c>
      <c r="L15" s="58">
        <f t="shared" si="4"/>
        <v>100830</v>
      </c>
      <c r="M15" s="1" t="str">
        <f>IF(ROUND(G15,2)=ROUND(SUM(G34:G36),2)," ","CHECK 2. PK-3 Lines Below")</f>
        <v xml:space="preserve"> </v>
      </c>
      <c r="N15" s="51">
        <v>5103</v>
      </c>
      <c r="O15" s="57" t="s">
        <v>41</v>
      </c>
      <c r="Q15" s="53"/>
      <c r="V15" s="357" t="s">
        <v>40</v>
      </c>
      <c r="W15" s="357"/>
      <c r="X15" s="396">
        <f>IF('3443'!K$84=1,'3443'!G15,0)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IF('3443'!K$84=1,'3443'!G16,0)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IF('3443'!K$84=1,'3443'!G17,0)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IF('3443'!K$84=1,'3443'!G18,0)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IF('3443'!K$84=1,'3443'!G19,0)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IF('3443'!K$84=1,'3443'!G20,0)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IF('3443'!K$84=1,'3443'!G21,0)</f>
        <v>0</v>
      </c>
      <c r="Y21" s="396"/>
      <c r="Z21" s="397">
        <v>1</v>
      </c>
      <c r="AA21" s="397"/>
      <c r="AB21" s="54">
        <f t="shared" si="0"/>
        <v>0</v>
      </c>
      <c r="AC21" s="55">
        <f t="shared" si="1"/>
        <v>0</v>
      </c>
      <c r="AD21" s="9"/>
    </row>
    <row r="22" spans="1:30" ht="15.5" x14ac:dyDescent="0.35">
      <c r="A22" s="1" t="s">
        <v>54</v>
      </c>
      <c r="B22" s="13" t="s">
        <v>55</v>
      </c>
      <c r="C22" s="13"/>
      <c r="D22" s="314">
        <v>0</v>
      </c>
      <c r="E22" s="13">
        <v>0</v>
      </c>
      <c r="F22" s="13">
        <v>0</v>
      </c>
      <c r="G22" s="46">
        <f t="shared" si="2"/>
        <v>0</v>
      </c>
      <c r="H22" s="47"/>
      <c r="I22" s="56">
        <v>1.145</v>
      </c>
      <c r="J22" s="56"/>
      <c r="K22" s="49">
        <f t="shared" si="3"/>
        <v>0</v>
      </c>
      <c r="L22" s="50">
        <f t="shared" si="4"/>
        <v>0</v>
      </c>
      <c r="N22" s="51">
        <v>5101</v>
      </c>
      <c r="O22" s="52">
        <v>130</v>
      </c>
      <c r="Q22" s="53"/>
      <c r="V22" s="357" t="s">
        <v>55</v>
      </c>
      <c r="W22" s="357"/>
      <c r="X22" s="396">
        <f>IF('3443'!K$84=1,'3443'!G22,0)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IF('3443'!K$84=1,'3443'!G23,0)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IF('3443'!K$84=1,'3443'!G24,0)</f>
        <v>0</v>
      </c>
      <c r="Y24" s="396"/>
      <c r="Z24" s="397">
        <v>1</v>
      </c>
      <c r="AA24" s="397"/>
      <c r="AB24" s="54">
        <f t="shared" si="0"/>
        <v>0</v>
      </c>
      <c r="AC24" s="55">
        <f t="shared" si="1"/>
        <v>0</v>
      </c>
      <c r="AD24" s="9"/>
    </row>
    <row r="25" spans="1:30" ht="16" thickBot="1" x14ac:dyDescent="0.4">
      <c r="A25" s="1" t="s">
        <v>60</v>
      </c>
      <c r="B25" s="13" t="s">
        <v>61</v>
      </c>
      <c r="C25" s="13"/>
      <c r="D25" s="314">
        <v>20.05</v>
      </c>
      <c r="E25" s="13">
        <v>0</v>
      </c>
      <c r="F25" s="13">
        <v>26.62</v>
      </c>
      <c r="G25" s="60">
        <f t="shared" si="2"/>
        <v>40.1</v>
      </c>
      <c r="H25" s="47"/>
      <c r="I25" s="56">
        <v>1.0109999999999999</v>
      </c>
      <c r="J25" s="56"/>
      <c r="K25" s="49">
        <f t="shared" si="3"/>
        <v>40.5411</v>
      </c>
      <c r="L25" s="50">
        <f t="shared" si="4"/>
        <v>157082</v>
      </c>
      <c r="N25" s="51">
        <v>5310</v>
      </c>
      <c r="O25" s="52">
        <v>300</v>
      </c>
      <c r="Q25" s="53"/>
      <c r="V25" s="357" t="s">
        <v>61</v>
      </c>
      <c r="W25" s="357"/>
      <c r="X25" s="396">
        <f>IF('3443'!K$84=1,'3443'!G25,0)</f>
        <v>0</v>
      </c>
      <c r="Y25" s="396"/>
      <c r="Z25" s="397">
        <v>1</v>
      </c>
      <c r="AA25" s="397"/>
      <c r="AB25" s="54">
        <f t="shared" si="0"/>
        <v>0</v>
      </c>
      <c r="AC25" s="55">
        <f t="shared" si="1"/>
        <v>0</v>
      </c>
      <c r="AD25" s="9"/>
    </row>
    <row r="26" spans="1:30" ht="20.25" customHeight="1" thickBot="1" x14ac:dyDescent="0.35">
      <c r="B26" s="61" t="s">
        <v>62</v>
      </c>
      <c r="C26" s="61"/>
      <c r="D26" s="320">
        <f t="shared" ref="D26:E26" si="5">SUM(D10:D25)</f>
        <v>93.85</v>
      </c>
      <c r="E26" s="62">
        <f t="shared" si="5"/>
        <v>0</v>
      </c>
      <c r="F26" s="62"/>
      <c r="G26" s="62">
        <f>SUM(G10:G25)</f>
        <v>187.7</v>
      </c>
      <c r="H26" s="63"/>
      <c r="I26" s="63"/>
      <c r="J26" s="64"/>
      <c r="K26" s="65">
        <f>SUM(K10:K25)</f>
        <v>189.7647</v>
      </c>
      <c r="L26" s="66">
        <f>SUM(L10:L25)</f>
        <v>735268</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12.87</v>
      </c>
      <c r="E34" s="13">
        <v>0</v>
      </c>
      <c r="F34" s="89">
        <v>11.5</v>
      </c>
      <c r="G34" s="46">
        <f t="shared" si="7"/>
        <v>25.74</v>
      </c>
      <c r="H34" s="79"/>
      <c r="I34" s="90" t="s">
        <v>78</v>
      </c>
      <c r="J34" s="51">
        <v>251</v>
      </c>
      <c r="K34" s="81">
        <v>835</v>
      </c>
      <c r="L34" s="82">
        <f t="shared" si="8"/>
        <v>21493</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12.87</v>
      </c>
      <c r="E37" s="62">
        <f t="shared" si="10"/>
        <v>0</v>
      </c>
      <c r="F37" s="62"/>
      <c r="G37" s="62">
        <f>SUM(G28:G36)</f>
        <v>25.74</v>
      </c>
      <c r="H37" s="63"/>
      <c r="I37" s="13" t="s">
        <v>82</v>
      </c>
      <c r="J37" s="13"/>
      <c r="K37" s="13"/>
      <c r="L37" s="50">
        <f>SUM(L28:L36)</f>
        <v>21493</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36038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792799</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329"/>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329"/>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189.7647</v>
      </c>
      <c r="D49" s="329"/>
      <c r="E49" s="121"/>
      <c r="F49" s="121"/>
      <c r="G49" s="122">
        <f>K7</f>
        <v>1.0326</v>
      </c>
      <c r="H49" s="122"/>
      <c r="I49" s="123">
        <v>900.39</v>
      </c>
      <c r="J49" s="124" t="s">
        <v>97</v>
      </c>
      <c r="K49" s="125">
        <f>ROUND(C49*G49*I49,0)</f>
        <v>176432</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189.7647</v>
      </c>
      <c r="D50" s="330"/>
      <c r="E50" s="145"/>
      <c r="F50" s="145"/>
      <c r="G50" s="146" t="s">
        <v>99</v>
      </c>
      <c r="H50" s="146"/>
      <c r="I50" s="146"/>
      <c r="J50" s="146"/>
      <c r="K50" s="146"/>
      <c r="L50" s="50">
        <f>IF(B2=75,0,K49+K48+K47)</f>
        <v>176432</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189.7647</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9.8299999999999993E-4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187.7</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1.0460000000000001E-3</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9.8299999999999993E-4</v>
      </c>
      <c r="L59" s="50">
        <f>ROUND(I59*K59,0)</f>
        <v>4053</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9.8299999999999993E-4</v>
      </c>
      <c r="L67" s="50">
        <f>ROUND(I67*K67,0)</f>
        <v>95129</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1.0460000000000001E-3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9.8299999999999993E-4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9.8299999999999993E-4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1.0460000000000001E-3</v>
      </c>
      <c r="L72" s="50">
        <f>ROUND(I72*K72,0)</f>
        <v>14767</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117</v>
      </c>
      <c r="AA74" s="171" t="s">
        <v>129</v>
      </c>
      <c r="AB74" s="172">
        <f>+K75</f>
        <v>360</v>
      </c>
      <c r="AC74" s="55">
        <f>ROUND(AB74*Z74,0)</f>
        <v>42120</v>
      </c>
      <c r="AD74" s="9"/>
    </row>
    <row r="75" spans="1:30" ht="19.5" customHeight="1" x14ac:dyDescent="0.3">
      <c r="A75" s="1" t="s">
        <v>130</v>
      </c>
      <c r="B75" s="173" t="s">
        <v>127</v>
      </c>
      <c r="C75" s="174" t="s">
        <v>128</v>
      </c>
      <c r="D75" s="333">
        <v>117</v>
      </c>
      <c r="E75" s="173">
        <v>0</v>
      </c>
      <c r="F75" s="173">
        <v>0</v>
      </c>
      <c r="G75" s="175">
        <f>IF(E75=0,D75,E75)</f>
        <v>117</v>
      </c>
      <c r="H75" s="176"/>
      <c r="I75" s="177">
        <f>AVERAGE(G75,D75)</f>
        <v>117</v>
      </c>
      <c r="J75" s="178" t="s">
        <v>129</v>
      </c>
      <c r="K75" s="179">
        <v>360</v>
      </c>
      <c r="L75" s="50">
        <f>ROUND(K75*I75,0)</f>
        <v>42120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33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9.8299999999999993E-4</v>
      </c>
      <c r="L77" s="50">
        <f>ROUND(I77*K77,0)</f>
        <v>32162</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9.8299999999999993E-4</v>
      </c>
      <c r="L78" s="50">
        <f>ROUND(I78*K78,0)</f>
        <v>657</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42120</v>
      </c>
      <c r="AD81" s="195"/>
    </row>
    <row r="82" spans="1:30" ht="22.5" customHeight="1" thickTop="1" thickBot="1" x14ac:dyDescent="0.35">
      <c r="B82" s="13" t="s">
        <v>141</v>
      </c>
      <c r="C82" s="13"/>
      <c r="D82" s="314"/>
      <c r="E82" s="13"/>
      <c r="F82" s="13"/>
      <c r="G82" s="13"/>
      <c r="H82" s="13"/>
      <c r="I82" s="13"/>
      <c r="J82" s="13"/>
      <c r="K82" s="13"/>
      <c r="L82" s="196">
        <f>SUM(L44:L81)</f>
        <v>1158119</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'3443'!AC81</f>
        <v>42120</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1158119</v>
      </c>
      <c r="L86" s="82">
        <f>IF(G26=0,0,IF(G26&gt;250,-(((250/G26)*K86)*IF(M86="H",0.02,0.05)),IF(M86="H",-0.02*K86,-0.05*K86)))</f>
        <v>-57905.950000000004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1100213.05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581565</v>
      </c>
      <c r="G89" s="13"/>
      <c r="H89" s="13"/>
      <c r="I89" s="13"/>
      <c r="J89" s="13"/>
      <c r="K89" s="206"/>
      <c r="L89" s="335">
        <v>-741109</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336">
        <f>L87+L89</f>
        <v>359104.05000000005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89776.012500000012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311</v>
      </c>
      <c r="C123" s="219" t="s">
        <v>200</v>
      </c>
    </row>
    <row r="124" spans="2:3" ht="15.5" hidden="1" x14ac:dyDescent="0.35">
      <c r="B124" s="223" t="s">
        <v>312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41646.469375000001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D151"/>
  <sheetViews>
    <sheetView topLeftCell="B74"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'3941'!B2</f>
        <v>50</v>
      </c>
      <c r="W2" s="413" t="s">
        <v>4</v>
      </c>
      <c r="X2" s="414"/>
      <c r="Y2" s="415"/>
      <c r="Z2" s="415"/>
      <c r="AA2" s="415"/>
      <c r="AB2" s="415"/>
      <c r="AC2" s="415"/>
      <c r="AD2" s="9"/>
    </row>
    <row r="3" spans="1:30" ht="20" x14ac:dyDescent="0.4">
      <c r="B3" s="10" t="str">
        <f>"Revenue Estimate Worksheet for "&amp;B124</f>
        <v>Revenue Estimate Worksheet for Ben Gamla - Palm Beach</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'3941'!G7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86.08</v>
      </c>
      <c r="E10" s="45">
        <v>0</v>
      </c>
      <c r="F10" s="45">
        <v>91.41</v>
      </c>
      <c r="G10" s="46">
        <f>IF(E10=0,D10*2,D10+E10)</f>
        <v>172.16</v>
      </c>
      <c r="H10" s="47"/>
      <c r="I10" s="48">
        <v>1.125</v>
      </c>
      <c r="J10" s="48"/>
      <c r="K10" s="49">
        <f>ROUND(G10*I10,4)</f>
        <v>193.68</v>
      </c>
      <c r="L10" s="50">
        <f>ROUND(ROUND(K10*$G$7,4)*($K$7),0)</f>
        <v>750437</v>
      </c>
      <c r="N10" s="51">
        <v>5101</v>
      </c>
      <c r="O10" s="52">
        <v>101</v>
      </c>
      <c r="Q10" s="53"/>
      <c r="V10" s="404" t="s">
        <v>28</v>
      </c>
      <c r="W10" s="404"/>
      <c r="X10" s="396">
        <f>IF('3941'!K$84=1,'3941'!G10,0)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20.5</v>
      </c>
      <c r="E11" s="13">
        <v>0</v>
      </c>
      <c r="F11" s="13">
        <v>22.41</v>
      </c>
      <c r="G11" s="46">
        <f t="shared" ref="G11:G25" si="2">IF(E11=0,D11*2,D11+E11)</f>
        <v>41</v>
      </c>
      <c r="H11" s="47"/>
      <c r="I11" s="56">
        <f>I10</f>
        <v>1.125</v>
      </c>
      <c r="J11" s="56"/>
      <c r="K11" s="49">
        <f t="shared" ref="K11:K25" si="3">ROUND(G11*I11,4)</f>
        <v>46.125</v>
      </c>
      <c r="L11" s="50">
        <f t="shared" ref="L11:L25" si="4">ROUND(ROUND(K11*$G$7,4)*($K$7),0)</f>
        <v>178717</v>
      </c>
      <c r="M11" s="1" t="str">
        <f>IF(ROUND(G11,2)=ROUND(SUM(G28:G30),2)," ","CHECK 2. PK-3 Lines Below")</f>
        <v xml:space="preserve"> </v>
      </c>
      <c r="N11" s="51">
        <v>5101</v>
      </c>
      <c r="O11" s="57" t="s">
        <v>31</v>
      </c>
      <c r="Q11" s="53"/>
      <c r="V11" s="357" t="s">
        <v>30</v>
      </c>
      <c r="W11" s="357"/>
      <c r="X11" s="396">
        <f>IF('3941'!K$84=1,'3941'!G11,0)</f>
        <v>0</v>
      </c>
      <c r="Y11" s="396"/>
      <c r="Z11" s="397">
        <v>1</v>
      </c>
      <c r="AA11" s="397"/>
      <c r="AB11" s="54">
        <f t="shared" si="0"/>
        <v>0</v>
      </c>
      <c r="AC11" s="55">
        <f t="shared" si="1"/>
        <v>0</v>
      </c>
      <c r="AD11" s="9"/>
    </row>
    <row r="12" spans="1:30" x14ac:dyDescent="0.3">
      <c r="A12" s="1" t="s">
        <v>32</v>
      </c>
      <c r="B12" s="13" t="s">
        <v>33</v>
      </c>
      <c r="C12" s="13"/>
      <c r="D12" s="314">
        <v>23.55</v>
      </c>
      <c r="E12" s="13">
        <v>0</v>
      </c>
      <c r="F12" s="13">
        <v>23.63</v>
      </c>
      <c r="G12" s="46">
        <f t="shared" si="2"/>
        <v>47.1</v>
      </c>
      <c r="H12" s="47"/>
      <c r="I12" s="56">
        <v>1</v>
      </c>
      <c r="J12" s="56"/>
      <c r="K12" s="49">
        <f t="shared" si="3"/>
        <v>47.1</v>
      </c>
      <c r="L12" s="50">
        <f t="shared" si="4"/>
        <v>182495</v>
      </c>
      <c r="N12" s="51">
        <v>5102</v>
      </c>
      <c r="O12" s="52">
        <v>102</v>
      </c>
      <c r="Q12" s="53"/>
      <c r="V12" s="357" t="s">
        <v>33</v>
      </c>
      <c r="W12" s="357"/>
      <c r="X12" s="396">
        <f>IF('3941'!K$84=1,'3941'!G12,0)</f>
        <v>0</v>
      </c>
      <c r="Y12" s="396"/>
      <c r="Z12" s="397">
        <v>1</v>
      </c>
      <c r="AA12" s="397"/>
      <c r="AB12" s="54">
        <f t="shared" si="0"/>
        <v>0</v>
      </c>
      <c r="AC12" s="55">
        <f t="shared" si="1"/>
        <v>0</v>
      </c>
      <c r="AD12" s="9"/>
    </row>
    <row r="13" spans="1:30" x14ac:dyDescent="0.3">
      <c r="A13" s="1" t="s">
        <v>34</v>
      </c>
      <c r="B13" s="13" t="s">
        <v>35</v>
      </c>
      <c r="C13" s="13"/>
      <c r="D13" s="314">
        <v>8.5</v>
      </c>
      <c r="E13" s="13">
        <v>0</v>
      </c>
      <c r="F13" s="13">
        <v>8.73</v>
      </c>
      <c r="G13" s="46">
        <f t="shared" si="2"/>
        <v>17</v>
      </c>
      <c r="H13" s="47"/>
      <c r="I13" s="56">
        <f>I12</f>
        <v>1</v>
      </c>
      <c r="J13" s="56"/>
      <c r="K13" s="49">
        <f t="shared" si="3"/>
        <v>17</v>
      </c>
      <c r="L13" s="50">
        <f t="shared" si="4"/>
        <v>65869</v>
      </c>
      <c r="M13" s="1" t="str">
        <f>IF(ROUND(G13,2)=ROUND(SUM(G31:G33),2)," ","CHECK 2. PK-3 Lines Below")</f>
        <v xml:space="preserve"> </v>
      </c>
      <c r="N13" s="51">
        <v>5102</v>
      </c>
      <c r="O13" s="57" t="s">
        <v>36</v>
      </c>
      <c r="Q13" s="53"/>
      <c r="V13" s="357" t="s">
        <v>35</v>
      </c>
      <c r="W13" s="357"/>
      <c r="X13" s="396">
        <f>IF('3941'!K$84=1,'3941'!G13,0)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IF('3941'!K$84=1,'3941'!G14,0)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IF('3941'!K$84=1,'3941'!G15,0)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IF('3941'!K$84=1,'3941'!G16,0)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IF('3941'!K$84=1,'3941'!G17,0)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IF('3941'!K$84=1,'3941'!G18,0)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IF('3941'!K$84=1,'3941'!G19,0)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IF('3941'!K$84=1,'3941'!G20,0)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IF('3941'!K$84=1,'3941'!G21,0)</f>
        <v>0</v>
      </c>
      <c r="Y21" s="396"/>
      <c r="Z21" s="397">
        <v>1</v>
      </c>
      <c r="AA21" s="397"/>
      <c r="AB21" s="54">
        <f t="shared" si="0"/>
        <v>0</v>
      </c>
      <c r="AC21" s="55">
        <f t="shared" si="1"/>
        <v>0</v>
      </c>
      <c r="AD21" s="9"/>
    </row>
    <row r="22" spans="1:30" ht="15.5" x14ac:dyDescent="0.35">
      <c r="A22" s="1" t="s">
        <v>54</v>
      </c>
      <c r="B22" s="13" t="s">
        <v>55</v>
      </c>
      <c r="C22" s="13"/>
      <c r="D22" s="314">
        <v>1.37</v>
      </c>
      <c r="E22" s="13">
        <v>0</v>
      </c>
      <c r="F22" s="13">
        <v>1.51</v>
      </c>
      <c r="G22" s="46">
        <f t="shared" si="2"/>
        <v>2.74</v>
      </c>
      <c r="H22" s="47"/>
      <c r="I22" s="56">
        <v>1.145</v>
      </c>
      <c r="J22" s="56"/>
      <c r="K22" s="49">
        <f t="shared" si="3"/>
        <v>3.1373000000000002</v>
      </c>
      <c r="L22" s="50">
        <f t="shared" si="4"/>
        <v>12156</v>
      </c>
      <c r="N22" s="51">
        <v>5101</v>
      </c>
      <c r="O22" s="52">
        <v>130</v>
      </c>
      <c r="Q22" s="53"/>
      <c r="V22" s="357" t="s">
        <v>55</v>
      </c>
      <c r="W22" s="357"/>
      <c r="X22" s="396">
        <f>IF('3941'!K$84=1,'3941'!G22,0)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IF('3941'!K$84=1,'3941'!G23,0)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IF('3941'!K$84=1,'3941'!G24,0)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IF('3941'!K$84=1,'3941'!G25,0)</f>
        <v>0</v>
      </c>
      <c r="Y25" s="396"/>
      <c r="Z25" s="397">
        <v>1</v>
      </c>
      <c r="AA25" s="397"/>
      <c r="AB25" s="54">
        <f t="shared" si="0"/>
        <v>0</v>
      </c>
      <c r="AC25" s="55">
        <f t="shared" si="1"/>
        <v>0</v>
      </c>
      <c r="AD25" s="9"/>
    </row>
    <row r="26" spans="1:30" ht="20.25" customHeight="1" thickBot="1" x14ac:dyDescent="0.35">
      <c r="B26" s="61" t="s">
        <v>62</v>
      </c>
      <c r="C26" s="61"/>
      <c r="D26" s="320">
        <f t="shared" ref="D26:E26" si="5">SUM(D10:D25)</f>
        <v>140</v>
      </c>
      <c r="E26" s="62">
        <f t="shared" si="5"/>
        <v>0</v>
      </c>
      <c r="F26" s="62"/>
      <c r="G26" s="62">
        <f>SUM(G10:G25)</f>
        <v>280</v>
      </c>
      <c r="H26" s="63"/>
      <c r="I26" s="63"/>
      <c r="J26" s="64"/>
      <c r="K26" s="65">
        <f>SUM(K10:K25)</f>
        <v>307.04230000000001</v>
      </c>
      <c r="L26" s="66">
        <f>SUM(L10:L25)</f>
        <v>1189674</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17</v>
      </c>
      <c r="E28" s="13">
        <v>0</v>
      </c>
      <c r="F28" s="78">
        <v>11</v>
      </c>
      <c r="G28" s="46">
        <f>IF(E28=0,D28*2,D28+E28)</f>
        <v>34</v>
      </c>
      <c r="H28" s="79"/>
      <c r="I28" s="80" t="s">
        <v>70</v>
      </c>
      <c r="J28" s="51">
        <v>251</v>
      </c>
      <c r="K28" s="81">
        <v>1047</v>
      </c>
      <c r="L28" s="82">
        <f>ROUND(G28*K28,0)</f>
        <v>35598</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7.5</v>
      </c>
      <c r="E31" s="13">
        <v>0</v>
      </c>
      <c r="F31" s="89">
        <v>5</v>
      </c>
      <c r="G31" s="46">
        <f t="shared" si="7"/>
        <v>15</v>
      </c>
      <c r="H31" s="79"/>
      <c r="I31" s="90" t="s">
        <v>74</v>
      </c>
      <c r="J31" s="51">
        <v>251</v>
      </c>
      <c r="K31" s="81">
        <v>1173</v>
      </c>
      <c r="L31" s="82">
        <f t="shared" si="8"/>
        <v>17595</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1</v>
      </c>
      <c r="E32" s="13">
        <v>0</v>
      </c>
      <c r="F32" s="89">
        <v>1</v>
      </c>
      <c r="G32" s="46">
        <f t="shared" si="7"/>
        <v>2</v>
      </c>
      <c r="H32" s="79"/>
      <c r="I32" s="90" t="s">
        <v>74</v>
      </c>
      <c r="J32" s="51">
        <v>252</v>
      </c>
      <c r="K32" s="81">
        <v>3506</v>
      </c>
      <c r="L32" s="82">
        <f t="shared" si="8"/>
        <v>7012</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29</v>
      </c>
      <c r="E37" s="62">
        <f t="shared" si="10"/>
        <v>0</v>
      </c>
      <c r="F37" s="62"/>
      <c r="G37" s="62">
        <f>SUM(G28:G36)</f>
        <v>58</v>
      </c>
      <c r="H37" s="63"/>
      <c r="I37" s="13" t="s">
        <v>82</v>
      </c>
      <c r="J37" s="13"/>
      <c r="K37" s="13"/>
      <c r="L37" s="50">
        <f>SUM(L28:L36)</f>
        <v>83865</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53760</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1327299</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242.94230000000002</v>
      </c>
      <c r="D47" s="329"/>
      <c r="E47" s="121"/>
      <c r="F47" s="121"/>
      <c r="G47" s="122">
        <f>K7</f>
        <v>1.0326</v>
      </c>
      <c r="H47" s="122"/>
      <c r="I47" s="123">
        <v>1316.85</v>
      </c>
      <c r="J47" s="124" t="s">
        <v>97</v>
      </c>
      <c r="K47" s="125">
        <f>ROUND(C47*G47*I47,0)</f>
        <v>330348</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64.099999999999994</v>
      </c>
      <c r="D48" s="329"/>
      <c r="E48" s="121"/>
      <c r="F48" s="121"/>
      <c r="G48" s="122">
        <f>K7</f>
        <v>1.0326</v>
      </c>
      <c r="H48" s="122"/>
      <c r="I48" s="123">
        <v>898.23</v>
      </c>
      <c r="J48" s="124" t="s">
        <v>97</v>
      </c>
      <c r="K48" s="125">
        <f>ROUND(C48*G48*I48,0)</f>
        <v>59454</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329"/>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307.04230000000001</v>
      </c>
      <c r="D50" s="330"/>
      <c r="E50" s="145"/>
      <c r="F50" s="145"/>
      <c r="G50" s="146" t="s">
        <v>99</v>
      </c>
      <c r="H50" s="146"/>
      <c r="I50" s="146"/>
      <c r="J50" s="146"/>
      <c r="K50" s="146"/>
      <c r="L50" s="50">
        <f>IF(B2=75,0,K49+K48+K47)</f>
        <v>389802</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307.04230000000001</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1.5900000000000001E-3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280</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1.5610000000000001E-3</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1.5900000000000001E-3</v>
      </c>
      <c r="L59" s="50">
        <f>ROUND(I59*K59,0)</f>
        <v>6555</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1.5900000000000001E-3</v>
      </c>
      <c r="L67" s="50">
        <f>ROUND(I67*K67,0)</f>
        <v>153871</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1.5610000000000001E-3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1.5900000000000001E-3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1.5900000000000001E-3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1.5610000000000001E-3</v>
      </c>
      <c r="L72" s="50">
        <f>ROUND(I72*K72,0)</f>
        <v>22037</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33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33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1.5900000000000001E-3</v>
      </c>
      <c r="L77" s="50">
        <f>ROUND(I77*K77,0)</f>
        <v>52022</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1.5900000000000001E-3</v>
      </c>
      <c r="L78" s="50">
        <f>ROUND(I78*K78,0)</f>
        <v>1063</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314"/>
      <c r="E82" s="13"/>
      <c r="F82" s="13"/>
      <c r="G82" s="13"/>
      <c r="H82" s="13"/>
      <c r="I82" s="13"/>
      <c r="J82" s="13"/>
      <c r="K82" s="13"/>
      <c r="L82" s="196">
        <f>SUM(L44:L81)</f>
        <v>1952649</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'3941'!AC81</f>
        <v>0</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1952649</v>
      </c>
      <c r="L86" s="82">
        <f>IF(G26=0,0,IF(G26&gt;250,-(((250/G26)*K86)*IF(M86="H",0.02,0.05)),IF(M86="H",-0.02*K86,-0.05*K86)))</f>
        <v>-87171.83035714287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1865477.169642857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919181</v>
      </c>
      <c r="G89" s="13"/>
      <c r="H89" s="13"/>
      <c r="I89" s="13"/>
      <c r="J89" s="13"/>
      <c r="K89" s="206"/>
      <c r="L89" s="82">
        <v>-1234613</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630864.16964285704</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157716.04241071426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10460.619642857142</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314</v>
      </c>
      <c r="C123" s="219" t="s">
        <v>200</v>
      </c>
    </row>
    <row r="124" spans="2:3" ht="15.5" hidden="1" x14ac:dyDescent="0.35">
      <c r="B124" s="223" t="s">
        <v>315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41646.469386574099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'0642'!B2</f>
        <v>50</v>
      </c>
      <c r="W2" s="413" t="s">
        <v>4</v>
      </c>
      <c r="X2" s="414"/>
      <c r="Y2" s="415"/>
      <c r="Z2" s="415"/>
      <c r="AA2" s="415"/>
      <c r="AB2" s="415"/>
      <c r="AC2" s="415"/>
      <c r="AD2" s="9"/>
    </row>
    <row r="3" spans="1:30" ht="20" x14ac:dyDescent="0.4">
      <c r="B3" s="10" t="str">
        <f>"Revenue Estimate Worksheet for "&amp;B124</f>
        <v>Revenue Estimate Worksheet for Day Star Acad of Excellence CS</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'0642'!G7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22.91</v>
      </c>
      <c r="E10" s="45">
        <v>0</v>
      </c>
      <c r="F10" s="45">
        <v>26.34</v>
      </c>
      <c r="G10" s="46">
        <f>IF(E10=0,D10*2,D10+E10)</f>
        <v>45.82</v>
      </c>
      <c r="H10" s="47"/>
      <c r="I10" s="48">
        <v>1.125</v>
      </c>
      <c r="J10" s="48"/>
      <c r="K10" s="49">
        <f>ROUND(G10*I10,4)</f>
        <v>51.547499999999999</v>
      </c>
      <c r="L10" s="50">
        <f>ROUND(ROUND(K10*$G$7,4)*($K$7),0)</f>
        <v>199727</v>
      </c>
      <c r="N10" s="51">
        <v>5101</v>
      </c>
      <c r="O10" s="52">
        <v>101</v>
      </c>
      <c r="Q10" s="53"/>
      <c r="V10" s="404" t="s">
        <v>28</v>
      </c>
      <c r="W10" s="404"/>
      <c r="X10" s="396">
        <f>IF('0642'!K$84=1,'0642'!G10,0)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2</v>
      </c>
      <c r="E11" s="13">
        <v>0</v>
      </c>
      <c r="F11" s="13">
        <v>2.41</v>
      </c>
      <c r="G11" s="46">
        <f t="shared" ref="G11:G25" si="2">IF(E11=0,D11*2,D11+E11)</f>
        <v>4</v>
      </c>
      <c r="H11" s="47"/>
      <c r="I11" s="56">
        <f>I10</f>
        <v>1.125</v>
      </c>
      <c r="J11" s="56"/>
      <c r="K11" s="49">
        <f t="shared" ref="K11:K25" si="3">ROUND(G11*I11,4)</f>
        <v>4.5</v>
      </c>
      <c r="L11" s="50">
        <f t="shared" ref="L11:L25" si="4">ROUND(ROUND(K11*$G$7,4)*($K$7),0)</f>
        <v>17436</v>
      </c>
      <c r="M11" s="1" t="str">
        <f>IF(ROUND(G11,2)=ROUND(SUM(G28:G30),2)," ","CHECK 2. PK-3 Lines Below")</f>
        <v xml:space="preserve"> </v>
      </c>
      <c r="N11" s="51">
        <v>5101</v>
      </c>
      <c r="O11" s="57" t="s">
        <v>31</v>
      </c>
      <c r="Q11" s="53"/>
      <c r="V11" s="357" t="s">
        <v>30</v>
      </c>
      <c r="W11" s="357"/>
      <c r="X11" s="396">
        <f>IF('0642'!K$84=1,'0642'!G11,0)</f>
        <v>0</v>
      </c>
      <c r="Y11" s="396"/>
      <c r="Z11" s="397">
        <v>1</v>
      </c>
      <c r="AA11" s="397"/>
      <c r="AB11" s="54">
        <f t="shared" si="0"/>
        <v>0</v>
      </c>
      <c r="AC11" s="55">
        <f t="shared" si="1"/>
        <v>0</v>
      </c>
      <c r="AD11" s="9"/>
    </row>
    <row r="12" spans="1:30" x14ac:dyDescent="0.3">
      <c r="A12" s="1" t="s">
        <v>32</v>
      </c>
      <c r="B12" s="13" t="s">
        <v>33</v>
      </c>
      <c r="C12" s="13"/>
      <c r="D12" s="13">
        <v>12.56</v>
      </c>
      <c r="E12" s="13">
        <v>0</v>
      </c>
      <c r="F12" s="13">
        <v>14.32</v>
      </c>
      <c r="G12" s="46">
        <f t="shared" si="2"/>
        <v>25.12</v>
      </c>
      <c r="H12" s="47"/>
      <c r="I12" s="56">
        <v>1</v>
      </c>
      <c r="J12" s="56"/>
      <c r="K12" s="49">
        <f t="shared" si="3"/>
        <v>25.12</v>
      </c>
      <c r="L12" s="50">
        <f t="shared" si="4"/>
        <v>97331</v>
      </c>
      <c r="N12" s="51">
        <v>5102</v>
      </c>
      <c r="O12" s="52">
        <v>102</v>
      </c>
      <c r="Q12" s="53"/>
      <c r="V12" s="357" t="s">
        <v>33</v>
      </c>
      <c r="W12" s="357"/>
      <c r="X12" s="396">
        <f>IF('0642'!K$84=1,'0642'!G12,0)</f>
        <v>0</v>
      </c>
      <c r="Y12" s="396"/>
      <c r="Z12" s="397">
        <v>1</v>
      </c>
      <c r="AA12" s="397"/>
      <c r="AB12" s="54">
        <f t="shared" si="0"/>
        <v>0</v>
      </c>
      <c r="AC12" s="55">
        <f t="shared" si="1"/>
        <v>0</v>
      </c>
      <c r="AD12" s="9"/>
    </row>
    <row r="13" spans="1:30" x14ac:dyDescent="0.3">
      <c r="A13" s="1" t="s">
        <v>34</v>
      </c>
      <c r="B13" s="13" t="s">
        <v>35</v>
      </c>
      <c r="C13" s="13"/>
      <c r="D13" s="13">
        <v>1</v>
      </c>
      <c r="E13" s="13">
        <v>0</v>
      </c>
      <c r="F13" s="13">
        <v>1.19</v>
      </c>
      <c r="G13" s="46">
        <f t="shared" si="2"/>
        <v>2</v>
      </c>
      <c r="H13" s="47"/>
      <c r="I13" s="56">
        <f>I12</f>
        <v>1</v>
      </c>
      <c r="J13" s="56"/>
      <c r="K13" s="49">
        <f t="shared" si="3"/>
        <v>2</v>
      </c>
      <c r="L13" s="50">
        <f t="shared" si="4"/>
        <v>7749</v>
      </c>
      <c r="M13" s="1" t="str">
        <f>IF(ROUND(G13,2)=ROUND(SUM(G31:G33),2)," ","CHECK 2. PK-3 Lines Below")</f>
        <v xml:space="preserve"> </v>
      </c>
      <c r="N13" s="51">
        <v>5102</v>
      </c>
      <c r="O13" s="57" t="s">
        <v>36</v>
      </c>
      <c r="Q13" s="53"/>
      <c r="V13" s="357" t="s">
        <v>35</v>
      </c>
      <c r="W13" s="357"/>
      <c r="X13" s="396">
        <f>IF('0642'!K$84=1,'0642'!G13,0)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IF('0642'!K$84=1,'0642'!G14,0)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IF('0642'!K$84=1,'0642'!G15,0)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IF('0642'!K$84=1,'0642'!G16,0)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IF('0642'!K$84=1,'0642'!G17,0)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IF('0642'!K$84=1,'0642'!G18,0)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IF('0642'!K$84=1,'0642'!G19,0)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IF('0642'!K$84=1,'0642'!G20,0)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IF('0642'!K$84=1,'0642'!G21,0)</f>
        <v>0</v>
      </c>
      <c r="Y21" s="396"/>
      <c r="Z21" s="397">
        <v>1</v>
      </c>
      <c r="AA21" s="397"/>
      <c r="AB21" s="54">
        <f t="shared" si="0"/>
        <v>0</v>
      </c>
      <c r="AC21" s="55">
        <f t="shared" si="1"/>
        <v>0</v>
      </c>
      <c r="AD21" s="9"/>
    </row>
    <row r="22" spans="1:30" ht="15.5" x14ac:dyDescent="0.35">
      <c r="A22" s="1" t="s">
        <v>54</v>
      </c>
      <c r="B22" s="13" t="s">
        <v>55</v>
      </c>
      <c r="C22" s="13"/>
      <c r="D22" s="13">
        <v>3.53</v>
      </c>
      <c r="E22" s="13">
        <v>0</v>
      </c>
      <c r="F22" s="13">
        <v>4</v>
      </c>
      <c r="G22" s="46">
        <f t="shared" si="2"/>
        <v>7.06</v>
      </c>
      <c r="H22" s="47"/>
      <c r="I22" s="56">
        <v>1.145</v>
      </c>
      <c r="J22" s="56"/>
      <c r="K22" s="49">
        <f t="shared" si="3"/>
        <v>8.0837000000000003</v>
      </c>
      <c r="L22" s="50">
        <f t="shared" si="4"/>
        <v>31321</v>
      </c>
      <c r="N22" s="51">
        <v>5101</v>
      </c>
      <c r="O22" s="52">
        <v>130</v>
      </c>
      <c r="Q22" s="53"/>
      <c r="V22" s="357" t="s">
        <v>55</v>
      </c>
      <c r="W22" s="357"/>
      <c r="X22" s="396">
        <f>IF('0642'!K$84=1,'0642'!G22,0)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IF('0642'!K$84=1,'0642'!G23,0)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IF('0642'!K$84=1,'0642'!G24,0)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IF('0642'!K$84=1,'0642'!G25,0)</f>
        <v>0</v>
      </c>
      <c r="Y25" s="396"/>
      <c r="Z25" s="397">
        <v>1</v>
      </c>
      <c r="AA25" s="397"/>
      <c r="AB25" s="54">
        <f t="shared" si="0"/>
        <v>0</v>
      </c>
      <c r="AC25" s="55">
        <f t="shared" si="1"/>
        <v>0</v>
      </c>
      <c r="AD25" s="9"/>
    </row>
    <row r="26" spans="1:30" ht="20.25" customHeight="1" thickBot="1" x14ac:dyDescent="0.35">
      <c r="B26" s="61" t="s">
        <v>62</v>
      </c>
      <c r="C26" s="61"/>
      <c r="D26" s="62">
        <f t="shared" ref="D26:E26" si="5">SUM(D10:D25)</f>
        <v>42</v>
      </c>
      <c r="E26" s="62">
        <f t="shared" si="5"/>
        <v>0</v>
      </c>
      <c r="F26" s="62"/>
      <c r="G26" s="62">
        <f>SUM(G10:G25)</f>
        <v>84</v>
      </c>
      <c r="H26" s="63"/>
      <c r="I26" s="63"/>
      <c r="J26" s="64"/>
      <c r="K26" s="65">
        <f>SUM(K10:K25)</f>
        <v>91.251200000000011</v>
      </c>
      <c r="L26" s="66">
        <f>SUM(L10:L25)</f>
        <v>353564</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2</v>
      </c>
      <c r="E28" s="13">
        <v>0</v>
      </c>
      <c r="F28" s="78">
        <v>3</v>
      </c>
      <c r="G28" s="46">
        <f>IF(E28=0,D28*2,D28+E28)</f>
        <v>4</v>
      </c>
      <c r="H28" s="79"/>
      <c r="I28" s="80" t="s">
        <v>70</v>
      </c>
      <c r="J28" s="51">
        <v>251</v>
      </c>
      <c r="K28" s="81">
        <v>1047</v>
      </c>
      <c r="L28" s="82">
        <f>ROUND(G28*K28,0)</f>
        <v>4188</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1</v>
      </c>
      <c r="E31" s="13">
        <v>0</v>
      </c>
      <c r="F31" s="89">
        <v>2</v>
      </c>
      <c r="G31" s="46">
        <f t="shared" si="7"/>
        <v>2</v>
      </c>
      <c r="H31" s="79"/>
      <c r="I31" s="90" t="s">
        <v>74</v>
      </c>
      <c r="J31" s="51">
        <v>251</v>
      </c>
      <c r="K31" s="81">
        <v>1173</v>
      </c>
      <c r="L31" s="82">
        <f t="shared" si="8"/>
        <v>2346</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3</v>
      </c>
      <c r="E37" s="62">
        <f t="shared" si="10"/>
        <v>0</v>
      </c>
      <c r="F37" s="62"/>
      <c r="G37" s="62">
        <f>SUM(G28:G36)</f>
        <v>6</v>
      </c>
      <c r="H37" s="63"/>
      <c r="I37" s="13" t="s">
        <v>82</v>
      </c>
      <c r="J37" s="13"/>
      <c r="K37" s="13"/>
      <c r="L37" s="50">
        <f>SUM(L28:L36)</f>
        <v>6534</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16128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376226</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64.131200000000007</v>
      </c>
      <c r="D47" s="121"/>
      <c r="E47" s="121"/>
      <c r="F47" s="121"/>
      <c r="G47" s="122">
        <f>K7</f>
        <v>1.0326</v>
      </c>
      <c r="H47" s="122"/>
      <c r="I47" s="123">
        <v>1316.85</v>
      </c>
      <c r="J47" s="124" t="s">
        <v>97</v>
      </c>
      <c r="K47" s="125">
        <f>ROUND(C47*G47*I47,0)</f>
        <v>87204</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27.12</v>
      </c>
      <c r="D48" s="121"/>
      <c r="E48" s="121"/>
      <c r="F48" s="121"/>
      <c r="G48" s="122">
        <f>K7</f>
        <v>1.0326</v>
      </c>
      <c r="H48" s="122"/>
      <c r="I48" s="123">
        <v>898.23</v>
      </c>
      <c r="J48" s="124" t="s">
        <v>97</v>
      </c>
      <c r="K48" s="125">
        <f>ROUND(C48*G48*I48,0)</f>
        <v>25154</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91.251200000000011</v>
      </c>
      <c r="D50" s="144"/>
      <c r="E50" s="145"/>
      <c r="F50" s="145"/>
      <c r="G50" s="146" t="s">
        <v>99</v>
      </c>
      <c r="H50" s="146"/>
      <c r="I50" s="146"/>
      <c r="J50" s="146"/>
      <c r="K50" s="146"/>
      <c r="L50" s="50">
        <f>IF(B2=75,0,K49+K48+K47)</f>
        <v>112358</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91.251200000000011</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4.7199999999999998E-4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84</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4.6799999999999999E-4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4.7199999999999998E-4</v>
      </c>
      <c r="L59" s="50">
        <f>ROUND(I59*K59,0)</f>
        <v>1946</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4.7199999999999998E-4</v>
      </c>
      <c r="L67" s="50">
        <f>ROUND(I67*K67,0)</f>
        <v>45678</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4.6799999999999999E-4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4.7199999999999998E-4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4.7199999999999998E-4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4.6799999999999999E-4</v>
      </c>
      <c r="L72" s="50">
        <f>ROUND(I72*K72,0)</f>
        <v>6607</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31</v>
      </c>
      <c r="AA74" s="171" t="s">
        <v>129</v>
      </c>
      <c r="AB74" s="172">
        <f>+K75</f>
        <v>360</v>
      </c>
      <c r="AC74" s="55">
        <f>ROUND(AB74*Z74,0)</f>
        <v>11160</v>
      </c>
      <c r="AD74" s="9"/>
    </row>
    <row r="75" spans="1:30" ht="19.5" customHeight="1" x14ac:dyDescent="0.3">
      <c r="A75" s="1" t="s">
        <v>130</v>
      </c>
      <c r="B75" s="173" t="s">
        <v>127</v>
      </c>
      <c r="C75" s="174" t="s">
        <v>128</v>
      </c>
      <c r="D75" s="173">
        <v>31</v>
      </c>
      <c r="E75" s="173">
        <v>0</v>
      </c>
      <c r="F75" s="173">
        <v>0</v>
      </c>
      <c r="G75" s="175">
        <f>IF(E75=0,D75,E75)</f>
        <v>31</v>
      </c>
      <c r="H75" s="176"/>
      <c r="I75" s="177">
        <f>AVERAGE(G75,D75)</f>
        <v>31</v>
      </c>
      <c r="J75" s="178" t="s">
        <v>129</v>
      </c>
      <c r="K75" s="179">
        <v>360</v>
      </c>
      <c r="L75" s="50">
        <f>ROUND(K75*I75,0)</f>
        <v>11160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4.7199999999999998E-4</v>
      </c>
      <c r="L77" s="50">
        <f>ROUND(I77*K77,0)</f>
        <v>15443</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4.7199999999999998E-4</v>
      </c>
      <c r="L78" s="50">
        <f>ROUND(I78*K78,0)</f>
        <v>316</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11160</v>
      </c>
      <c r="AD81" s="195"/>
    </row>
    <row r="82" spans="1:30" ht="22.5" customHeight="1" thickTop="1" thickBot="1" x14ac:dyDescent="0.35">
      <c r="B82" s="13" t="s">
        <v>141</v>
      </c>
      <c r="C82" s="13"/>
      <c r="D82" s="13"/>
      <c r="E82" s="13"/>
      <c r="F82" s="13"/>
      <c r="G82" s="13"/>
      <c r="H82" s="13"/>
      <c r="I82" s="13"/>
      <c r="J82" s="13"/>
      <c r="K82" s="13"/>
      <c r="L82" s="196">
        <f>SUM(L44:L81)</f>
        <v>569734</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'0642'!AC81</f>
        <v>11160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569734</v>
      </c>
      <c r="L86" s="82">
        <f>IF(G26=0,0,IF(G26&gt;250,-(((250/G26)*K86)*IF(M86="H",0.02,0.05)),IF(M86="H",-0.02*K86,-0.05*K86)))</f>
        <v>-28486.7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541247.30000000005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302480</v>
      </c>
      <c r="G89" s="13"/>
      <c r="H89" s="13"/>
      <c r="I89" s="13"/>
      <c r="J89" s="13"/>
      <c r="K89" s="206"/>
      <c r="L89" s="82">
        <v>-382069</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159178.30000000005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39794.575000000012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213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214</v>
      </c>
      <c r="C123" s="219" t="s">
        <v>200</v>
      </c>
    </row>
    <row r="124" spans="2:3" ht="15.5" hidden="1" x14ac:dyDescent="0.35">
      <c r="B124" s="223" t="s">
        <v>215</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41646.468958333302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51"/>
  <sheetViews>
    <sheetView topLeftCell="B77" zoomScale="90" zoomScaleNormal="90" workbookViewId="0">
      <selection activeCell="L92" sqref="L92"/>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'3961'!B2</f>
        <v>50</v>
      </c>
      <c r="W2" s="413" t="s">
        <v>4</v>
      </c>
      <c r="X2" s="414"/>
      <c r="Y2" s="415"/>
      <c r="Z2" s="415"/>
      <c r="AA2" s="415"/>
      <c r="AB2" s="415"/>
      <c r="AC2" s="415"/>
      <c r="AD2" s="9"/>
    </row>
    <row r="3" spans="1:30" ht="20" x14ac:dyDescent="0.4">
      <c r="B3" s="10" t="str">
        <f>"Revenue Estimate Worksheet for "&amp;B124</f>
        <v>Revenue Estimate Worksheet for Gardens Sch of Tech Arts, Inc</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'3961'!G7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45.76</v>
      </c>
      <c r="E10" s="45">
        <v>0</v>
      </c>
      <c r="F10" s="45">
        <v>57.21</v>
      </c>
      <c r="G10" s="46">
        <f>IF(E10=0,D10*2,D10+E10)</f>
        <v>91.52</v>
      </c>
      <c r="H10" s="47"/>
      <c r="I10" s="48">
        <v>1.125</v>
      </c>
      <c r="J10" s="48"/>
      <c r="K10" s="49">
        <f>ROUND(G10*I10,4)</f>
        <v>102.96</v>
      </c>
      <c r="L10" s="50">
        <f>ROUND(ROUND(K10*$G$7,4)*($K$7),0)</f>
        <v>398931</v>
      </c>
      <c r="N10" s="51">
        <v>5101</v>
      </c>
      <c r="O10" s="52">
        <v>101</v>
      </c>
      <c r="Q10" s="53"/>
      <c r="V10" s="404" t="s">
        <v>28</v>
      </c>
      <c r="W10" s="404"/>
      <c r="X10" s="396">
        <f>IF('3961'!K$84=1,'3961'!G10,0)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4.5</v>
      </c>
      <c r="E11" s="13">
        <v>0</v>
      </c>
      <c r="F11" s="13">
        <v>5.81</v>
      </c>
      <c r="G11" s="46">
        <f t="shared" ref="G11:G25" si="2">IF(E11=0,D11*2,D11+E11)</f>
        <v>9</v>
      </c>
      <c r="H11" s="47"/>
      <c r="I11" s="56">
        <f>I10</f>
        <v>1.125</v>
      </c>
      <c r="J11" s="56"/>
      <c r="K11" s="49">
        <f t="shared" ref="K11:K25" si="3">ROUND(G11*I11,4)</f>
        <v>10.125</v>
      </c>
      <c r="L11" s="50">
        <f t="shared" ref="L11:L25" si="4">ROUND(ROUND(K11*$G$7,4)*($K$7),0)</f>
        <v>39231</v>
      </c>
      <c r="M11" s="1" t="str">
        <f>IF(ROUND(G11,2)=ROUND(SUM(G28:G30),2)," ","CHECK 2. PK-3 Lines Below")</f>
        <v xml:space="preserve"> </v>
      </c>
      <c r="N11" s="51">
        <v>5101</v>
      </c>
      <c r="O11" s="57" t="s">
        <v>31</v>
      </c>
      <c r="Q11" s="53"/>
      <c r="V11" s="357" t="s">
        <v>30</v>
      </c>
      <c r="W11" s="357"/>
      <c r="X11" s="396">
        <f>IF('3961'!K$84=1,'3961'!G11,0)</f>
        <v>0</v>
      </c>
      <c r="Y11" s="396"/>
      <c r="Z11" s="397">
        <v>1</v>
      </c>
      <c r="AA11" s="397"/>
      <c r="AB11" s="54">
        <f t="shared" si="0"/>
        <v>0</v>
      </c>
      <c r="AC11" s="55">
        <f t="shared" si="1"/>
        <v>0</v>
      </c>
      <c r="AD11" s="9"/>
    </row>
    <row r="12" spans="1:30" x14ac:dyDescent="0.3">
      <c r="A12" s="1" t="s">
        <v>32</v>
      </c>
      <c r="B12" s="13" t="s">
        <v>33</v>
      </c>
      <c r="C12" s="13"/>
      <c r="D12" s="314">
        <v>60.08</v>
      </c>
      <c r="E12" s="13">
        <v>0</v>
      </c>
      <c r="F12" s="13">
        <v>77.58</v>
      </c>
      <c r="G12" s="46">
        <f t="shared" si="2"/>
        <v>120.16</v>
      </c>
      <c r="H12" s="47"/>
      <c r="I12" s="56">
        <v>1</v>
      </c>
      <c r="J12" s="56"/>
      <c r="K12" s="49">
        <f t="shared" si="3"/>
        <v>120.16</v>
      </c>
      <c r="L12" s="50">
        <f t="shared" si="4"/>
        <v>465575</v>
      </c>
      <c r="N12" s="51">
        <v>5102</v>
      </c>
      <c r="O12" s="52">
        <v>102</v>
      </c>
      <c r="Q12" s="53"/>
      <c r="V12" s="357" t="s">
        <v>33</v>
      </c>
      <c r="W12" s="357"/>
      <c r="X12" s="396">
        <f>IF('3961'!K$84=1,'3961'!G12,0)</f>
        <v>0</v>
      </c>
      <c r="Y12" s="396"/>
      <c r="Z12" s="397">
        <v>1</v>
      </c>
      <c r="AA12" s="397"/>
      <c r="AB12" s="54">
        <f t="shared" si="0"/>
        <v>0</v>
      </c>
      <c r="AC12" s="55">
        <f t="shared" si="1"/>
        <v>0</v>
      </c>
      <c r="AD12" s="9"/>
    </row>
    <row r="13" spans="1:30" x14ac:dyDescent="0.3">
      <c r="A13" s="1" t="s">
        <v>34</v>
      </c>
      <c r="B13" s="13" t="s">
        <v>35</v>
      </c>
      <c r="C13" s="13"/>
      <c r="D13" s="314">
        <v>3.5</v>
      </c>
      <c r="E13" s="13">
        <v>0</v>
      </c>
      <c r="F13" s="13">
        <v>4.46</v>
      </c>
      <c r="G13" s="46">
        <f t="shared" si="2"/>
        <v>7</v>
      </c>
      <c r="H13" s="47"/>
      <c r="I13" s="56">
        <f>I12</f>
        <v>1</v>
      </c>
      <c r="J13" s="56"/>
      <c r="K13" s="49">
        <f t="shared" si="3"/>
        <v>7</v>
      </c>
      <c r="L13" s="50">
        <f t="shared" si="4"/>
        <v>27122</v>
      </c>
      <c r="M13" s="1" t="str">
        <f>IF(ROUND(G13,2)=ROUND(SUM(G31:G33),2)," ","CHECK 2. PK-3 Lines Below")</f>
        <v xml:space="preserve"> </v>
      </c>
      <c r="N13" s="51">
        <v>5102</v>
      </c>
      <c r="O13" s="57" t="s">
        <v>36</v>
      </c>
      <c r="Q13" s="53"/>
      <c r="V13" s="357" t="s">
        <v>35</v>
      </c>
      <c r="W13" s="357"/>
      <c r="X13" s="396">
        <f>IF('3961'!K$84=1,'3961'!G13,0)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IF('3961'!K$84=1,'3961'!G14,0)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IF('3961'!K$84=1,'3961'!G15,0)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IF('3961'!K$84=1,'3961'!G16,0)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IF('3961'!K$84=1,'3961'!G17,0)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IF('3961'!K$84=1,'3961'!G18,0)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IF('3961'!K$84=1,'3961'!G19,0)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IF('3961'!K$84=1,'3961'!G20,0)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IF('3961'!K$84=1,'3961'!G21,0)</f>
        <v>0</v>
      </c>
      <c r="Y21" s="396"/>
      <c r="Z21" s="397">
        <v>1</v>
      </c>
      <c r="AA21" s="397"/>
      <c r="AB21" s="54">
        <f t="shared" si="0"/>
        <v>0</v>
      </c>
      <c r="AC21" s="55">
        <f t="shared" si="1"/>
        <v>0</v>
      </c>
      <c r="AD21" s="9"/>
    </row>
    <row r="22" spans="1:30" ht="15.5" x14ac:dyDescent="0.35">
      <c r="A22" s="1" t="s">
        <v>54</v>
      </c>
      <c r="B22" s="13" t="s">
        <v>55</v>
      </c>
      <c r="C22" s="13"/>
      <c r="D22" s="314">
        <v>2.1800000000000002</v>
      </c>
      <c r="E22" s="13">
        <v>0</v>
      </c>
      <c r="F22" s="13">
        <v>2.73</v>
      </c>
      <c r="G22" s="46">
        <f t="shared" si="2"/>
        <v>4.3600000000000003</v>
      </c>
      <c r="H22" s="47"/>
      <c r="I22" s="56">
        <v>1.145</v>
      </c>
      <c r="J22" s="56"/>
      <c r="K22" s="49">
        <f t="shared" si="3"/>
        <v>4.9922000000000004</v>
      </c>
      <c r="L22" s="50">
        <f t="shared" si="4"/>
        <v>19343</v>
      </c>
      <c r="N22" s="51">
        <v>5101</v>
      </c>
      <c r="O22" s="52">
        <v>130</v>
      </c>
      <c r="Q22" s="53"/>
      <c r="V22" s="357" t="s">
        <v>55</v>
      </c>
      <c r="W22" s="357"/>
      <c r="X22" s="396">
        <f>IF('3961'!K$84=1,'3961'!G22,0)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IF('3961'!K$84=1,'3961'!G23,0)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IF('3961'!K$84=1,'3961'!G24,0)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IF('3961'!K$84=1,'3961'!G25,0)</f>
        <v>0</v>
      </c>
      <c r="Y25" s="396"/>
      <c r="Z25" s="397">
        <v>1</v>
      </c>
      <c r="AA25" s="397"/>
      <c r="AB25" s="54">
        <f t="shared" si="0"/>
        <v>0</v>
      </c>
      <c r="AC25" s="55">
        <f t="shared" si="1"/>
        <v>0</v>
      </c>
      <c r="AD25" s="9"/>
    </row>
    <row r="26" spans="1:30" ht="20.25" customHeight="1" thickBot="1" x14ac:dyDescent="0.35">
      <c r="B26" s="61" t="s">
        <v>62</v>
      </c>
      <c r="C26" s="61"/>
      <c r="D26" s="320">
        <f t="shared" ref="D26:E26" si="5">SUM(D10:D25)</f>
        <v>116.02000000000001</v>
      </c>
      <c r="E26" s="62">
        <f t="shared" si="5"/>
        <v>0</v>
      </c>
      <c r="F26" s="62"/>
      <c r="G26" s="62">
        <f>SUM(G10:G25)</f>
        <v>232.04000000000002</v>
      </c>
      <c r="H26" s="63"/>
      <c r="I26" s="63"/>
      <c r="J26" s="64"/>
      <c r="K26" s="65">
        <f>SUM(K10:K25)</f>
        <v>245.2372</v>
      </c>
      <c r="L26" s="66">
        <f>SUM(L10:L25)</f>
        <v>950202</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4.5</v>
      </c>
      <c r="E28" s="13">
        <v>0</v>
      </c>
      <c r="F28" s="78">
        <v>3.5</v>
      </c>
      <c r="G28" s="46">
        <f>IF(E28=0,D28*2,D28+E28)</f>
        <v>9</v>
      </c>
      <c r="H28" s="79"/>
      <c r="I28" s="80" t="s">
        <v>70</v>
      </c>
      <c r="J28" s="51">
        <v>251</v>
      </c>
      <c r="K28" s="81">
        <v>1047</v>
      </c>
      <c r="L28" s="82">
        <f>ROUND(G28*K28,0)</f>
        <v>9423</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3.5</v>
      </c>
      <c r="E31" s="13">
        <v>0</v>
      </c>
      <c r="F31" s="89">
        <v>3</v>
      </c>
      <c r="G31" s="46">
        <f t="shared" si="7"/>
        <v>7</v>
      </c>
      <c r="H31" s="79"/>
      <c r="I31" s="90" t="s">
        <v>74</v>
      </c>
      <c r="J31" s="51">
        <v>251</v>
      </c>
      <c r="K31" s="81">
        <v>1173</v>
      </c>
      <c r="L31" s="82">
        <f t="shared" si="8"/>
        <v>8211</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8</v>
      </c>
      <c r="E37" s="62">
        <f t="shared" si="10"/>
        <v>0</v>
      </c>
      <c r="F37" s="62"/>
      <c r="G37" s="62">
        <f>SUM(G28:G36)</f>
        <v>16</v>
      </c>
      <c r="H37" s="63"/>
      <c r="I37" s="13" t="s">
        <v>82</v>
      </c>
      <c r="J37" s="13"/>
      <c r="K37" s="13"/>
      <c r="L37" s="50">
        <f>SUM(L28:L36)</f>
        <v>17634</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44552</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1012388</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118.07719999999999</v>
      </c>
      <c r="D47" s="329"/>
      <c r="E47" s="121"/>
      <c r="F47" s="121"/>
      <c r="G47" s="122">
        <f>K7</f>
        <v>1.0326</v>
      </c>
      <c r="H47" s="122"/>
      <c r="I47" s="123">
        <v>1316.85</v>
      </c>
      <c r="J47" s="124" t="s">
        <v>97</v>
      </c>
      <c r="K47" s="125">
        <f>ROUND(C47*G47*I47,0)</f>
        <v>160559</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127.16</v>
      </c>
      <c r="D48" s="329"/>
      <c r="E48" s="121"/>
      <c r="F48" s="121"/>
      <c r="G48" s="122">
        <f>K7</f>
        <v>1.0326</v>
      </c>
      <c r="H48" s="122"/>
      <c r="I48" s="123">
        <v>898.23</v>
      </c>
      <c r="J48" s="124" t="s">
        <v>97</v>
      </c>
      <c r="K48" s="125">
        <f>ROUND(C48*G48*I48,0)</f>
        <v>117942</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329"/>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245.23719999999997</v>
      </c>
      <c r="D50" s="330"/>
      <c r="E50" s="145"/>
      <c r="F50" s="145"/>
      <c r="G50" s="146" t="s">
        <v>99</v>
      </c>
      <c r="H50" s="146"/>
      <c r="I50" s="146"/>
      <c r="J50" s="146"/>
      <c r="K50" s="146"/>
      <c r="L50" s="50">
        <f>IF(B2=75,0,K49+K48+K47)</f>
        <v>278501</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245.2372</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1.2700000000000001E-3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232.04000000000002</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1.2930000000000001E-3</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1.2700000000000001E-3</v>
      </c>
      <c r="L59" s="50">
        <f>ROUND(I59*K59,0)</f>
        <v>5236</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1.2700000000000001E-3</v>
      </c>
      <c r="L67" s="50">
        <f>ROUND(I67*K67,0)</f>
        <v>122904</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1.2930000000000001E-3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1.2700000000000001E-3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1.2700000000000001E-3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1.2930000000000001E-3</v>
      </c>
      <c r="L72" s="50">
        <f>ROUND(I72*K72,0)</f>
        <v>18254</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33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33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1.2700000000000001E-3</v>
      </c>
      <c r="L77" s="50">
        <f>ROUND(I77*K77,0)</f>
        <v>41552</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1.2700000000000001E-3</v>
      </c>
      <c r="L78" s="50">
        <f>ROUND(I78*K78,0)</f>
        <v>849</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314"/>
      <c r="E82" s="13"/>
      <c r="F82" s="13"/>
      <c r="G82" s="13"/>
      <c r="H82" s="13"/>
      <c r="I82" s="13"/>
      <c r="J82" s="13"/>
      <c r="K82" s="13"/>
      <c r="L82" s="196">
        <f>SUM(L44:L81)</f>
        <v>1479684</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'3961'!AC81</f>
        <v>0</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1479684</v>
      </c>
      <c r="L86" s="82">
        <f>IF(G26=0,0,IF(G26&gt;250,-(((250/G26)*K86)*IF(M86="H",0.02,0.05)),IF(M86="H",-0.02*K86,-0.05*K86)))</f>
        <v>-73984.2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1405699.8</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646923</v>
      </c>
      <c r="G89" s="13"/>
      <c r="H89" s="13"/>
      <c r="I89" s="13"/>
      <c r="J89" s="13"/>
      <c r="K89" s="206"/>
      <c r="L89" s="82">
        <v>-899849</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505850.80000000005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126462.70000000001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317</v>
      </c>
      <c r="C123" s="219" t="s">
        <v>200</v>
      </c>
    </row>
    <row r="124" spans="2:3" ht="15.5" hidden="1" x14ac:dyDescent="0.35">
      <c r="B124" s="223" t="s">
        <v>318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41646.469409722202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51"/>
  <sheetViews>
    <sheetView topLeftCell="B80" zoomScale="90" zoomScaleNormal="90" workbookViewId="0">
      <selection activeCell="L92" sqref="L92"/>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'3971'!B2</f>
        <v>50</v>
      </c>
      <c r="W2" s="413" t="s">
        <v>4</v>
      </c>
      <c r="X2" s="414"/>
      <c r="Y2" s="415"/>
      <c r="Z2" s="415"/>
      <c r="AA2" s="415"/>
      <c r="AB2" s="415"/>
      <c r="AC2" s="415"/>
      <c r="AD2" s="9"/>
    </row>
    <row r="3" spans="1:30" ht="20" x14ac:dyDescent="0.4">
      <c r="B3" s="10" t="str">
        <f>"Revenue Estimate Worksheet for "&amp;B124</f>
        <v>Revenue Estimate Worksheet for Mavericks HS of Palm Springs</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'3971'!G7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IF('3971'!K$84=1,'3971'!G10,0)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IF('3971'!K$84=1,'3971'!G11,0)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IF('3971'!K$84=1,'3971'!G12,0)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IF('3971'!K$84=1,'3971'!G13,0)</f>
        <v>0</v>
      </c>
      <c r="Y13" s="396"/>
      <c r="Z13" s="397">
        <v>1</v>
      </c>
      <c r="AA13" s="397"/>
      <c r="AB13" s="54">
        <f t="shared" si="0"/>
        <v>0</v>
      </c>
      <c r="AC13" s="55">
        <f t="shared" si="1"/>
        <v>0</v>
      </c>
      <c r="AD13" s="9"/>
    </row>
    <row r="14" spans="1:30" x14ac:dyDescent="0.3">
      <c r="A14" s="1" t="s">
        <v>37</v>
      </c>
      <c r="B14" s="13" t="s">
        <v>38</v>
      </c>
      <c r="C14" s="13"/>
      <c r="D14" s="13">
        <v>203.29</v>
      </c>
      <c r="E14" s="13">
        <v>0</v>
      </c>
      <c r="F14" s="13">
        <v>204.7</v>
      </c>
      <c r="G14" s="46">
        <f t="shared" si="2"/>
        <v>406.58</v>
      </c>
      <c r="H14" s="47"/>
      <c r="I14" s="56">
        <v>1.0109999999999999</v>
      </c>
      <c r="J14" s="56"/>
      <c r="K14" s="49">
        <f t="shared" si="3"/>
        <v>411.05239999999998</v>
      </c>
      <c r="L14" s="50">
        <f t="shared" si="4"/>
        <v>1592674</v>
      </c>
      <c r="N14" s="51">
        <v>5103</v>
      </c>
      <c r="O14" s="52">
        <v>103</v>
      </c>
      <c r="Q14" s="53"/>
      <c r="V14" s="357" t="s">
        <v>38</v>
      </c>
      <c r="W14" s="357"/>
      <c r="X14" s="396">
        <f>IF('3971'!K$84=1,'3971'!G14,0)</f>
        <v>0</v>
      </c>
      <c r="Y14" s="396"/>
      <c r="Z14" s="397">
        <v>1</v>
      </c>
      <c r="AA14" s="397"/>
      <c r="AB14" s="54">
        <f t="shared" si="0"/>
        <v>0</v>
      </c>
      <c r="AC14" s="55">
        <f t="shared" si="1"/>
        <v>0</v>
      </c>
      <c r="AD14" s="9"/>
    </row>
    <row r="15" spans="1:30" x14ac:dyDescent="0.3">
      <c r="A15" s="1" t="s">
        <v>39</v>
      </c>
      <c r="B15" s="13" t="s">
        <v>40</v>
      </c>
      <c r="C15" s="13"/>
      <c r="D15" s="13">
        <v>44.84</v>
      </c>
      <c r="E15" s="13">
        <v>0</v>
      </c>
      <c r="F15" s="13">
        <v>46.89</v>
      </c>
      <c r="G15" s="46">
        <f t="shared" si="2"/>
        <v>89.68</v>
      </c>
      <c r="H15" s="47"/>
      <c r="I15" s="56">
        <f>I14</f>
        <v>1.0109999999999999</v>
      </c>
      <c r="J15" s="56"/>
      <c r="K15" s="49">
        <f t="shared" si="3"/>
        <v>90.666499999999999</v>
      </c>
      <c r="L15" s="58">
        <f t="shared" si="4"/>
        <v>351299</v>
      </c>
      <c r="M15" s="1" t="str">
        <f>IF(ROUND(G15,2)=ROUND(SUM(G34:G36),2)," ","CHECK 2. PK-3 Lines Below")</f>
        <v xml:space="preserve"> </v>
      </c>
      <c r="N15" s="51">
        <v>5103</v>
      </c>
      <c r="O15" s="57" t="s">
        <v>41</v>
      </c>
      <c r="Q15" s="53"/>
      <c r="V15" s="357" t="s">
        <v>40</v>
      </c>
      <c r="W15" s="357"/>
      <c r="X15" s="396">
        <f>IF('3971'!K$84=1,'3971'!G15,0)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IF('3971'!K$84=1,'3971'!G16,0)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IF('3971'!K$84=1,'3971'!G17,0)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IF('3971'!K$84=1,'3971'!G18,0)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IF('3971'!K$84=1,'3971'!G19,0)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IF('3971'!K$84=1,'3971'!G20,0)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IF('3971'!K$84=1,'3971'!G21,0)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IF('3971'!K$84=1,'3971'!G22,0)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IF('3971'!K$84=1,'3971'!G23,0)</f>
        <v>0</v>
      </c>
      <c r="Y23" s="396"/>
      <c r="Z23" s="397">
        <v>1</v>
      </c>
      <c r="AA23" s="397"/>
      <c r="AB23" s="54">
        <f t="shared" si="0"/>
        <v>0</v>
      </c>
      <c r="AC23" s="55">
        <f t="shared" si="1"/>
        <v>0</v>
      </c>
      <c r="AD23" s="9"/>
    </row>
    <row r="24" spans="1:30" ht="15.5" x14ac:dyDescent="0.35">
      <c r="A24" s="1" t="s">
        <v>58</v>
      </c>
      <c r="B24" s="13" t="s">
        <v>59</v>
      </c>
      <c r="C24" s="13"/>
      <c r="D24" s="13">
        <v>3.7</v>
      </c>
      <c r="E24" s="13">
        <v>0</v>
      </c>
      <c r="F24" s="13">
        <v>3.7</v>
      </c>
      <c r="G24" s="46">
        <f t="shared" si="2"/>
        <v>7.4</v>
      </c>
      <c r="H24" s="47"/>
      <c r="I24" s="56">
        <f>I23</f>
        <v>1.145</v>
      </c>
      <c r="J24" s="56"/>
      <c r="K24" s="49">
        <f t="shared" si="3"/>
        <v>8.4730000000000008</v>
      </c>
      <c r="L24" s="50">
        <f t="shared" si="4"/>
        <v>32830</v>
      </c>
      <c r="N24" s="51">
        <v>5103</v>
      </c>
      <c r="O24" s="52">
        <v>130</v>
      </c>
      <c r="Q24" s="53"/>
      <c r="V24" s="357" t="s">
        <v>59</v>
      </c>
      <c r="W24" s="357"/>
      <c r="X24" s="396">
        <f>IF('3971'!K$84=1,'3971'!G24,0)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IF('3971'!K$84=1,'3971'!G25,0)</f>
        <v>0</v>
      </c>
      <c r="Y25" s="396"/>
      <c r="Z25" s="397">
        <v>1</v>
      </c>
      <c r="AA25" s="397"/>
      <c r="AB25" s="54">
        <f t="shared" si="0"/>
        <v>0</v>
      </c>
      <c r="AC25" s="55">
        <f t="shared" si="1"/>
        <v>0</v>
      </c>
      <c r="AD25" s="9"/>
    </row>
    <row r="26" spans="1:30" ht="20.25" customHeight="1" thickBot="1" x14ac:dyDescent="0.35">
      <c r="B26" s="61" t="s">
        <v>62</v>
      </c>
      <c r="C26" s="61"/>
      <c r="D26" s="62">
        <f t="shared" ref="D26:E26" si="5">SUM(D10:D25)</f>
        <v>251.82999999999998</v>
      </c>
      <c r="E26" s="62">
        <f t="shared" si="5"/>
        <v>0</v>
      </c>
      <c r="F26" s="62"/>
      <c r="G26" s="62">
        <f>SUM(G10:G25)</f>
        <v>503.65999999999997</v>
      </c>
      <c r="H26" s="63"/>
      <c r="I26" s="63"/>
      <c r="J26" s="64"/>
      <c r="K26" s="65">
        <f>SUM(K10:K25)</f>
        <v>510.19189999999998</v>
      </c>
      <c r="L26" s="66">
        <f>SUM(L10:L25)</f>
        <v>1976803</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43.34</v>
      </c>
      <c r="E34" s="13">
        <v>0</v>
      </c>
      <c r="F34" s="89">
        <v>37</v>
      </c>
      <c r="G34" s="46">
        <f t="shared" si="7"/>
        <v>86.68</v>
      </c>
      <c r="H34" s="79"/>
      <c r="I34" s="90" t="s">
        <v>78</v>
      </c>
      <c r="J34" s="51">
        <v>251</v>
      </c>
      <c r="K34" s="81">
        <v>835</v>
      </c>
      <c r="L34" s="82">
        <f t="shared" si="8"/>
        <v>72378</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1.5</v>
      </c>
      <c r="E35" s="13">
        <v>0</v>
      </c>
      <c r="F35" s="89">
        <v>1.5</v>
      </c>
      <c r="G35" s="46">
        <f t="shared" si="7"/>
        <v>3</v>
      </c>
      <c r="H35" s="79"/>
      <c r="I35" s="90" t="s">
        <v>78</v>
      </c>
      <c r="J35" s="51">
        <v>252</v>
      </c>
      <c r="K35" s="81">
        <v>3168</v>
      </c>
      <c r="L35" s="82">
        <f t="shared" si="8"/>
        <v>9504</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44.84</v>
      </c>
      <c r="E37" s="62">
        <f t="shared" si="10"/>
        <v>0</v>
      </c>
      <c r="F37" s="62"/>
      <c r="G37" s="62">
        <f>SUM(G28:G36)</f>
        <v>89.68</v>
      </c>
      <c r="H37" s="63"/>
      <c r="I37" s="13" t="s">
        <v>82</v>
      </c>
      <c r="J37" s="13"/>
      <c r="K37" s="13"/>
      <c r="L37" s="50">
        <f>SUM(L28:L36)</f>
        <v>81882</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96703</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2155388</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510.19189999999998</v>
      </c>
      <c r="D49" s="121"/>
      <c r="E49" s="121"/>
      <c r="F49" s="121"/>
      <c r="G49" s="122">
        <f>K7</f>
        <v>1.0326</v>
      </c>
      <c r="H49" s="122"/>
      <c r="I49" s="123">
        <v>900.39</v>
      </c>
      <c r="J49" s="124" t="s">
        <v>97</v>
      </c>
      <c r="K49" s="125">
        <f>ROUND(C49*G49*I49,0)</f>
        <v>474347</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510.19189999999998</v>
      </c>
      <c r="D50" s="144"/>
      <c r="E50" s="145"/>
      <c r="F50" s="145"/>
      <c r="G50" s="146" t="s">
        <v>99</v>
      </c>
      <c r="H50" s="146"/>
      <c r="I50" s="146"/>
      <c r="J50" s="146"/>
      <c r="K50" s="146"/>
      <c r="L50" s="50">
        <f>IF(B2=75,0,K49+K48+K47)</f>
        <v>474347</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510.19189999999998</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2.6419999999999998E-3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503.65999999999997</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2.8080000000000002E-3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2.6419999999999998E-3</v>
      </c>
      <c r="L59" s="50">
        <f>ROUND(I59*K59,0)</f>
        <v>10893</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2.6419999999999998E-3</v>
      </c>
      <c r="L67" s="50">
        <f>ROUND(I67*K67,0)</f>
        <v>255678</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2.8080000000000002E-3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2.6419999999999998E-3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2.6419999999999998E-3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2.8080000000000002E-3</v>
      </c>
      <c r="L72" s="50">
        <f>ROUND(I72*K72,0)</f>
        <v>39641</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351</v>
      </c>
      <c r="AA74" s="171" t="s">
        <v>129</v>
      </c>
      <c r="AB74" s="172">
        <f>+K75</f>
        <v>360</v>
      </c>
      <c r="AC74" s="55">
        <f>ROUND(AB74*Z74,0)</f>
        <v>126360</v>
      </c>
      <c r="AD74" s="9"/>
    </row>
    <row r="75" spans="1:30" ht="19.5" customHeight="1" x14ac:dyDescent="0.3">
      <c r="A75" s="1" t="s">
        <v>130</v>
      </c>
      <c r="B75" s="173" t="s">
        <v>127</v>
      </c>
      <c r="C75" s="174" t="s">
        <v>128</v>
      </c>
      <c r="D75" s="173">
        <v>351</v>
      </c>
      <c r="E75" s="173">
        <v>0</v>
      </c>
      <c r="F75" s="173">
        <v>0</v>
      </c>
      <c r="G75" s="175">
        <f>IF(E75=0,D75,E75)</f>
        <v>351</v>
      </c>
      <c r="H75" s="176"/>
      <c r="I75" s="177">
        <f>AVERAGE(G75,D75)</f>
        <v>351</v>
      </c>
      <c r="J75" s="178" t="s">
        <v>129</v>
      </c>
      <c r="K75" s="179">
        <v>360</v>
      </c>
      <c r="L75" s="50">
        <f>ROUND(K75*I75,0)</f>
        <v>126360</v>
      </c>
      <c r="N75" s="1">
        <v>7802</v>
      </c>
      <c r="O75" s="1">
        <v>0</v>
      </c>
      <c r="V75" s="358" t="s">
        <v>127</v>
      </c>
      <c r="W75" s="358"/>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2.6419999999999998E-3</v>
      </c>
      <c r="L77" s="50">
        <f>ROUND(I77*K77,0)</f>
        <v>86442</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2.6419999999999998E-3</v>
      </c>
      <c r="L78" s="50">
        <f>ROUND(I78*K78,0)</f>
        <v>1767</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127715</v>
      </c>
      <c r="AD81" s="195"/>
    </row>
    <row r="82" spans="1:30" ht="22.5" customHeight="1" thickTop="1" thickBot="1" x14ac:dyDescent="0.35">
      <c r="B82" s="13" t="s">
        <v>141</v>
      </c>
      <c r="C82" s="13"/>
      <c r="D82" s="13"/>
      <c r="E82" s="13"/>
      <c r="F82" s="13"/>
      <c r="G82" s="13"/>
      <c r="H82" s="13"/>
      <c r="I82" s="13"/>
      <c r="J82" s="13"/>
      <c r="K82" s="13"/>
      <c r="L82" s="196">
        <f>SUM(L44:L81)</f>
        <v>3151871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306"/>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'3971'!AC81</f>
        <v>127715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3151871</v>
      </c>
      <c r="L86" s="82">
        <f>IF(G26=0,0,IF(G26&gt;250,-(((250/G26)*K86)*IF(M86="H",0.02,0.05)),IF(M86="H",-0.02*K86,-0.05*K86)))</f>
        <v>-78224.174045983411</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3073646.8259540168</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1330538</v>
      </c>
      <c r="G89" s="13"/>
      <c r="H89" s="13"/>
      <c r="I89" s="13"/>
      <c r="J89" s="13"/>
      <c r="K89" s="206"/>
      <c r="L89" s="82">
        <v>-1911528</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1162118.8259540168</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290529.70648850419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79369.375954016607</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319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320</v>
      </c>
      <c r="C123" s="219" t="s">
        <v>200</v>
      </c>
    </row>
    <row r="124" spans="2:3" ht="15.5" hidden="1" x14ac:dyDescent="0.35">
      <c r="B124" s="223" t="s">
        <v>321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41646.4694212963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AD151"/>
  <sheetViews>
    <sheetView topLeftCell="B86"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'4000'!B2</f>
        <v>50</v>
      </c>
      <c r="W2" s="413" t="s">
        <v>4</v>
      </c>
      <c r="X2" s="414"/>
      <c r="Y2" s="415"/>
      <c r="Z2" s="415"/>
      <c r="AA2" s="415"/>
      <c r="AB2" s="415"/>
      <c r="AC2" s="415"/>
      <c r="AD2" s="9"/>
    </row>
    <row r="3" spans="1:30" ht="20" x14ac:dyDescent="0.4">
      <c r="B3" s="10" t="str">
        <f>"Revenue Estimate Worksheet for "&amp;B124</f>
        <v>Revenue Estimate Worksheet for Renaissance Cht SchPalmsWest</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'4000'!G7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174.39</v>
      </c>
      <c r="E10" s="45">
        <v>0</v>
      </c>
      <c r="F10" s="45">
        <v>228.55</v>
      </c>
      <c r="G10" s="46">
        <f>IF(E10=0,D10*2,D10+E10)</f>
        <v>348.78</v>
      </c>
      <c r="H10" s="47"/>
      <c r="I10" s="48">
        <v>1.125</v>
      </c>
      <c r="J10" s="48"/>
      <c r="K10" s="49">
        <f>ROUND(G10*I10,4)</f>
        <v>392.3775</v>
      </c>
      <c r="L10" s="50">
        <f>ROUND(ROUND(K10*$G$7,4)*($K$7),0)</f>
        <v>1520316</v>
      </c>
      <c r="N10" s="51">
        <v>5101</v>
      </c>
      <c r="O10" s="52">
        <v>101</v>
      </c>
      <c r="Q10" s="53"/>
      <c r="V10" s="404" t="s">
        <v>28</v>
      </c>
      <c r="W10" s="404"/>
      <c r="X10" s="396">
        <f>IF('4000'!K$84=1,'4000'!G10,0)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25.27</v>
      </c>
      <c r="E11" s="13">
        <v>0</v>
      </c>
      <c r="F11" s="13">
        <v>34.76</v>
      </c>
      <c r="G11" s="46">
        <f t="shared" ref="G11:G25" si="2">IF(E11=0,D11*2,D11+E11)</f>
        <v>50.54</v>
      </c>
      <c r="H11" s="47"/>
      <c r="I11" s="56">
        <f>I10</f>
        <v>1.125</v>
      </c>
      <c r="J11" s="56"/>
      <c r="K11" s="49">
        <f t="shared" ref="K11:K25" si="3">ROUND(G11*I11,4)</f>
        <v>56.857500000000002</v>
      </c>
      <c r="L11" s="50">
        <f t="shared" ref="L11:L25" si="4">ROUND(ROUND(K11*$G$7,4)*($K$7),0)</f>
        <v>220301</v>
      </c>
      <c r="M11" s="1" t="str">
        <f>IF(ROUND(G11,2)=ROUND(SUM(G28:G30),2)," ","CHECK 2. PK-3 Lines Below")</f>
        <v xml:space="preserve"> </v>
      </c>
      <c r="N11" s="51">
        <v>5101</v>
      </c>
      <c r="O11" s="57" t="s">
        <v>31</v>
      </c>
      <c r="Q11" s="53"/>
      <c r="V11" s="357" t="s">
        <v>30</v>
      </c>
      <c r="W11" s="357"/>
      <c r="X11" s="396">
        <f>IF('4000'!K$84=1,'4000'!G11,0)</f>
        <v>0</v>
      </c>
      <c r="Y11" s="396"/>
      <c r="Z11" s="397">
        <v>1</v>
      </c>
      <c r="AA11" s="397"/>
      <c r="AB11" s="54">
        <f t="shared" si="0"/>
        <v>0</v>
      </c>
      <c r="AC11" s="55">
        <f t="shared" si="1"/>
        <v>0</v>
      </c>
      <c r="AD11" s="9"/>
    </row>
    <row r="12" spans="1:30" x14ac:dyDescent="0.3">
      <c r="A12" s="1" t="s">
        <v>32</v>
      </c>
      <c r="B12" s="13" t="s">
        <v>33</v>
      </c>
      <c r="C12" s="13"/>
      <c r="D12" s="314">
        <v>109.34</v>
      </c>
      <c r="E12" s="13">
        <v>0</v>
      </c>
      <c r="F12" s="13">
        <v>142.32</v>
      </c>
      <c r="G12" s="46">
        <f t="shared" si="2"/>
        <v>218.68</v>
      </c>
      <c r="H12" s="47"/>
      <c r="I12" s="56">
        <v>1</v>
      </c>
      <c r="J12" s="56"/>
      <c r="K12" s="49">
        <f t="shared" si="3"/>
        <v>218.68</v>
      </c>
      <c r="L12" s="50">
        <f t="shared" si="4"/>
        <v>847303</v>
      </c>
      <c r="N12" s="51">
        <v>5102</v>
      </c>
      <c r="O12" s="52">
        <v>102</v>
      </c>
      <c r="Q12" s="53"/>
      <c r="V12" s="357" t="s">
        <v>33</v>
      </c>
      <c r="W12" s="357"/>
      <c r="X12" s="396">
        <f>IF('4000'!K$84=1,'4000'!G12,0)</f>
        <v>0</v>
      </c>
      <c r="Y12" s="396"/>
      <c r="Z12" s="397">
        <v>1</v>
      </c>
      <c r="AA12" s="397"/>
      <c r="AB12" s="54">
        <f t="shared" si="0"/>
        <v>0</v>
      </c>
      <c r="AC12" s="55">
        <f t="shared" si="1"/>
        <v>0</v>
      </c>
      <c r="AD12" s="9"/>
    </row>
    <row r="13" spans="1:30" x14ac:dyDescent="0.3">
      <c r="A13" s="1" t="s">
        <v>34</v>
      </c>
      <c r="B13" s="13" t="s">
        <v>35</v>
      </c>
      <c r="C13" s="13"/>
      <c r="D13" s="314">
        <v>26.5</v>
      </c>
      <c r="E13" s="13">
        <v>0</v>
      </c>
      <c r="F13" s="13">
        <v>36.840000000000003</v>
      </c>
      <c r="G13" s="46">
        <f t="shared" si="2"/>
        <v>53</v>
      </c>
      <c r="H13" s="47"/>
      <c r="I13" s="56">
        <f>I12</f>
        <v>1</v>
      </c>
      <c r="J13" s="56"/>
      <c r="K13" s="49">
        <f t="shared" si="3"/>
        <v>53</v>
      </c>
      <c r="L13" s="50">
        <f t="shared" si="4"/>
        <v>205355</v>
      </c>
      <c r="M13" s="1" t="str">
        <f>IF(ROUND(G13,2)=ROUND(SUM(G31:G33),2)," ","CHECK 2. PK-3 Lines Below")</f>
        <v xml:space="preserve"> </v>
      </c>
      <c r="N13" s="51">
        <v>5102</v>
      </c>
      <c r="O13" s="57" t="s">
        <v>36</v>
      </c>
      <c r="Q13" s="53"/>
      <c r="V13" s="357" t="s">
        <v>35</v>
      </c>
      <c r="W13" s="357"/>
      <c r="X13" s="396">
        <f>IF('4000'!K$84=1,'4000'!G13,0)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IF('4000'!K$84=1,'4000'!G14,0)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IF('4000'!K$84=1,'4000'!G15,0)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IF('4000'!K$84=1,'4000'!G16,0)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IF('4000'!K$84=1,'4000'!G17,0)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IF('4000'!K$84=1,'4000'!G18,0)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IF('4000'!K$84=1,'4000'!G19,0)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IF('4000'!K$84=1,'4000'!G20,0)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IF('4000'!K$84=1,'4000'!G21,0)</f>
        <v>0</v>
      </c>
      <c r="Y21" s="396"/>
      <c r="Z21" s="397">
        <v>1</v>
      </c>
      <c r="AA21" s="397"/>
      <c r="AB21" s="54">
        <f t="shared" si="0"/>
        <v>0</v>
      </c>
      <c r="AC21" s="55">
        <f t="shared" si="1"/>
        <v>0</v>
      </c>
      <c r="AD21" s="9"/>
    </row>
    <row r="22" spans="1:30" ht="15.5" x14ac:dyDescent="0.35">
      <c r="A22" s="1" t="s">
        <v>54</v>
      </c>
      <c r="B22" s="13" t="s">
        <v>55</v>
      </c>
      <c r="C22" s="13"/>
      <c r="D22" s="314">
        <v>10.050000000000001</v>
      </c>
      <c r="E22" s="13">
        <v>0</v>
      </c>
      <c r="F22" s="13">
        <v>13.05</v>
      </c>
      <c r="G22" s="46">
        <f t="shared" si="2"/>
        <v>20.100000000000001</v>
      </c>
      <c r="H22" s="47"/>
      <c r="I22" s="56">
        <v>1.145</v>
      </c>
      <c r="J22" s="56"/>
      <c r="K22" s="49">
        <f t="shared" si="3"/>
        <v>23.014500000000002</v>
      </c>
      <c r="L22" s="50">
        <f t="shared" si="4"/>
        <v>89173</v>
      </c>
      <c r="N22" s="51">
        <v>5101</v>
      </c>
      <c r="O22" s="52">
        <v>130</v>
      </c>
      <c r="Q22" s="53"/>
      <c r="V22" s="357" t="s">
        <v>55</v>
      </c>
      <c r="W22" s="357"/>
      <c r="X22" s="396">
        <f>IF('4000'!K$84=1,'4000'!G22,0)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IF('4000'!K$84=1,'4000'!G23,0)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IF('4000'!K$84=1,'4000'!G24,0)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IF('4000'!K$84=1,'4000'!G25,0)</f>
        <v>0</v>
      </c>
      <c r="Y25" s="396"/>
      <c r="Z25" s="397">
        <v>1</v>
      </c>
      <c r="AA25" s="397"/>
      <c r="AB25" s="54">
        <f t="shared" si="0"/>
        <v>0</v>
      </c>
      <c r="AC25" s="55">
        <f t="shared" si="1"/>
        <v>0</v>
      </c>
      <c r="AD25" s="9"/>
    </row>
    <row r="26" spans="1:30" ht="20.25" customHeight="1" thickBot="1" x14ac:dyDescent="0.35">
      <c r="B26" s="61" t="s">
        <v>62</v>
      </c>
      <c r="C26" s="61"/>
      <c r="D26" s="320">
        <f t="shared" ref="D26:E26" si="5">SUM(D10:D25)</f>
        <v>345.55</v>
      </c>
      <c r="E26" s="62">
        <f t="shared" si="5"/>
        <v>0</v>
      </c>
      <c r="F26" s="62"/>
      <c r="G26" s="62">
        <f>SUM(G10:G25)</f>
        <v>691.1</v>
      </c>
      <c r="H26" s="63"/>
      <c r="I26" s="63"/>
      <c r="J26" s="64"/>
      <c r="K26" s="65">
        <f>SUM(K10:K25)</f>
        <v>743.92949999999996</v>
      </c>
      <c r="L26" s="66">
        <f>SUM(L10:L25)</f>
        <v>2882448</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25.27</v>
      </c>
      <c r="E28" s="13">
        <v>0</v>
      </c>
      <c r="F28" s="78">
        <v>0</v>
      </c>
      <c r="G28" s="46">
        <f>IF(E28=0,D28*2,D28+E28)</f>
        <v>50.54</v>
      </c>
      <c r="H28" s="79"/>
      <c r="I28" s="80" t="s">
        <v>70</v>
      </c>
      <c r="J28" s="51">
        <v>251</v>
      </c>
      <c r="K28" s="81">
        <v>1047</v>
      </c>
      <c r="L28" s="82">
        <f>ROUND(G28*K28,0)</f>
        <v>52915</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26.5</v>
      </c>
      <c r="E31" s="13">
        <v>0</v>
      </c>
      <c r="F31" s="89">
        <v>0</v>
      </c>
      <c r="G31" s="46">
        <f t="shared" si="7"/>
        <v>53</v>
      </c>
      <c r="H31" s="79"/>
      <c r="I31" s="90" t="s">
        <v>74</v>
      </c>
      <c r="J31" s="51">
        <v>251</v>
      </c>
      <c r="K31" s="81">
        <v>1173</v>
      </c>
      <c r="L31" s="82">
        <f t="shared" si="8"/>
        <v>62169</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51.769999999999996</v>
      </c>
      <c r="E37" s="62">
        <f t="shared" si="10"/>
        <v>0</v>
      </c>
      <c r="F37" s="62"/>
      <c r="G37" s="62">
        <f>SUM(G28:G36)</f>
        <v>103.53999999999999</v>
      </c>
      <c r="H37" s="63"/>
      <c r="I37" s="13" t="s">
        <v>82</v>
      </c>
      <c r="J37" s="13"/>
      <c r="K37" s="13"/>
      <c r="L37" s="50">
        <f>SUM(L28:L36)</f>
        <v>115084</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132691</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3130223</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472.24950000000001</v>
      </c>
      <c r="D47" s="329"/>
      <c r="E47" s="121"/>
      <c r="F47" s="121"/>
      <c r="G47" s="122">
        <f>K7</f>
        <v>1.0326</v>
      </c>
      <c r="H47" s="122"/>
      <c r="I47" s="123">
        <v>1316.85</v>
      </c>
      <c r="J47" s="124" t="s">
        <v>97</v>
      </c>
      <c r="K47" s="125">
        <f>ROUND(C47*G47*I47,0)</f>
        <v>642155</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271.68</v>
      </c>
      <c r="D48" s="329"/>
      <c r="E48" s="121"/>
      <c r="F48" s="121"/>
      <c r="G48" s="122">
        <f>K7</f>
        <v>1.0326</v>
      </c>
      <c r="H48" s="122"/>
      <c r="I48" s="123">
        <v>898.23</v>
      </c>
      <c r="J48" s="124" t="s">
        <v>97</v>
      </c>
      <c r="K48" s="125">
        <f>ROUND(C48*G48*I48,0)</f>
        <v>251987</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329"/>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743.92949999999996</v>
      </c>
      <c r="D50" s="330"/>
      <c r="E50" s="145"/>
      <c r="F50" s="145"/>
      <c r="G50" s="146" t="s">
        <v>99</v>
      </c>
      <c r="H50" s="146"/>
      <c r="I50" s="146"/>
      <c r="J50" s="146"/>
      <c r="K50" s="146"/>
      <c r="L50" s="50">
        <f>IF(B2=75,0,K49+K48+K47)</f>
        <v>894142</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743.92949999999996</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3.852E-3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691.1</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3.852E-3</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3.852E-3</v>
      </c>
      <c r="L59" s="50">
        <f>ROUND(I59*K59,0)</f>
        <v>15881</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3.852E-3</v>
      </c>
      <c r="L67" s="50">
        <f>ROUND(I67*K67,0)</f>
        <v>372775</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3.852E-3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3.852E-3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3.852E-3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3.852E-3</v>
      </c>
      <c r="L72" s="50">
        <f>ROUND(I72*K72,0)</f>
        <v>54380</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15</v>
      </c>
      <c r="AA74" s="171" t="s">
        <v>129</v>
      </c>
      <c r="AB74" s="172">
        <f>+K75</f>
        <v>360</v>
      </c>
      <c r="AC74" s="55">
        <f>ROUND(AB74*Z74,0)</f>
        <v>5400</v>
      </c>
      <c r="AD74" s="9"/>
    </row>
    <row r="75" spans="1:30" ht="19.5" customHeight="1" x14ac:dyDescent="0.3">
      <c r="A75" s="1" t="s">
        <v>130</v>
      </c>
      <c r="B75" s="173" t="s">
        <v>127</v>
      </c>
      <c r="C75" s="174" t="s">
        <v>128</v>
      </c>
      <c r="D75" s="333">
        <v>15</v>
      </c>
      <c r="E75" s="173">
        <v>0</v>
      </c>
      <c r="F75" s="173">
        <v>0</v>
      </c>
      <c r="G75" s="175">
        <f>IF(E75=0,D75,E75)</f>
        <v>15</v>
      </c>
      <c r="H75" s="176"/>
      <c r="I75" s="177">
        <f>AVERAGE(G75,D75)</f>
        <v>15</v>
      </c>
      <c r="J75" s="178" t="s">
        <v>129</v>
      </c>
      <c r="K75" s="179">
        <v>360</v>
      </c>
      <c r="L75" s="50">
        <f>ROUND(K75*I75,0)</f>
        <v>5400</v>
      </c>
      <c r="N75" s="1">
        <v>7802</v>
      </c>
      <c r="O75" s="1">
        <v>0</v>
      </c>
      <c r="V75" s="358" t="s">
        <v>127</v>
      </c>
      <c r="W75" s="358"/>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333">
        <v>1</v>
      </c>
      <c r="E76" s="173">
        <v>0</v>
      </c>
      <c r="F76" s="173">
        <v>0</v>
      </c>
      <c r="G76" s="175">
        <f>IF(E76=0,D76,E76)</f>
        <v>1</v>
      </c>
      <c r="H76" s="176"/>
      <c r="I76" s="177">
        <f>AVERAGE(G76,D76)</f>
        <v>1</v>
      </c>
      <c r="J76" s="178" t="s">
        <v>129</v>
      </c>
      <c r="K76" s="183">
        <v>1355</v>
      </c>
      <c r="L76" s="50">
        <f>ROUND(K76*I76,0)</f>
        <v>1355</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3.852E-3</v>
      </c>
      <c r="L77" s="50">
        <f>ROUND(I77*K77,0)</f>
        <v>126031</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3.852E-3</v>
      </c>
      <c r="L78" s="50">
        <f>ROUND(I78*K78,0)</f>
        <v>2576</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6755</v>
      </c>
      <c r="AD81" s="195"/>
    </row>
    <row r="82" spans="1:30" ht="22.5" customHeight="1" thickTop="1" thickBot="1" x14ac:dyDescent="0.35">
      <c r="B82" s="13" t="s">
        <v>141</v>
      </c>
      <c r="C82" s="13"/>
      <c r="D82" s="314"/>
      <c r="E82" s="13"/>
      <c r="F82" s="13"/>
      <c r="G82" s="13"/>
      <c r="H82" s="13"/>
      <c r="I82" s="13"/>
      <c r="J82" s="13"/>
      <c r="K82" s="13"/>
      <c r="L82" s="196">
        <f>SUM(L44:L81)</f>
        <v>4602763</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'4000'!AC81</f>
        <v>6755</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4602763</v>
      </c>
      <c r="L86" s="82">
        <f>IF(G26=0,0,IF(G26&gt;250,-(((250/G26)*K86)*IF(M86="H",0.02,0.05)),IF(M86="H",-0.02*K86,-0.05*K86)))</f>
        <v>-83250.669222977856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4519512.3307770221</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2354153</v>
      </c>
      <c r="G89" s="13"/>
      <c r="H89" s="13"/>
      <c r="I89" s="13"/>
      <c r="J89" s="13"/>
      <c r="K89" s="206"/>
      <c r="L89" s="82">
        <v>-3075892</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1443620.3307770221</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360905.08269425551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146887.48077702217</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322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323</v>
      </c>
      <c r="C123" s="219" t="s">
        <v>200</v>
      </c>
    </row>
    <row r="124" spans="2:3" ht="15.5" hidden="1" x14ac:dyDescent="0.35">
      <c r="B124" s="223" t="s">
        <v>324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41646.469432870399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51"/>
  <sheetViews>
    <sheetView topLeftCell="B83"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'4010'!B2</f>
        <v>50</v>
      </c>
      <c r="W2" s="413" t="s">
        <v>4</v>
      </c>
      <c r="X2" s="414"/>
      <c r="Y2" s="415"/>
      <c r="Z2" s="415"/>
      <c r="AA2" s="415"/>
      <c r="AB2" s="415"/>
      <c r="AC2" s="415"/>
      <c r="AD2" s="9"/>
    </row>
    <row r="3" spans="1:30" ht="20" x14ac:dyDescent="0.4">
      <c r="B3" s="10" t="str">
        <f>"Revenue Estimate Worksheet for "&amp;B124</f>
        <v>Revenue Estimate Worksheet for Belle Glade Excel Cht School</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'4010'!G7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51.18</v>
      </c>
      <c r="E10" s="45">
        <v>0</v>
      </c>
      <c r="F10" s="45">
        <v>0</v>
      </c>
      <c r="G10" s="46">
        <f>IF(E10=0,D10*2,D10+E10)</f>
        <v>102.36</v>
      </c>
      <c r="H10" s="47"/>
      <c r="I10" s="48">
        <v>1.125</v>
      </c>
      <c r="J10" s="48"/>
      <c r="K10" s="49">
        <f>ROUND(G10*I10,4)</f>
        <v>115.155</v>
      </c>
      <c r="L10" s="50">
        <f>ROUND(ROUND(K10*$G$7,4)*($K$7),0)</f>
        <v>446182</v>
      </c>
      <c r="N10" s="51">
        <v>5101</v>
      </c>
      <c r="O10" s="52">
        <v>101</v>
      </c>
      <c r="Q10" s="53"/>
      <c r="V10" s="404" t="s">
        <v>28</v>
      </c>
      <c r="W10" s="404"/>
      <c r="X10" s="396">
        <f>IF('4010'!K$84=1,'4010'!G10,0)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5</v>
      </c>
      <c r="E11" s="13">
        <v>0</v>
      </c>
      <c r="F11" s="13">
        <v>0</v>
      </c>
      <c r="G11" s="46">
        <f t="shared" ref="G11:G25" si="2">IF(E11=0,D11*2,D11+E11)</f>
        <v>10</v>
      </c>
      <c r="H11" s="47"/>
      <c r="I11" s="56">
        <f>I10</f>
        <v>1.125</v>
      </c>
      <c r="J11" s="56"/>
      <c r="K11" s="49">
        <f t="shared" ref="K11:K25" si="3">ROUND(G11*I11,4)</f>
        <v>11.25</v>
      </c>
      <c r="L11" s="50">
        <f t="shared" ref="L11:L25" si="4">ROUND(ROUND(K11*$G$7,4)*($K$7),0)</f>
        <v>43590</v>
      </c>
      <c r="M11" s="1" t="str">
        <f>IF(ROUND(G11,2)=ROUND(SUM(G28:G30),2)," ","CHECK 2. PK-3 Lines Below")</f>
        <v xml:space="preserve"> </v>
      </c>
      <c r="N11" s="51">
        <v>5101</v>
      </c>
      <c r="O11" s="57" t="s">
        <v>31</v>
      </c>
      <c r="Q11" s="53"/>
      <c r="V11" s="357" t="s">
        <v>30</v>
      </c>
      <c r="W11" s="357"/>
      <c r="X11" s="396">
        <f>IF('4010'!K$84=1,'4010'!G11,0)</f>
        <v>0</v>
      </c>
      <c r="Y11" s="396"/>
      <c r="Z11" s="397">
        <v>1</v>
      </c>
      <c r="AA11" s="397"/>
      <c r="AB11" s="54">
        <f t="shared" si="0"/>
        <v>0</v>
      </c>
      <c r="AC11" s="55">
        <f t="shared" si="1"/>
        <v>0</v>
      </c>
      <c r="AD11" s="9"/>
    </row>
    <row r="12" spans="1:30" x14ac:dyDescent="0.3">
      <c r="A12" s="1" t="s">
        <v>32</v>
      </c>
      <c r="B12" s="13" t="s">
        <v>33</v>
      </c>
      <c r="C12" s="13"/>
      <c r="D12" s="314">
        <v>0</v>
      </c>
      <c r="E12" s="13">
        <v>0</v>
      </c>
      <c r="F12" s="13">
        <v>0</v>
      </c>
      <c r="G12" s="46">
        <f t="shared" si="2"/>
        <v>0</v>
      </c>
      <c r="H12" s="47"/>
      <c r="I12" s="56">
        <v>1</v>
      </c>
      <c r="J12" s="56"/>
      <c r="K12" s="49">
        <f t="shared" si="3"/>
        <v>0</v>
      </c>
      <c r="L12" s="50">
        <f t="shared" si="4"/>
        <v>0</v>
      </c>
      <c r="N12" s="51">
        <v>5102</v>
      </c>
      <c r="O12" s="52">
        <v>102</v>
      </c>
      <c r="Q12" s="53"/>
      <c r="V12" s="357" t="s">
        <v>33</v>
      </c>
      <c r="W12" s="357"/>
      <c r="X12" s="396">
        <f>IF('4010'!K$84=1,'4010'!G12,0)</f>
        <v>0</v>
      </c>
      <c r="Y12" s="396"/>
      <c r="Z12" s="397">
        <v>1</v>
      </c>
      <c r="AA12" s="397"/>
      <c r="AB12" s="54">
        <f t="shared" si="0"/>
        <v>0</v>
      </c>
      <c r="AC12" s="55">
        <f t="shared" si="1"/>
        <v>0</v>
      </c>
      <c r="AD12" s="9"/>
    </row>
    <row r="13" spans="1:30" x14ac:dyDescent="0.3">
      <c r="A13" s="1" t="s">
        <v>34</v>
      </c>
      <c r="B13" s="13" t="s">
        <v>35</v>
      </c>
      <c r="C13" s="13"/>
      <c r="D13" s="314">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IF('4010'!K$84=1,'4010'!G13,0)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IF('4010'!K$84=1,'4010'!G14,0)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IF('4010'!K$84=1,'4010'!G15,0)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IF('4010'!K$84=1,'4010'!G16,0)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IF('4010'!K$84=1,'4010'!G17,0)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IF('4010'!K$84=1,'4010'!G18,0)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IF('4010'!K$84=1,'4010'!G19,0)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IF('4010'!K$84=1,'4010'!G20,0)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IF('4010'!K$84=1,'4010'!G21,0)</f>
        <v>0</v>
      </c>
      <c r="Y21" s="396"/>
      <c r="Z21" s="397">
        <v>1</v>
      </c>
      <c r="AA21" s="397"/>
      <c r="AB21" s="54">
        <f t="shared" si="0"/>
        <v>0</v>
      </c>
      <c r="AC21" s="55">
        <f t="shared" si="1"/>
        <v>0</v>
      </c>
      <c r="AD21" s="9"/>
    </row>
    <row r="22" spans="1:30" ht="15.5" x14ac:dyDescent="0.35">
      <c r="A22" s="1" t="s">
        <v>54</v>
      </c>
      <c r="B22" s="13" t="s">
        <v>55</v>
      </c>
      <c r="C22" s="13"/>
      <c r="D22" s="314">
        <v>1.31</v>
      </c>
      <c r="E22" s="13">
        <v>0</v>
      </c>
      <c r="F22" s="13">
        <v>0</v>
      </c>
      <c r="G22" s="46">
        <f t="shared" si="2"/>
        <v>2.62</v>
      </c>
      <c r="H22" s="47"/>
      <c r="I22" s="56">
        <v>1.145</v>
      </c>
      <c r="J22" s="56"/>
      <c r="K22" s="49">
        <f t="shared" si="3"/>
        <v>2.9998999999999998</v>
      </c>
      <c r="L22" s="50">
        <f t="shared" si="4"/>
        <v>11623</v>
      </c>
      <c r="N22" s="51">
        <v>5101</v>
      </c>
      <c r="O22" s="52">
        <v>130</v>
      </c>
      <c r="Q22" s="53"/>
      <c r="V22" s="357" t="s">
        <v>55</v>
      </c>
      <c r="W22" s="357"/>
      <c r="X22" s="396">
        <f>IF('4010'!K$84=1,'4010'!G22,0)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IF('4010'!K$84=1,'4010'!G23,0)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IF('4010'!K$84=1,'4010'!G24,0)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IF('4010'!K$84=1,'4010'!G25,0)</f>
        <v>0</v>
      </c>
      <c r="Y25" s="396"/>
      <c r="Z25" s="397">
        <v>1</v>
      </c>
      <c r="AA25" s="397"/>
      <c r="AB25" s="54">
        <f t="shared" si="0"/>
        <v>0</v>
      </c>
      <c r="AC25" s="55">
        <f t="shared" si="1"/>
        <v>0</v>
      </c>
      <c r="AD25" s="9"/>
    </row>
    <row r="26" spans="1:30" ht="20.25" customHeight="1" thickBot="1" x14ac:dyDescent="0.35">
      <c r="B26" s="61" t="s">
        <v>62</v>
      </c>
      <c r="C26" s="61"/>
      <c r="D26" s="320">
        <f t="shared" ref="D26:E26" si="5">SUM(D10:D25)</f>
        <v>57.49</v>
      </c>
      <c r="E26" s="62">
        <f t="shared" si="5"/>
        <v>0</v>
      </c>
      <c r="F26" s="62"/>
      <c r="G26" s="62">
        <f>SUM(G10:G25)</f>
        <v>114.98</v>
      </c>
      <c r="H26" s="63"/>
      <c r="I26" s="63"/>
      <c r="J26" s="64"/>
      <c r="K26" s="65">
        <f>SUM(K10:K25)</f>
        <v>129.4049</v>
      </c>
      <c r="L26" s="66">
        <f>SUM(L10:L25)</f>
        <v>501395</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5</v>
      </c>
      <c r="E28" s="13">
        <v>0</v>
      </c>
      <c r="F28" s="78">
        <v>0</v>
      </c>
      <c r="G28" s="46">
        <f>IF(E28=0,D28*2,D28+E28)</f>
        <v>10</v>
      </c>
      <c r="H28" s="79"/>
      <c r="I28" s="80" t="s">
        <v>70</v>
      </c>
      <c r="J28" s="51">
        <v>251</v>
      </c>
      <c r="K28" s="81">
        <v>1047</v>
      </c>
      <c r="L28" s="82">
        <f>ROUND(G28*K28,0)</f>
        <v>10470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5</v>
      </c>
      <c r="E37" s="62">
        <f t="shared" si="10"/>
        <v>0</v>
      </c>
      <c r="F37" s="62"/>
      <c r="G37" s="62">
        <f>SUM(G28:G36)</f>
        <v>10</v>
      </c>
      <c r="H37" s="63"/>
      <c r="I37" s="13" t="s">
        <v>82</v>
      </c>
      <c r="J37" s="13"/>
      <c r="K37" s="13"/>
      <c r="L37" s="50">
        <f>SUM(L28:L36)</f>
        <v>10470</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22076</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533941</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129.4049</v>
      </c>
      <c r="D47" s="329"/>
      <c r="E47" s="121"/>
      <c r="F47" s="121"/>
      <c r="G47" s="122">
        <f>K7</f>
        <v>1.0326</v>
      </c>
      <c r="H47" s="122"/>
      <c r="I47" s="123">
        <v>1316.85</v>
      </c>
      <c r="J47" s="124" t="s">
        <v>97</v>
      </c>
      <c r="K47" s="125">
        <f>ROUND(C47*G47*I47,0)</f>
        <v>175962</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329"/>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329"/>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129.4049</v>
      </c>
      <c r="D50" s="330"/>
      <c r="E50" s="145"/>
      <c r="F50" s="145"/>
      <c r="G50" s="146" t="s">
        <v>99</v>
      </c>
      <c r="H50" s="146"/>
      <c r="I50" s="146"/>
      <c r="J50" s="146"/>
      <c r="K50" s="146"/>
      <c r="L50" s="50">
        <f>IF(B2=75,0,K49+K48+K47)</f>
        <v>175962</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129.4049</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6.7000000000000002E-4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114.98</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6.4099999999999997E-4</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6.7000000000000002E-4</v>
      </c>
      <c r="L59" s="50">
        <f>ROUND(I59*K59,0)</f>
        <v>2762</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6.7000000000000002E-4</v>
      </c>
      <c r="L67" s="50">
        <f>ROUND(I67*K67,0)</f>
        <v>64839</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6.4099999999999997E-4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6.7000000000000002E-4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6.7000000000000002E-4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6.4099999999999997E-4</v>
      </c>
      <c r="L72" s="50">
        <f>ROUND(I72*K72,0)</f>
        <v>9049</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32</v>
      </c>
      <c r="AA74" s="171" t="s">
        <v>129</v>
      </c>
      <c r="AB74" s="172">
        <f>+K75</f>
        <v>360</v>
      </c>
      <c r="AC74" s="55">
        <f>ROUND(AB74*Z74,0)</f>
        <v>11520</v>
      </c>
      <c r="AD74" s="9"/>
    </row>
    <row r="75" spans="1:30" ht="19.5" customHeight="1" x14ac:dyDescent="0.3">
      <c r="A75" s="1" t="s">
        <v>130</v>
      </c>
      <c r="B75" s="173" t="s">
        <v>127</v>
      </c>
      <c r="C75" s="174" t="s">
        <v>128</v>
      </c>
      <c r="D75" s="333">
        <v>32</v>
      </c>
      <c r="E75" s="173">
        <v>0</v>
      </c>
      <c r="F75" s="173">
        <v>0</v>
      </c>
      <c r="G75" s="175">
        <f>IF(E75=0,D75,E75)</f>
        <v>32</v>
      </c>
      <c r="H75" s="176"/>
      <c r="I75" s="177">
        <f>AVERAGE(G75,D75)</f>
        <v>32</v>
      </c>
      <c r="J75" s="178" t="s">
        <v>129</v>
      </c>
      <c r="K75" s="179">
        <v>360</v>
      </c>
      <c r="L75" s="50">
        <f>ROUND(K75*I75,0)</f>
        <v>11520</v>
      </c>
      <c r="N75" s="1">
        <v>7802</v>
      </c>
      <c r="O75" s="1">
        <v>0</v>
      </c>
      <c r="V75" s="358" t="s">
        <v>127</v>
      </c>
      <c r="W75" s="358"/>
      <c r="X75" s="168" t="s">
        <v>131</v>
      </c>
      <c r="Y75" s="180"/>
      <c r="Z75" s="181">
        <f>+I76</f>
        <v>2</v>
      </c>
      <c r="AA75" s="171" t="s">
        <v>129</v>
      </c>
      <c r="AB75" s="182">
        <f>+K76</f>
        <v>1355</v>
      </c>
      <c r="AC75" s="55">
        <f>ROUND(AB75*Z75,0)</f>
        <v>2710</v>
      </c>
      <c r="AD75" s="9"/>
    </row>
    <row r="76" spans="1:30" ht="19.5" customHeight="1" x14ac:dyDescent="0.3">
      <c r="A76" s="1" t="s">
        <v>132</v>
      </c>
      <c r="B76" s="173" t="s">
        <v>127</v>
      </c>
      <c r="C76" s="174" t="s">
        <v>131</v>
      </c>
      <c r="D76" s="333">
        <v>2</v>
      </c>
      <c r="E76" s="173">
        <v>0</v>
      </c>
      <c r="F76" s="173">
        <v>0</v>
      </c>
      <c r="G76" s="175">
        <f>IF(E76=0,D76,E76)</f>
        <v>2</v>
      </c>
      <c r="H76" s="176"/>
      <c r="I76" s="177">
        <f>AVERAGE(G76,D76)</f>
        <v>2</v>
      </c>
      <c r="J76" s="178" t="s">
        <v>129</v>
      </c>
      <c r="K76" s="183">
        <v>1355</v>
      </c>
      <c r="L76" s="50">
        <f>ROUND(K76*I76,0)</f>
        <v>2710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6.7000000000000002E-4</v>
      </c>
      <c r="L77" s="50">
        <f>ROUND(I77*K77,0)</f>
        <v>21921</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6.7000000000000002E-4</v>
      </c>
      <c r="L78" s="50">
        <f>ROUND(I78*K78,0)</f>
        <v>448</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14230</v>
      </c>
      <c r="AD81" s="195"/>
    </row>
    <row r="82" spans="1:30" ht="22.5" customHeight="1" thickTop="1" thickBot="1" x14ac:dyDescent="0.35">
      <c r="B82" s="13" t="s">
        <v>141</v>
      </c>
      <c r="C82" s="13"/>
      <c r="D82" s="314"/>
      <c r="E82" s="13"/>
      <c r="F82" s="13"/>
      <c r="G82" s="13"/>
      <c r="H82" s="13"/>
      <c r="I82" s="13"/>
      <c r="J82" s="13"/>
      <c r="K82" s="13"/>
      <c r="L82" s="196">
        <f>SUM(L44:L81)</f>
        <v>823152</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'4010'!AC81</f>
        <v>14230</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823152</v>
      </c>
      <c r="L86" s="82">
        <f>IF(G26=0,0,IF(G26&gt;250,-(((250/G26)*K86)*IF(M86="H",0.02,0.05)),IF(M86="H",-0.02*K86,-0.05*K86)))</f>
        <v>-41157.600000000006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781994.4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392235</v>
      </c>
      <c r="G89" s="13"/>
      <c r="H89" s="13"/>
      <c r="I89" s="13"/>
      <c r="J89" s="13"/>
      <c r="K89" s="206"/>
      <c r="L89" s="82">
        <v>-522064</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259930.40000000002</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64982.600000000006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328</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329</v>
      </c>
      <c r="C123" s="219" t="s">
        <v>200</v>
      </c>
    </row>
    <row r="124" spans="2:3" ht="15.5" hidden="1" x14ac:dyDescent="0.35">
      <c r="B124" s="223" t="s">
        <v>330</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41646.469456018502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51"/>
  <sheetViews>
    <sheetView topLeftCell="B80" zoomScale="90" zoomScaleNormal="90" workbookViewId="0">
      <selection activeCell="L92" sqref="L92"/>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'4002'!B2</f>
        <v>50</v>
      </c>
      <c r="W2" s="413" t="s">
        <v>4</v>
      </c>
      <c r="X2" s="414"/>
      <c r="Y2" s="415"/>
      <c r="Z2" s="415"/>
      <c r="AA2" s="415"/>
      <c r="AB2" s="415"/>
      <c r="AC2" s="415"/>
      <c r="AD2" s="9"/>
    </row>
    <row r="3" spans="1:30" ht="20" x14ac:dyDescent="0.4">
      <c r="B3" s="10" t="str">
        <f>"Revenue Estimate Worksheet for "&amp;B124</f>
        <v>Revenue Estimate Worksheet for Renaissance Cht Sch at Summit</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'4002'!G7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127.14</v>
      </c>
      <c r="E10" s="45">
        <v>0</v>
      </c>
      <c r="F10" s="45">
        <v>174.54</v>
      </c>
      <c r="G10" s="46">
        <f>IF(E10=0,D10*2,D10+E10)</f>
        <v>254.28</v>
      </c>
      <c r="H10" s="47"/>
      <c r="I10" s="48">
        <v>1.125</v>
      </c>
      <c r="J10" s="48"/>
      <c r="K10" s="49">
        <f>ROUND(G10*I10,4)</f>
        <v>286.065</v>
      </c>
      <c r="L10" s="50">
        <f>ROUND(ROUND(K10*$G$7,4)*($K$7),0)</f>
        <v>1108395</v>
      </c>
      <c r="N10" s="51">
        <v>5101</v>
      </c>
      <c r="O10" s="52">
        <v>101</v>
      </c>
      <c r="Q10" s="53"/>
      <c r="V10" s="404" t="s">
        <v>28</v>
      </c>
      <c r="W10" s="404"/>
      <c r="X10" s="396">
        <f>IF('4002'!K$84=1,'4002'!G10,0)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16.28</v>
      </c>
      <c r="E11" s="13">
        <v>0</v>
      </c>
      <c r="F11" s="13">
        <v>22.83</v>
      </c>
      <c r="G11" s="46">
        <f t="shared" ref="G11:G25" si="2">IF(E11=0,D11*2,D11+E11)</f>
        <v>32.56</v>
      </c>
      <c r="H11" s="47"/>
      <c r="I11" s="56">
        <f>I10</f>
        <v>1.125</v>
      </c>
      <c r="J11" s="56"/>
      <c r="K11" s="49">
        <f t="shared" ref="K11:K25" si="3">ROUND(G11*I11,4)</f>
        <v>36.630000000000003</v>
      </c>
      <c r="L11" s="50">
        <f t="shared" ref="L11:L25" si="4">ROUND(ROUND(K11*$G$7,4)*($K$7),0)</f>
        <v>141928</v>
      </c>
      <c r="M11" s="1" t="str">
        <f>IF(ROUND(G11,2)=ROUND(SUM(G28:G30),2)," ","CHECK 2. PK-3 Lines Below")</f>
        <v xml:space="preserve"> </v>
      </c>
      <c r="N11" s="51">
        <v>5101</v>
      </c>
      <c r="O11" s="57" t="s">
        <v>31</v>
      </c>
      <c r="Q11" s="53"/>
      <c r="V11" s="357" t="s">
        <v>30</v>
      </c>
      <c r="W11" s="357"/>
      <c r="X11" s="396">
        <f>IF('4002'!K$84=1,'4002'!G11,0)</f>
        <v>0</v>
      </c>
      <c r="Y11" s="396"/>
      <c r="Z11" s="397">
        <v>1</v>
      </c>
      <c r="AA11" s="397"/>
      <c r="AB11" s="54">
        <f t="shared" si="0"/>
        <v>0</v>
      </c>
      <c r="AC11" s="55">
        <f t="shared" si="1"/>
        <v>0</v>
      </c>
      <c r="AD11" s="9"/>
    </row>
    <row r="12" spans="1:30" x14ac:dyDescent="0.3">
      <c r="A12" s="1" t="s">
        <v>32</v>
      </c>
      <c r="B12" s="13" t="s">
        <v>33</v>
      </c>
      <c r="C12" s="13"/>
      <c r="D12" s="13">
        <v>99.59</v>
      </c>
      <c r="E12" s="13">
        <v>0</v>
      </c>
      <c r="F12" s="13">
        <v>145.72999999999999</v>
      </c>
      <c r="G12" s="46">
        <f t="shared" si="2"/>
        <v>199.18</v>
      </c>
      <c r="H12" s="47"/>
      <c r="I12" s="56">
        <v>1</v>
      </c>
      <c r="J12" s="56"/>
      <c r="K12" s="49">
        <f t="shared" si="3"/>
        <v>199.18</v>
      </c>
      <c r="L12" s="50">
        <f t="shared" si="4"/>
        <v>771748</v>
      </c>
      <c r="N12" s="51">
        <v>5102</v>
      </c>
      <c r="O12" s="52">
        <v>102</v>
      </c>
      <c r="Q12" s="53"/>
      <c r="V12" s="357" t="s">
        <v>33</v>
      </c>
      <c r="W12" s="357"/>
      <c r="X12" s="396">
        <f>IF('4002'!K$84=1,'4002'!G12,0)</f>
        <v>0</v>
      </c>
      <c r="Y12" s="396"/>
      <c r="Z12" s="397">
        <v>1</v>
      </c>
      <c r="AA12" s="397"/>
      <c r="AB12" s="54">
        <f t="shared" si="0"/>
        <v>0</v>
      </c>
      <c r="AC12" s="55">
        <f t="shared" si="1"/>
        <v>0</v>
      </c>
      <c r="AD12" s="9"/>
    </row>
    <row r="13" spans="1:30" x14ac:dyDescent="0.3">
      <c r="A13" s="1" t="s">
        <v>34</v>
      </c>
      <c r="B13" s="13" t="s">
        <v>35</v>
      </c>
      <c r="C13" s="13"/>
      <c r="D13" s="13">
        <v>23</v>
      </c>
      <c r="E13" s="13">
        <v>0</v>
      </c>
      <c r="F13" s="13">
        <v>35.18</v>
      </c>
      <c r="G13" s="46">
        <f t="shared" si="2"/>
        <v>46</v>
      </c>
      <c r="H13" s="47"/>
      <c r="I13" s="56">
        <f>I12</f>
        <v>1</v>
      </c>
      <c r="J13" s="56"/>
      <c r="K13" s="49">
        <f t="shared" si="3"/>
        <v>46</v>
      </c>
      <c r="L13" s="50">
        <f t="shared" si="4"/>
        <v>178233</v>
      </c>
      <c r="M13" s="1" t="str">
        <f>IF(ROUND(G13,2)=ROUND(SUM(G31:G33),2)," ","CHECK 2. PK-3 Lines Below")</f>
        <v xml:space="preserve"> </v>
      </c>
      <c r="N13" s="51">
        <v>5102</v>
      </c>
      <c r="O13" s="57" t="s">
        <v>36</v>
      </c>
      <c r="Q13" s="53"/>
      <c r="V13" s="357" t="s">
        <v>35</v>
      </c>
      <c r="W13" s="357"/>
      <c r="X13" s="396">
        <f>IF('4002'!K$84=1,'4002'!G13,0)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IF('4002'!K$84=1,'4002'!G14,0)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IF('4002'!K$84=1,'4002'!G15,0)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IF('4002'!K$84=1,'4002'!G16,0)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IF('4002'!K$84=1,'4002'!G17,0)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IF('4002'!K$84=1,'4002'!G18,0)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IF('4002'!K$84=1,'4002'!G19,0)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IF('4002'!K$84=1,'4002'!G20,0)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IF('4002'!K$84=1,'4002'!G21,0)</f>
        <v>0</v>
      </c>
      <c r="Y21" s="396"/>
      <c r="Z21" s="397">
        <v>1</v>
      </c>
      <c r="AA21" s="397"/>
      <c r="AB21" s="54">
        <f t="shared" si="0"/>
        <v>0</v>
      </c>
      <c r="AC21" s="55">
        <f t="shared" si="1"/>
        <v>0</v>
      </c>
      <c r="AD21" s="9"/>
    </row>
    <row r="22" spans="1:30" ht="15.5" x14ac:dyDescent="0.35">
      <c r="A22" s="1" t="s">
        <v>54</v>
      </c>
      <c r="B22" s="13" t="s">
        <v>55</v>
      </c>
      <c r="C22" s="13"/>
      <c r="D22" s="13">
        <v>39.28</v>
      </c>
      <c r="E22" s="13">
        <v>0</v>
      </c>
      <c r="F22" s="13">
        <v>55.31</v>
      </c>
      <c r="G22" s="46">
        <f t="shared" si="2"/>
        <v>78.56</v>
      </c>
      <c r="H22" s="47"/>
      <c r="I22" s="56">
        <v>1.145</v>
      </c>
      <c r="J22" s="56"/>
      <c r="K22" s="49">
        <f t="shared" si="3"/>
        <v>89.9512</v>
      </c>
      <c r="L22" s="50">
        <f t="shared" si="4"/>
        <v>348527</v>
      </c>
      <c r="N22" s="51">
        <v>5101</v>
      </c>
      <c r="O22" s="52">
        <v>130</v>
      </c>
      <c r="Q22" s="53"/>
      <c r="V22" s="357" t="s">
        <v>55</v>
      </c>
      <c r="W22" s="357"/>
      <c r="X22" s="396">
        <f>IF('4002'!K$84=1,'4002'!G22,0)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IF('4002'!K$84=1,'4002'!G23,0)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IF('4002'!K$84=1,'4002'!G24,0)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IF('4002'!K$84=1,'4002'!G25,0)</f>
        <v>0</v>
      </c>
      <c r="Y25" s="396"/>
      <c r="Z25" s="397">
        <v>1</v>
      </c>
      <c r="AA25" s="397"/>
      <c r="AB25" s="54">
        <f t="shared" si="0"/>
        <v>0</v>
      </c>
      <c r="AC25" s="55">
        <f t="shared" si="1"/>
        <v>0</v>
      </c>
      <c r="AD25" s="9"/>
    </row>
    <row r="26" spans="1:30" ht="20.25" customHeight="1" thickBot="1" x14ac:dyDescent="0.35">
      <c r="B26" s="61" t="s">
        <v>62</v>
      </c>
      <c r="C26" s="61"/>
      <c r="D26" s="62">
        <f t="shared" ref="D26:E26" si="5">SUM(D10:D25)</f>
        <v>305.28999999999996</v>
      </c>
      <c r="E26" s="62">
        <f t="shared" si="5"/>
        <v>0</v>
      </c>
      <c r="F26" s="62"/>
      <c r="G26" s="62">
        <f>SUM(G10:G25)</f>
        <v>610.57999999999993</v>
      </c>
      <c r="H26" s="63"/>
      <c r="I26" s="63"/>
      <c r="J26" s="64"/>
      <c r="K26" s="65">
        <f>SUM(K10:K25)</f>
        <v>657.82619999999997</v>
      </c>
      <c r="L26" s="66">
        <f>SUM(L10:L25)</f>
        <v>2548831</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16.28</v>
      </c>
      <c r="E28" s="13">
        <v>0</v>
      </c>
      <c r="F28" s="78">
        <v>0</v>
      </c>
      <c r="G28" s="46">
        <f>IF(E28=0,D28*2,D28+E28)</f>
        <v>32.56</v>
      </c>
      <c r="H28" s="79"/>
      <c r="I28" s="80" t="s">
        <v>70</v>
      </c>
      <c r="J28" s="51">
        <v>251</v>
      </c>
      <c r="K28" s="81">
        <v>1047</v>
      </c>
      <c r="L28" s="82">
        <f>ROUND(G28*K28,0)</f>
        <v>34090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23</v>
      </c>
      <c r="E31" s="13">
        <v>0</v>
      </c>
      <c r="F31" s="89">
        <v>0</v>
      </c>
      <c r="G31" s="46">
        <f t="shared" si="7"/>
        <v>46</v>
      </c>
      <c r="H31" s="79"/>
      <c r="I31" s="90" t="s">
        <v>74</v>
      </c>
      <c r="J31" s="51">
        <v>251</v>
      </c>
      <c r="K31" s="81">
        <v>1173</v>
      </c>
      <c r="L31" s="82">
        <f t="shared" si="8"/>
        <v>53958</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39.28</v>
      </c>
      <c r="E37" s="62">
        <f t="shared" si="10"/>
        <v>0</v>
      </c>
      <c r="F37" s="62"/>
      <c r="G37" s="62">
        <f>SUM(G28:G36)</f>
        <v>78.56</v>
      </c>
      <c r="H37" s="63"/>
      <c r="I37" s="13" t="s">
        <v>82</v>
      </c>
      <c r="J37" s="13"/>
      <c r="K37" s="13"/>
      <c r="L37" s="50">
        <f>SUM(L28:L36)</f>
        <v>88048</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117231</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2754110</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412.64620000000002</v>
      </c>
      <c r="D47" s="121"/>
      <c r="E47" s="121"/>
      <c r="F47" s="121"/>
      <c r="G47" s="122">
        <f>K7</f>
        <v>1.0326</v>
      </c>
      <c r="H47" s="122"/>
      <c r="I47" s="123">
        <v>1316.85</v>
      </c>
      <c r="J47" s="124" t="s">
        <v>97</v>
      </c>
      <c r="K47" s="125">
        <f>ROUND(C47*G47*I47,0)</f>
        <v>561108</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245.18</v>
      </c>
      <c r="D48" s="121"/>
      <c r="E48" s="121"/>
      <c r="F48" s="121"/>
      <c r="G48" s="122">
        <f>K7</f>
        <v>1.0326</v>
      </c>
      <c r="H48" s="122"/>
      <c r="I48" s="123">
        <v>898.23</v>
      </c>
      <c r="J48" s="124" t="s">
        <v>97</v>
      </c>
      <c r="K48" s="125">
        <f>ROUND(C48*G48*I48,0)</f>
        <v>227407</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657.82619999999997</v>
      </c>
      <c r="D50" s="144"/>
      <c r="E50" s="145"/>
      <c r="F50" s="145"/>
      <c r="G50" s="146" t="s">
        <v>99</v>
      </c>
      <c r="H50" s="146"/>
      <c r="I50" s="146"/>
      <c r="J50" s="146"/>
      <c r="K50" s="146"/>
      <c r="L50" s="50">
        <f>IF(B2=75,0,K49+K48+K47)</f>
        <v>788515</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657.82619999999997</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3.4060000000000002E-3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610.57999999999993</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3.4039999999999999E-3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3.4060000000000002E-3</v>
      </c>
      <c r="L59" s="50">
        <f>ROUND(I59*K59,0)</f>
        <v>14042</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3.4060000000000002E-3</v>
      </c>
      <c r="L67" s="50">
        <f>ROUND(I67*K67,0)</f>
        <v>329614</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3.4039999999999999E-3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3.4060000000000002E-3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3.4060000000000002E-3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3.4039999999999999E-3</v>
      </c>
      <c r="L72" s="50">
        <f>ROUND(I72*K72,0)</f>
        <v>48055</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6</v>
      </c>
      <c r="AA74" s="171" t="s">
        <v>129</v>
      </c>
      <c r="AB74" s="172">
        <f>+K75</f>
        <v>360</v>
      </c>
      <c r="AC74" s="55">
        <f>ROUND(AB74*Z74,0)</f>
        <v>2160</v>
      </c>
      <c r="AD74" s="9"/>
    </row>
    <row r="75" spans="1:30" ht="19.5" customHeight="1" x14ac:dyDescent="0.3">
      <c r="A75" s="1" t="s">
        <v>130</v>
      </c>
      <c r="B75" s="173" t="s">
        <v>127</v>
      </c>
      <c r="C75" s="174" t="s">
        <v>128</v>
      </c>
      <c r="D75" s="173">
        <v>6</v>
      </c>
      <c r="E75" s="173">
        <v>0</v>
      </c>
      <c r="F75" s="173">
        <v>0</v>
      </c>
      <c r="G75" s="175">
        <f>IF(E75=0,D75,E75)</f>
        <v>6</v>
      </c>
      <c r="H75" s="176"/>
      <c r="I75" s="177">
        <f>AVERAGE(G75,D75)</f>
        <v>6</v>
      </c>
      <c r="J75" s="178" t="s">
        <v>129</v>
      </c>
      <c r="K75" s="179">
        <v>360</v>
      </c>
      <c r="L75" s="50">
        <f>ROUND(K75*I75,0)</f>
        <v>2160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3.4060000000000002E-3</v>
      </c>
      <c r="L77" s="50">
        <f>ROUND(I77*K77,0)</f>
        <v>111438</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3.4060000000000002E-3</v>
      </c>
      <c r="L78" s="50">
        <f>ROUND(I78*K78,0)</f>
        <v>2278</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2160</v>
      </c>
      <c r="AD81" s="195"/>
    </row>
    <row r="82" spans="1:30" ht="22.5" customHeight="1" thickTop="1" thickBot="1" x14ac:dyDescent="0.35">
      <c r="B82" s="13" t="s">
        <v>141</v>
      </c>
      <c r="C82" s="13"/>
      <c r="D82" s="13"/>
      <c r="E82" s="13"/>
      <c r="F82" s="13"/>
      <c r="G82" s="13"/>
      <c r="H82" s="13"/>
      <c r="I82" s="13"/>
      <c r="J82" s="13"/>
      <c r="K82" s="13"/>
      <c r="L82" s="196">
        <f>SUM(L44:L81)</f>
        <v>4050212</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'4002'!AC81</f>
        <v>2160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4050212</v>
      </c>
      <c r="L86" s="82">
        <f>IF(G26=0,0,IF(G26&gt;250,-(((250/G26)*K86)*IF(M86="H",0.02,0.05)),IF(M86="H",-0.02*K86,-0.05*K86)))</f>
        <v>-82917.308133250379</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3967294.6918667494</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2074029</v>
      </c>
      <c r="G89" s="13"/>
      <c r="H89" s="13"/>
      <c r="I89" s="13"/>
      <c r="J89" s="13"/>
      <c r="K89" s="206"/>
      <c r="L89" s="82">
        <v>-2705117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1262177.6918667494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315544.42296668736</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119593.29186674963</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325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326</v>
      </c>
      <c r="C123" s="219" t="s">
        <v>200</v>
      </c>
    </row>
    <row r="124" spans="2:3" ht="15.5" hidden="1" x14ac:dyDescent="0.35">
      <c r="B124" s="223" t="s">
        <v>327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41646.469444444403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51"/>
  <sheetViews>
    <sheetView topLeftCell="B80" zoomScale="90" zoomScaleNormal="90" workbookViewId="0">
      <selection activeCell="L92" sqref="L92"/>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'4012'!B2</f>
        <v>50</v>
      </c>
      <c r="W2" s="413" t="s">
        <v>4</v>
      </c>
      <c r="X2" s="414"/>
      <c r="Y2" s="415"/>
      <c r="Z2" s="415"/>
      <c r="AA2" s="415"/>
      <c r="AB2" s="415"/>
      <c r="AC2" s="415"/>
      <c r="AD2" s="9"/>
    </row>
    <row r="3" spans="1:30" ht="20" x14ac:dyDescent="0.4">
      <c r="B3" s="10" t="str">
        <f>"Revenue Estimate Worksheet for "&amp;B124</f>
        <v>Revenue Estimate Worksheet for Somerset Acad Canyons Md Sch</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'4012'!G7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IF('4012'!K$84=1,'4012'!G10,0)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IF('4012'!K$84=1,'4012'!G11,0)</f>
        <v>0</v>
      </c>
      <c r="Y11" s="396"/>
      <c r="Z11" s="397">
        <v>1</v>
      </c>
      <c r="AA11" s="397"/>
      <c r="AB11" s="54">
        <f t="shared" si="0"/>
        <v>0</v>
      </c>
      <c r="AC11" s="55">
        <f t="shared" si="1"/>
        <v>0</v>
      </c>
      <c r="AD11" s="9"/>
    </row>
    <row r="12" spans="1:30" x14ac:dyDescent="0.3">
      <c r="A12" s="1" t="s">
        <v>32</v>
      </c>
      <c r="B12" s="13" t="s">
        <v>33</v>
      </c>
      <c r="C12" s="13"/>
      <c r="D12" s="314">
        <v>252.02</v>
      </c>
      <c r="E12" s="13">
        <v>0</v>
      </c>
      <c r="F12" s="13">
        <v>316.75</v>
      </c>
      <c r="G12" s="46">
        <f t="shared" si="2"/>
        <v>504.04</v>
      </c>
      <c r="H12" s="47"/>
      <c r="I12" s="56">
        <v>1</v>
      </c>
      <c r="J12" s="56"/>
      <c r="K12" s="49">
        <f t="shared" si="3"/>
        <v>504.04</v>
      </c>
      <c r="L12" s="50">
        <f t="shared" si="4"/>
        <v>1952966</v>
      </c>
      <c r="N12" s="51">
        <v>5102</v>
      </c>
      <c r="O12" s="52">
        <v>102</v>
      </c>
      <c r="Q12" s="53"/>
      <c r="V12" s="357" t="s">
        <v>33</v>
      </c>
      <c r="W12" s="357"/>
      <c r="X12" s="396">
        <f>IF('4012'!K$84=1,'4012'!G12,0)</f>
        <v>0</v>
      </c>
      <c r="Y12" s="396"/>
      <c r="Z12" s="397">
        <v>1</v>
      </c>
      <c r="AA12" s="397"/>
      <c r="AB12" s="54">
        <f t="shared" si="0"/>
        <v>0</v>
      </c>
      <c r="AC12" s="55">
        <f t="shared" si="1"/>
        <v>0</v>
      </c>
      <c r="AD12" s="9"/>
    </row>
    <row r="13" spans="1:30" x14ac:dyDescent="0.3">
      <c r="A13" s="1" t="s">
        <v>34</v>
      </c>
      <c r="B13" s="13" t="s">
        <v>35</v>
      </c>
      <c r="C13" s="13"/>
      <c r="D13" s="314">
        <v>24.5</v>
      </c>
      <c r="E13" s="13">
        <v>0</v>
      </c>
      <c r="F13" s="13">
        <v>31.96</v>
      </c>
      <c r="G13" s="46">
        <f t="shared" si="2"/>
        <v>49</v>
      </c>
      <c r="H13" s="47"/>
      <c r="I13" s="56">
        <f>I12</f>
        <v>1</v>
      </c>
      <c r="J13" s="56"/>
      <c r="K13" s="49">
        <f t="shared" si="3"/>
        <v>49</v>
      </c>
      <c r="L13" s="50">
        <f t="shared" si="4"/>
        <v>189857</v>
      </c>
      <c r="M13" s="1" t="str">
        <f>IF(ROUND(G13,2)=ROUND(SUM(G31:G33),2)," ","CHECK 2. PK-3 Lines Below")</f>
        <v xml:space="preserve"> </v>
      </c>
      <c r="N13" s="51">
        <v>5102</v>
      </c>
      <c r="O13" s="57" t="s">
        <v>36</v>
      </c>
      <c r="Q13" s="53"/>
      <c r="V13" s="357" t="s">
        <v>35</v>
      </c>
      <c r="W13" s="357"/>
      <c r="X13" s="396">
        <f>IF('4012'!K$84=1,'4012'!G13,0)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IF('4012'!K$84=1,'4012'!G14,0)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IF('4012'!K$84=1,'4012'!G15,0)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IF('4012'!K$84=1,'4012'!G16,0)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IF('4012'!K$84=1,'4012'!G17,0)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IF('4012'!K$84=1,'4012'!G18,0)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IF('4012'!K$84=1,'4012'!G19,0)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IF('4012'!K$84=1,'4012'!G20,0)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IF('4012'!K$84=1,'4012'!G21,0)</f>
        <v>0</v>
      </c>
      <c r="Y21" s="396"/>
      <c r="Z21" s="397">
        <v>1</v>
      </c>
      <c r="AA21" s="397"/>
      <c r="AB21" s="54">
        <f t="shared" si="0"/>
        <v>0</v>
      </c>
      <c r="AC21" s="55">
        <f t="shared" si="1"/>
        <v>0</v>
      </c>
      <c r="AD21" s="9"/>
    </row>
    <row r="22" spans="1:30" ht="15.5" x14ac:dyDescent="0.35">
      <c r="A22" s="1" t="s">
        <v>54</v>
      </c>
      <c r="B22" s="13" t="s">
        <v>55</v>
      </c>
      <c r="C22" s="13"/>
      <c r="D22" s="314">
        <v>0.28999999999999998</v>
      </c>
      <c r="E22" s="13">
        <v>0</v>
      </c>
      <c r="F22" s="13">
        <v>0.36</v>
      </c>
      <c r="G22" s="46">
        <f t="shared" si="2"/>
        <v>0.57999999999999996</v>
      </c>
      <c r="H22" s="47"/>
      <c r="I22" s="56">
        <v>1.145</v>
      </c>
      <c r="J22" s="56"/>
      <c r="K22" s="49">
        <f t="shared" si="3"/>
        <v>0.66410000000000002</v>
      </c>
      <c r="L22" s="50">
        <f t="shared" si="4"/>
        <v>2573</v>
      </c>
      <c r="N22" s="51">
        <v>5101</v>
      </c>
      <c r="O22" s="52">
        <v>130</v>
      </c>
      <c r="Q22" s="53"/>
      <c r="V22" s="357" t="s">
        <v>55</v>
      </c>
      <c r="W22" s="357"/>
      <c r="X22" s="396">
        <f>IF('4012'!K$84=1,'4012'!G22,0)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IF('4012'!K$84=1,'4012'!G23,0)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IF('4012'!K$84=1,'4012'!G24,0)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IF('4012'!K$84=1,'4012'!G25,0)</f>
        <v>0</v>
      </c>
      <c r="Y25" s="396"/>
      <c r="Z25" s="397">
        <v>1</v>
      </c>
      <c r="AA25" s="397"/>
      <c r="AB25" s="54">
        <f t="shared" si="0"/>
        <v>0</v>
      </c>
      <c r="AC25" s="55">
        <f t="shared" si="1"/>
        <v>0</v>
      </c>
      <c r="AD25" s="9"/>
    </row>
    <row r="26" spans="1:30" ht="20.25" customHeight="1" thickBot="1" x14ac:dyDescent="0.35">
      <c r="B26" s="61" t="s">
        <v>62</v>
      </c>
      <c r="C26" s="61"/>
      <c r="D26" s="320">
        <f t="shared" ref="D26:E26" si="5">SUM(D10:D25)</f>
        <v>276.81</v>
      </c>
      <c r="E26" s="62">
        <f t="shared" si="5"/>
        <v>0</v>
      </c>
      <c r="F26" s="62"/>
      <c r="G26" s="62">
        <f>SUM(G10:G25)</f>
        <v>553.62</v>
      </c>
      <c r="H26" s="63"/>
      <c r="I26" s="63"/>
      <c r="J26" s="64"/>
      <c r="K26" s="65">
        <f>SUM(K10:K25)</f>
        <v>553.70409999999993</v>
      </c>
      <c r="L26" s="66">
        <f>SUM(L10:L25)</f>
        <v>2145396</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24.5</v>
      </c>
      <c r="E31" s="13">
        <v>0</v>
      </c>
      <c r="F31" s="89">
        <v>0</v>
      </c>
      <c r="G31" s="46">
        <f t="shared" si="7"/>
        <v>49</v>
      </c>
      <c r="H31" s="79"/>
      <c r="I31" s="90" t="s">
        <v>74</v>
      </c>
      <c r="J31" s="51">
        <v>251</v>
      </c>
      <c r="K31" s="81">
        <v>1173</v>
      </c>
      <c r="L31" s="82">
        <f t="shared" si="8"/>
        <v>57477</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24.5</v>
      </c>
      <c r="E37" s="62">
        <f t="shared" si="10"/>
        <v>0</v>
      </c>
      <c r="F37" s="62"/>
      <c r="G37" s="62">
        <f>SUM(G28:G36)</f>
        <v>49</v>
      </c>
      <c r="H37" s="63"/>
      <c r="I37" s="13" t="s">
        <v>82</v>
      </c>
      <c r="J37" s="13"/>
      <c r="K37" s="13"/>
      <c r="L37" s="50">
        <f>SUM(L28:L36)</f>
        <v>57477</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106295</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2309168</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0.66410000000000002</v>
      </c>
      <c r="D47" s="329"/>
      <c r="E47" s="121"/>
      <c r="F47" s="121"/>
      <c r="G47" s="122">
        <f>K7</f>
        <v>1.0326</v>
      </c>
      <c r="H47" s="122"/>
      <c r="I47" s="123">
        <v>1316.85</v>
      </c>
      <c r="J47" s="124" t="s">
        <v>97</v>
      </c>
      <c r="K47" s="125">
        <f>ROUND(C47*G47*I47,0)</f>
        <v>903</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553.04</v>
      </c>
      <c r="D48" s="329"/>
      <c r="E48" s="121"/>
      <c r="F48" s="121"/>
      <c r="G48" s="122">
        <f>K7</f>
        <v>1.0326</v>
      </c>
      <c r="H48" s="122"/>
      <c r="I48" s="123">
        <v>898.23</v>
      </c>
      <c r="J48" s="124" t="s">
        <v>97</v>
      </c>
      <c r="K48" s="125">
        <f>ROUND(C48*G48*I48,0)</f>
        <v>512951</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329"/>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553.70409999999993</v>
      </c>
      <c r="D50" s="330"/>
      <c r="E50" s="145"/>
      <c r="F50" s="145"/>
      <c r="G50" s="146" t="s">
        <v>99</v>
      </c>
      <c r="H50" s="146"/>
      <c r="I50" s="146"/>
      <c r="J50" s="146"/>
      <c r="K50" s="146"/>
      <c r="L50" s="50">
        <f>IF(B2=75,0,K49+K48+K47)</f>
        <v>513854</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553.70409999999993</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2.8670000000000002E-3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553.62</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3.0860000000000002E-3</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2.8670000000000002E-3</v>
      </c>
      <c r="L59" s="50">
        <f>ROUND(I59*K59,0)</f>
        <v>11820</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2.8670000000000002E-3</v>
      </c>
      <c r="L67" s="50">
        <f>ROUND(I67*K67,0)</f>
        <v>277453</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3.0860000000000002E-3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2.8670000000000002E-3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2.8670000000000002E-3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3.0860000000000002E-3</v>
      </c>
      <c r="L72" s="50">
        <f>ROUND(I72*K72,0)</f>
        <v>43566</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2</v>
      </c>
      <c r="AA74" s="171" t="s">
        <v>129</v>
      </c>
      <c r="AB74" s="172">
        <f>+K75</f>
        <v>360</v>
      </c>
      <c r="AC74" s="55">
        <f>ROUND(AB74*Z74,0)</f>
        <v>720</v>
      </c>
      <c r="AD74" s="9"/>
    </row>
    <row r="75" spans="1:30" ht="19.5" customHeight="1" x14ac:dyDescent="0.3">
      <c r="A75" s="1" t="s">
        <v>130</v>
      </c>
      <c r="B75" s="173" t="s">
        <v>127</v>
      </c>
      <c r="C75" s="174" t="s">
        <v>128</v>
      </c>
      <c r="D75" s="333">
        <v>2</v>
      </c>
      <c r="E75" s="173">
        <v>0</v>
      </c>
      <c r="F75" s="173">
        <v>0</v>
      </c>
      <c r="G75" s="175">
        <f>IF(E75=0,D75,E75)</f>
        <v>2</v>
      </c>
      <c r="H75" s="176"/>
      <c r="I75" s="177">
        <f>AVERAGE(G75,D75)</f>
        <v>2</v>
      </c>
      <c r="J75" s="178" t="s">
        <v>129</v>
      </c>
      <c r="K75" s="179">
        <v>360</v>
      </c>
      <c r="L75" s="50">
        <f>ROUND(K75*I75,0)</f>
        <v>720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33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2.8670000000000002E-3</v>
      </c>
      <c r="L77" s="50">
        <f>ROUND(I77*K77,0)</f>
        <v>93803</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2.8670000000000002E-3</v>
      </c>
      <c r="L78" s="50">
        <f>ROUND(I78*K78,0)</f>
        <v>1917</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720</v>
      </c>
      <c r="AD81" s="195"/>
    </row>
    <row r="82" spans="1:30" ht="22.5" customHeight="1" thickTop="1" thickBot="1" x14ac:dyDescent="0.35">
      <c r="B82" s="13" t="s">
        <v>141</v>
      </c>
      <c r="C82" s="13"/>
      <c r="D82" s="314"/>
      <c r="E82" s="13"/>
      <c r="F82" s="13"/>
      <c r="G82" s="13"/>
      <c r="H82" s="13"/>
      <c r="I82" s="13"/>
      <c r="J82" s="13"/>
      <c r="K82" s="13"/>
      <c r="L82" s="196">
        <f>SUM(L44:L81)</f>
        <v>3252301</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'4012'!AC81</f>
        <v>720</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3252301</v>
      </c>
      <c r="L86" s="82">
        <f>IF(G26=0,0,IF(G26&gt;250,-(((250/G26)*K86)*IF(M86="H",0.02,0.05)),IF(M86="H",-0.02*K86,-0.05*K86)))</f>
        <v>-73432.611719229797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3178868.3882807703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1612970</v>
      </c>
      <c r="G89" s="13"/>
      <c r="H89" s="13"/>
      <c r="I89" s="13"/>
      <c r="J89" s="13"/>
      <c r="K89" s="206"/>
      <c r="L89" s="82">
        <v>-2134936</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1043932.3882807703</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260983.09707019257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89182.43828077022</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331</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332</v>
      </c>
      <c r="C123" s="219" t="s">
        <v>200</v>
      </c>
    </row>
    <row r="124" spans="2:3" ht="15.5" hidden="1" x14ac:dyDescent="0.35">
      <c r="B124" s="223" t="s">
        <v>333</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41646.4694675926</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51"/>
  <sheetViews>
    <sheetView topLeftCell="B74"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'4013'!B2</f>
        <v>50</v>
      </c>
      <c r="W2" s="413" t="s">
        <v>4</v>
      </c>
      <c r="X2" s="414"/>
      <c r="Y2" s="415"/>
      <c r="Z2" s="415"/>
      <c r="AA2" s="415"/>
      <c r="AB2" s="415"/>
      <c r="AC2" s="415"/>
      <c r="AD2" s="9"/>
    </row>
    <row r="3" spans="1:30" ht="20" x14ac:dyDescent="0.4">
      <c r="B3" s="10" t="str">
        <f>"Revenue Estimate Worksheet for "&amp;B124</f>
        <v>Revenue Estimate Worksheet for Somerset Acad Canyons Hg Sch</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'4013'!G7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IF('4013'!K$84=1,'4013'!G10,0)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IF('4013'!K$84=1,'4013'!G11,0)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IF('4013'!K$84=1,'4013'!G12,0)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IF('4013'!K$84=1,'4013'!G13,0)</f>
        <v>0</v>
      </c>
      <c r="Y13" s="396"/>
      <c r="Z13" s="397">
        <v>1</v>
      </c>
      <c r="AA13" s="397"/>
      <c r="AB13" s="54">
        <f t="shared" si="0"/>
        <v>0</v>
      </c>
      <c r="AC13" s="55">
        <f t="shared" si="1"/>
        <v>0</v>
      </c>
      <c r="AD13" s="9"/>
    </row>
    <row r="14" spans="1:30" x14ac:dyDescent="0.3">
      <c r="A14" s="1" t="s">
        <v>37</v>
      </c>
      <c r="B14" s="13" t="s">
        <v>38</v>
      </c>
      <c r="C14" s="13"/>
      <c r="D14" s="13">
        <v>45.01</v>
      </c>
      <c r="E14" s="13">
        <v>0</v>
      </c>
      <c r="F14" s="13">
        <v>117.32</v>
      </c>
      <c r="G14" s="46">
        <f t="shared" si="2"/>
        <v>90.02</v>
      </c>
      <c r="H14" s="47"/>
      <c r="I14" s="56">
        <v>1.0109999999999999</v>
      </c>
      <c r="J14" s="56"/>
      <c r="K14" s="49">
        <f t="shared" si="3"/>
        <v>91.010199999999998</v>
      </c>
      <c r="L14" s="50">
        <f t="shared" si="4"/>
        <v>352630</v>
      </c>
      <c r="N14" s="51">
        <v>5103</v>
      </c>
      <c r="O14" s="52">
        <v>103</v>
      </c>
      <c r="Q14" s="53"/>
      <c r="V14" s="357" t="s">
        <v>38</v>
      </c>
      <c r="W14" s="357"/>
      <c r="X14" s="396">
        <f>IF('4013'!K$84=1,'4013'!G14,0)</f>
        <v>0</v>
      </c>
      <c r="Y14" s="396"/>
      <c r="Z14" s="397">
        <v>1</v>
      </c>
      <c r="AA14" s="397"/>
      <c r="AB14" s="54">
        <f t="shared" si="0"/>
        <v>0</v>
      </c>
      <c r="AC14" s="55">
        <f t="shared" si="1"/>
        <v>0</v>
      </c>
      <c r="AD14" s="9"/>
    </row>
    <row r="15" spans="1:30" x14ac:dyDescent="0.3">
      <c r="A15" s="1" t="s">
        <v>39</v>
      </c>
      <c r="B15" s="13" t="s">
        <v>40</v>
      </c>
      <c r="C15" s="13"/>
      <c r="D15" s="13">
        <v>8.5</v>
      </c>
      <c r="E15" s="13">
        <v>0</v>
      </c>
      <c r="F15" s="13">
        <v>22.39</v>
      </c>
      <c r="G15" s="46">
        <f t="shared" si="2"/>
        <v>17</v>
      </c>
      <c r="H15" s="47"/>
      <c r="I15" s="56">
        <f>I14</f>
        <v>1.0109999999999999</v>
      </c>
      <c r="J15" s="56"/>
      <c r="K15" s="49">
        <f t="shared" si="3"/>
        <v>17.187000000000001</v>
      </c>
      <c r="L15" s="58">
        <f t="shared" si="4"/>
        <v>66593</v>
      </c>
      <c r="M15" s="1" t="str">
        <f>IF(ROUND(G15,2)=ROUND(SUM(G34:G36),2)," ","CHECK 2. PK-3 Lines Below")</f>
        <v xml:space="preserve"> </v>
      </c>
      <c r="N15" s="51">
        <v>5103</v>
      </c>
      <c r="O15" s="57" t="s">
        <v>41</v>
      </c>
      <c r="Q15" s="53"/>
      <c r="V15" s="357" t="s">
        <v>40</v>
      </c>
      <c r="W15" s="357"/>
      <c r="X15" s="396">
        <f>IF('4013'!K$84=1,'4013'!G15,0)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IF('4013'!K$84=1,'4013'!G16,0)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IF('4013'!K$84=1,'4013'!G17,0)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IF('4013'!K$84=1,'4013'!G18,0)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IF('4013'!K$84=1,'4013'!G19,0)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IF('4013'!K$84=1,'4013'!G20,0)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IF('4013'!K$84=1,'4013'!G21,0)</f>
        <v>0</v>
      </c>
      <c r="Y21" s="396"/>
      <c r="Z21" s="397">
        <v>1</v>
      </c>
      <c r="AA21" s="397"/>
      <c r="AB21" s="54">
        <f t="shared" si="0"/>
        <v>0</v>
      </c>
      <c r="AC21" s="55">
        <f t="shared" si="1"/>
        <v>0</v>
      </c>
      <c r="AD21" s="9"/>
    </row>
    <row r="22" spans="1:30" ht="15.5" x14ac:dyDescent="0.35">
      <c r="A22" s="1" t="s">
        <v>54</v>
      </c>
      <c r="B22" s="13" t="s">
        <v>55</v>
      </c>
      <c r="C22" s="13"/>
      <c r="D22" s="13">
        <v>0</v>
      </c>
      <c r="E22" s="13">
        <v>0</v>
      </c>
      <c r="F22" s="13">
        <v>0.77</v>
      </c>
      <c r="G22" s="46">
        <f t="shared" si="2"/>
        <v>0</v>
      </c>
      <c r="H22" s="47"/>
      <c r="I22" s="56">
        <v>1.145</v>
      </c>
      <c r="J22" s="56"/>
      <c r="K22" s="49">
        <f t="shared" si="3"/>
        <v>0</v>
      </c>
      <c r="L22" s="50">
        <f t="shared" si="4"/>
        <v>0</v>
      </c>
      <c r="N22" s="51">
        <v>5101</v>
      </c>
      <c r="O22" s="52">
        <v>130</v>
      </c>
      <c r="Q22" s="53"/>
      <c r="V22" s="357" t="s">
        <v>55</v>
      </c>
      <c r="W22" s="357"/>
      <c r="X22" s="396">
        <f>IF('4013'!K$84=1,'4013'!G22,0)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IF('4013'!K$84=1,'4013'!G23,0)</f>
        <v>0</v>
      </c>
      <c r="Y23" s="396"/>
      <c r="Z23" s="397">
        <v>1</v>
      </c>
      <c r="AA23" s="397"/>
      <c r="AB23" s="54">
        <f t="shared" si="0"/>
        <v>0</v>
      </c>
      <c r="AC23" s="55">
        <f t="shared" si="1"/>
        <v>0</v>
      </c>
      <c r="AD23" s="9"/>
    </row>
    <row r="24" spans="1:30" ht="15.5" x14ac:dyDescent="0.35">
      <c r="A24" s="1" t="s">
        <v>58</v>
      </c>
      <c r="B24" s="13" t="s">
        <v>59</v>
      </c>
      <c r="C24" s="13"/>
      <c r="D24" s="13">
        <v>0.28999999999999998</v>
      </c>
      <c r="E24" s="13">
        <v>0</v>
      </c>
      <c r="F24" s="13">
        <v>0</v>
      </c>
      <c r="G24" s="46">
        <f t="shared" si="2"/>
        <v>0.57999999999999996</v>
      </c>
      <c r="H24" s="47"/>
      <c r="I24" s="56">
        <f>I23</f>
        <v>1.145</v>
      </c>
      <c r="J24" s="56"/>
      <c r="K24" s="49">
        <f t="shared" si="3"/>
        <v>0.66410000000000002</v>
      </c>
      <c r="L24" s="50">
        <f t="shared" si="4"/>
        <v>2573</v>
      </c>
      <c r="N24" s="51">
        <v>5103</v>
      </c>
      <c r="O24" s="52">
        <v>130</v>
      </c>
      <c r="Q24" s="53"/>
      <c r="V24" s="357" t="s">
        <v>59</v>
      </c>
      <c r="W24" s="357"/>
      <c r="X24" s="396">
        <f>IF('4013'!K$84=1,'4013'!G24,0)</f>
        <v>0</v>
      </c>
      <c r="Y24" s="396"/>
      <c r="Z24" s="397">
        <v>1</v>
      </c>
      <c r="AA24" s="397"/>
      <c r="AB24" s="54">
        <f t="shared" si="0"/>
        <v>0</v>
      </c>
      <c r="AC24" s="55">
        <f t="shared" si="1"/>
        <v>0</v>
      </c>
      <c r="AD24" s="9"/>
    </row>
    <row r="25" spans="1:30" ht="16" thickBot="1" x14ac:dyDescent="0.4">
      <c r="A25" s="1" t="s">
        <v>60</v>
      </c>
      <c r="B25" s="13" t="s">
        <v>61</v>
      </c>
      <c r="C25" s="13"/>
      <c r="D25" s="13">
        <v>3.67</v>
      </c>
      <c r="E25" s="13">
        <v>0</v>
      </c>
      <c r="F25" s="13">
        <v>9.57</v>
      </c>
      <c r="G25" s="60">
        <f t="shared" si="2"/>
        <v>7.34</v>
      </c>
      <c r="H25" s="47"/>
      <c r="I25" s="56">
        <v>1.0109999999999999</v>
      </c>
      <c r="J25" s="56"/>
      <c r="K25" s="49">
        <f t="shared" si="3"/>
        <v>7.4207000000000001</v>
      </c>
      <c r="L25" s="50">
        <f t="shared" si="4"/>
        <v>28752</v>
      </c>
      <c r="N25" s="51">
        <v>5310</v>
      </c>
      <c r="O25" s="52">
        <v>300</v>
      </c>
      <c r="Q25" s="53"/>
      <c r="V25" s="357" t="s">
        <v>61</v>
      </c>
      <c r="W25" s="357"/>
      <c r="X25" s="396">
        <f>IF('4013'!K$84=1,'4013'!G25,0)</f>
        <v>0</v>
      </c>
      <c r="Y25" s="396"/>
      <c r="Z25" s="397">
        <v>1</v>
      </c>
      <c r="AA25" s="397"/>
      <c r="AB25" s="54">
        <f t="shared" si="0"/>
        <v>0</v>
      </c>
      <c r="AC25" s="55">
        <f t="shared" si="1"/>
        <v>0</v>
      </c>
      <c r="AD25" s="9"/>
    </row>
    <row r="26" spans="1:30" ht="20.25" customHeight="1" thickBot="1" x14ac:dyDescent="0.35">
      <c r="B26" s="61" t="s">
        <v>62</v>
      </c>
      <c r="C26" s="61"/>
      <c r="D26" s="62">
        <f t="shared" ref="D26:E26" si="5">SUM(D10:D25)</f>
        <v>57.47</v>
      </c>
      <c r="E26" s="62">
        <f t="shared" si="5"/>
        <v>0</v>
      </c>
      <c r="F26" s="62"/>
      <c r="G26" s="62">
        <f>SUM(G10:G25)</f>
        <v>114.94</v>
      </c>
      <c r="H26" s="63"/>
      <c r="I26" s="63"/>
      <c r="J26" s="64"/>
      <c r="K26" s="65">
        <f>SUM(K10:K25)</f>
        <v>116.282</v>
      </c>
      <c r="L26" s="66">
        <f>SUM(L10:L25)</f>
        <v>450548</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8.5</v>
      </c>
      <c r="E34" s="13">
        <v>0</v>
      </c>
      <c r="F34" s="89">
        <v>0</v>
      </c>
      <c r="G34" s="46">
        <f t="shared" si="7"/>
        <v>17</v>
      </c>
      <c r="H34" s="79"/>
      <c r="I34" s="90" t="s">
        <v>78</v>
      </c>
      <c r="J34" s="51">
        <v>251</v>
      </c>
      <c r="K34" s="81">
        <v>835</v>
      </c>
      <c r="L34" s="82">
        <f t="shared" si="8"/>
        <v>14195</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8.5</v>
      </c>
      <c r="E37" s="62">
        <f t="shared" si="10"/>
        <v>0</v>
      </c>
      <c r="F37" s="62"/>
      <c r="G37" s="62">
        <f>SUM(G28:G36)</f>
        <v>17</v>
      </c>
      <c r="H37" s="63"/>
      <c r="I37" s="13" t="s">
        <v>82</v>
      </c>
      <c r="J37" s="13"/>
      <c r="K37" s="13"/>
      <c r="L37" s="50">
        <f>SUM(L28:L36)</f>
        <v>14195</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22068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486811</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116.282</v>
      </c>
      <c r="D49" s="121"/>
      <c r="E49" s="121"/>
      <c r="F49" s="121"/>
      <c r="G49" s="122">
        <f>K7</f>
        <v>1.0326</v>
      </c>
      <c r="H49" s="122"/>
      <c r="I49" s="123">
        <v>900.39</v>
      </c>
      <c r="J49" s="124" t="s">
        <v>97</v>
      </c>
      <c r="K49" s="125">
        <f>ROUND(C49*G49*I49,0)</f>
        <v>108112</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116.282</v>
      </c>
      <c r="D50" s="144"/>
      <c r="E50" s="145"/>
      <c r="F50" s="145"/>
      <c r="G50" s="146" t="s">
        <v>99</v>
      </c>
      <c r="H50" s="146"/>
      <c r="I50" s="146"/>
      <c r="J50" s="146"/>
      <c r="K50" s="146"/>
      <c r="L50" s="50">
        <f>IF(B2=75,0,K49+K48+K47)</f>
        <v>108112</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116.282</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6.02E-4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114.94</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6.4099999999999997E-4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6.02E-4</v>
      </c>
      <c r="L59" s="50">
        <f>ROUND(I59*K59,0)</f>
        <v>2482</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6.02E-4</v>
      </c>
      <c r="L67" s="50">
        <f>ROUND(I67*K67,0)</f>
        <v>58258</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6.4099999999999997E-4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6.02E-4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6.02E-4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6.4099999999999997E-4</v>
      </c>
      <c r="L72" s="50">
        <f>ROUND(I72*K72,0)</f>
        <v>9049</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171"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6.02E-4</v>
      </c>
      <c r="L77" s="50">
        <f>ROUND(I77*K77,0)</f>
        <v>19696</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6.02E-4</v>
      </c>
      <c r="L78" s="50">
        <f>ROUND(I78*K78,0)</f>
        <v>403</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684811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'4013'!AC81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684811</v>
      </c>
      <c r="L86" s="82">
        <f>IF(G26=0,0,IF(G26&gt;250,-(((250/G26)*K86)*IF(M86="H",0.02,0.05)),IF(M86="H",-0.02*K86,-0.05*K86)))</f>
        <v>-34240.550000000003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650570.44999999995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344232</v>
      </c>
      <c r="G89" s="13"/>
      <c r="H89" s="13"/>
      <c r="I89" s="13"/>
      <c r="J89" s="13"/>
      <c r="K89" s="206"/>
      <c r="L89" s="82">
        <v>-446344</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204226.44999999995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51056.612499999988</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334</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335</v>
      </c>
      <c r="C123" s="219" t="s">
        <v>200</v>
      </c>
    </row>
    <row r="124" spans="2:3" ht="15.5" hidden="1" x14ac:dyDescent="0.35">
      <c r="B124" s="223" t="s">
        <v>336</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41646.469490740703</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51"/>
  <sheetViews>
    <sheetView topLeftCell="B79"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'4020'!B2</f>
        <v>50</v>
      </c>
      <c r="W2" s="413" t="s">
        <v>4</v>
      </c>
      <c r="X2" s="414"/>
      <c r="Y2" s="415"/>
      <c r="Z2" s="415"/>
      <c r="AA2" s="415"/>
      <c r="AB2" s="415"/>
      <c r="AC2" s="415"/>
      <c r="AD2" s="9"/>
    </row>
    <row r="3" spans="1:30" ht="20" x14ac:dyDescent="0.4">
      <c r="B3" s="10" t="str">
        <f>"Revenue Estimate Worksheet for "&amp;B124</f>
        <v>Revenue Estimate Worksheet for Franklin Academy Cht School B</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'4020'!G7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231.85</v>
      </c>
      <c r="E10" s="45">
        <v>0</v>
      </c>
      <c r="F10" s="45">
        <v>281.68</v>
      </c>
      <c r="G10" s="46">
        <f>IF(E10=0,D10*2,D10+E10)</f>
        <v>463.7</v>
      </c>
      <c r="H10" s="47"/>
      <c r="I10" s="48">
        <v>1.125</v>
      </c>
      <c r="J10" s="48"/>
      <c r="K10" s="49">
        <f>ROUND(G10*I10,4)</f>
        <v>521.66250000000002</v>
      </c>
      <c r="L10" s="50">
        <f>ROUND(ROUND(K10*$G$7,4)*($K$7),0)</f>
        <v>2021247</v>
      </c>
      <c r="N10" s="51">
        <v>5101</v>
      </c>
      <c r="O10" s="52">
        <v>101</v>
      </c>
      <c r="Q10" s="53"/>
      <c r="V10" s="404" t="s">
        <v>28</v>
      </c>
      <c r="W10" s="404"/>
      <c r="X10" s="396">
        <f>IF('4020'!K$84=1,'4020'!G10,0)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36</v>
      </c>
      <c r="E11" s="13">
        <v>0</v>
      </c>
      <c r="F11" s="13">
        <v>44.81</v>
      </c>
      <c r="G11" s="46">
        <f t="shared" ref="G11:G25" si="2">IF(E11=0,D11*2,D11+E11)</f>
        <v>72</v>
      </c>
      <c r="H11" s="47"/>
      <c r="I11" s="56">
        <f>I10</f>
        <v>1.125</v>
      </c>
      <c r="J11" s="56"/>
      <c r="K11" s="49">
        <f t="shared" ref="K11:K25" si="3">ROUND(G11*I11,4)</f>
        <v>81</v>
      </c>
      <c r="L11" s="50">
        <f t="shared" ref="L11:L25" si="4">ROUND(ROUND(K11*$G$7,4)*($K$7),0)</f>
        <v>313845</v>
      </c>
      <c r="M11" s="1" t="str">
        <f>IF(ROUND(G11,2)=ROUND(SUM(G28:G30),2)," ","CHECK 2. PK-3 Lines Below")</f>
        <v xml:space="preserve"> </v>
      </c>
      <c r="N11" s="51">
        <v>5101</v>
      </c>
      <c r="O11" s="57" t="s">
        <v>31</v>
      </c>
      <c r="Q11" s="53"/>
      <c r="V11" s="357" t="s">
        <v>30</v>
      </c>
      <c r="W11" s="357"/>
      <c r="X11" s="396">
        <f>IF('4020'!K$84=1,'4020'!G11,0)</f>
        <v>0</v>
      </c>
      <c r="Y11" s="396"/>
      <c r="Z11" s="397">
        <v>1</v>
      </c>
      <c r="AA11" s="397"/>
      <c r="AB11" s="54">
        <f t="shared" si="0"/>
        <v>0</v>
      </c>
      <c r="AC11" s="55">
        <f t="shared" si="1"/>
        <v>0</v>
      </c>
      <c r="AD11" s="9"/>
    </row>
    <row r="12" spans="1:30" x14ac:dyDescent="0.3">
      <c r="A12" s="1" t="s">
        <v>32</v>
      </c>
      <c r="B12" s="13" t="s">
        <v>33</v>
      </c>
      <c r="C12" s="13"/>
      <c r="D12" s="314">
        <v>231</v>
      </c>
      <c r="E12" s="13">
        <v>0</v>
      </c>
      <c r="F12" s="13">
        <v>275.64999999999998</v>
      </c>
      <c r="G12" s="46">
        <f t="shared" si="2"/>
        <v>462</v>
      </c>
      <c r="H12" s="47"/>
      <c r="I12" s="56">
        <v>1</v>
      </c>
      <c r="J12" s="56"/>
      <c r="K12" s="49">
        <f t="shared" si="3"/>
        <v>462</v>
      </c>
      <c r="L12" s="50">
        <f t="shared" si="4"/>
        <v>1790077</v>
      </c>
      <c r="N12" s="51">
        <v>5102</v>
      </c>
      <c r="O12" s="52">
        <v>102</v>
      </c>
      <c r="Q12" s="53"/>
      <c r="V12" s="357" t="s">
        <v>33</v>
      </c>
      <c r="W12" s="357"/>
      <c r="X12" s="396">
        <f>IF('4020'!K$84=1,'4020'!G12,0)</f>
        <v>0</v>
      </c>
      <c r="Y12" s="396"/>
      <c r="Z12" s="397">
        <v>1</v>
      </c>
      <c r="AA12" s="397"/>
      <c r="AB12" s="54">
        <f t="shared" si="0"/>
        <v>0</v>
      </c>
      <c r="AC12" s="55">
        <f t="shared" si="1"/>
        <v>0</v>
      </c>
      <c r="AD12" s="9"/>
    </row>
    <row r="13" spans="1:30" x14ac:dyDescent="0.3">
      <c r="A13" s="1" t="s">
        <v>34</v>
      </c>
      <c r="B13" s="13" t="s">
        <v>35</v>
      </c>
      <c r="C13" s="13"/>
      <c r="D13" s="314">
        <v>50</v>
      </c>
      <c r="E13" s="13">
        <v>0</v>
      </c>
      <c r="F13" s="13">
        <v>61.66</v>
      </c>
      <c r="G13" s="46">
        <f t="shared" si="2"/>
        <v>100</v>
      </c>
      <c r="H13" s="47"/>
      <c r="I13" s="56">
        <f>I12</f>
        <v>1</v>
      </c>
      <c r="J13" s="56"/>
      <c r="K13" s="49">
        <f t="shared" si="3"/>
        <v>100</v>
      </c>
      <c r="L13" s="50">
        <f t="shared" si="4"/>
        <v>387462</v>
      </c>
      <c r="M13" s="1" t="str">
        <f>IF(ROUND(G13,2)=ROUND(SUM(G31:G33),2)," ","CHECK 2. PK-3 Lines Below")</f>
        <v xml:space="preserve"> </v>
      </c>
      <c r="N13" s="51">
        <v>5102</v>
      </c>
      <c r="O13" s="57" t="s">
        <v>36</v>
      </c>
      <c r="Q13" s="53"/>
      <c r="V13" s="357" t="s">
        <v>35</v>
      </c>
      <c r="W13" s="357"/>
      <c r="X13" s="396">
        <f>IF('4020'!K$84=1,'4020'!G13,0)</f>
        <v>0</v>
      </c>
      <c r="Y13" s="396"/>
      <c r="Z13" s="397">
        <v>1</v>
      </c>
      <c r="AA13" s="397"/>
      <c r="AB13" s="54">
        <f t="shared" si="0"/>
        <v>0</v>
      </c>
      <c r="AC13" s="55">
        <f t="shared" si="1"/>
        <v>0</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IF('4020'!K$84=1,'4020'!G14,0)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IF('4020'!K$84=1,'4020'!G15,0)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IF('4020'!K$84=1,'4020'!G16,0)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IF('4020'!K$84=1,'4020'!G17,0)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IF('4020'!K$84=1,'4020'!G18,0)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IF('4020'!K$84=1,'4020'!G19,0)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IF('4020'!K$84=1,'4020'!G20,0)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IF('4020'!K$84=1,'4020'!G21,0)</f>
        <v>0</v>
      </c>
      <c r="Y21" s="396"/>
      <c r="Z21" s="397">
        <v>1</v>
      </c>
      <c r="AA21" s="397"/>
      <c r="AB21" s="54">
        <f t="shared" si="0"/>
        <v>0</v>
      </c>
      <c r="AC21" s="55">
        <f t="shared" si="1"/>
        <v>0</v>
      </c>
      <c r="AD21" s="9"/>
    </row>
    <row r="22" spans="1:30" ht="15.5" x14ac:dyDescent="0.35">
      <c r="A22" s="1" t="s">
        <v>54</v>
      </c>
      <c r="B22" s="13" t="s">
        <v>55</v>
      </c>
      <c r="C22" s="13"/>
      <c r="D22" s="314">
        <v>10.42</v>
      </c>
      <c r="E22" s="13">
        <v>0</v>
      </c>
      <c r="F22" s="13">
        <v>17.11</v>
      </c>
      <c r="G22" s="46">
        <f t="shared" si="2"/>
        <v>20.84</v>
      </c>
      <c r="H22" s="47"/>
      <c r="I22" s="56">
        <v>1.145</v>
      </c>
      <c r="J22" s="56"/>
      <c r="K22" s="49">
        <f t="shared" si="3"/>
        <v>23.861799999999999</v>
      </c>
      <c r="L22" s="50">
        <f t="shared" si="4"/>
        <v>92456</v>
      </c>
      <c r="N22" s="51">
        <v>5101</v>
      </c>
      <c r="O22" s="52">
        <v>130</v>
      </c>
      <c r="Q22" s="53"/>
      <c r="V22" s="357" t="s">
        <v>55</v>
      </c>
      <c r="W22" s="357"/>
      <c r="X22" s="396">
        <f>IF('4020'!K$84=1,'4020'!G22,0)</f>
        <v>0</v>
      </c>
      <c r="Y22" s="396"/>
      <c r="Z22" s="397">
        <v>1</v>
      </c>
      <c r="AA22" s="397"/>
      <c r="AB22" s="54">
        <f t="shared" si="0"/>
        <v>0</v>
      </c>
      <c r="AC22" s="55">
        <f t="shared" si="1"/>
        <v>0</v>
      </c>
      <c r="AD22" s="9"/>
    </row>
    <row r="23" spans="1:30" ht="15.5" x14ac:dyDescent="0.35">
      <c r="A23" s="1" t="s">
        <v>56</v>
      </c>
      <c r="B23" s="13" t="s">
        <v>57</v>
      </c>
      <c r="C23" s="13"/>
      <c r="D23" s="314">
        <v>3.75</v>
      </c>
      <c r="E23" s="13">
        <v>0</v>
      </c>
      <c r="F23" s="13">
        <v>0</v>
      </c>
      <c r="G23" s="46">
        <f t="shared" si="2"/>
        <v>7.5</v>
      </c>
      <c r="H23" s="47"/>
      <c r="I23" s="56">
        <f>I22</f>
        <v>1.145</v>
      </c>
      <c r="J23" s="56"/>
      <c r="K23" s="49">
        <f t="shared" si="3"/>
        <v>8.5875000000000004</v>
      </c>
      <c r="L23" s="50">
        <f t="shared" si="4"/>
        <v>33273</v>
      </c>
      <c r="N23" s="51">
        <v>5102</v>
      </c>
      <c r="O23" s="52">
        <v>130</v>
      </c>
      <c r="Q23" s="53"/>
      <c r="V23" s="357" t="s">
        <v>57</v>
      </c>
      <c r="W23" s="357"/>
      <c r="X23" s="396">
        <f>IF('4020'!K$84=1,'4020'!G23,0)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IF('4020'!K$84=1,'4020'!G24,0)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IF('4020'!K$84=1,'4020'!G25,0)</f>
        <v>0</v>
      </c>
      <c r="Y25" s="396"/>
      <c r="Z25" s="397">
        <v>1</v>
      </c>
      <c r="AA25" s="397"/>
      <c r="AB25" s="54">
        <f t="shared" si="0"/>
        <v>0</v>
      </c>
      <c r="AC25" s="55">
        <f t="shared" si="1"/>
        <v>0</v>
      </c>
      <c r="AD25" s="9"/>
    </row>
    <row r="26" spans="1:30" ht="20.25" customHeight="1" thickBot="1" x14ac:dyDescent="0.35">
      <c r="B26" s="61" t="s">
        <v>62</v>
      </c>
      <c r="C26" s="61"/>
      <c r="D26" s="320">
        <f t="shared" ref="D26:E26" si="5">SUM(D10:D25)</f>
        <v>563.02</v>
      </c>
      <c r="E26" s="62">
        <f t="shared" si="5"/>
        <v>0</v>
      </c>
      <c r="F26" s="62"/>
      <c r="G26" s="62">
        <f>SUM(G10:G25)</f>
        <v>1126.04</v>
      </c>
      <c r="H26" s="63"/>
      <c r="I26" s="63"/>
      <c r="J26" s="64"/>
      <c r="K26" s="65">
        <f>SUM(K10:K25)</f>
        <v>1197.1117999999999</v>
      </c>
      <c r="L26" s="66">
        <f>SUM(L10:L25)</f>
        <v>4638360</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36</v>
      </c>
      <c r="E28" s="13">
        <v>0</v>
      </c>
      <c r="F28" s="78">
        <v>0</v>
      </c>
      <c r="G28" s="46">
        <f>IF(E28=0,D28*2,D28+E28)</f>
        <v>72</v>
      </c>
      <c r="H28" s="79"/>
      <c r="I28" s="80" t="s">
        <v>70</v>
      </c>
      <c r="J28" s="51">
        <v>251</v>
      </c>
      <c r="K28" s="81">
        <v>1047</v>
      </c>
      <c r="L28" s="82">
        <f>ROUND(G28*K28,0)</f>
        <v>75384</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50</v>
      </c>
      <c r="E31" s="13">
        <v>0</v>
      </c>
      <c r="F31" s="89">
        <v>0</v>
      </c>
      <c r="G31" s="46">
        <f t="shared" si="7"/>
        <v>100</v>
      </c>
      <c r="H31" s="79"/>
      <c r="I31" s="90" t="s">
        <v>74</v>
      </c>
      <c r="J31" s="51">
        <v>251</v>
      </c>
      <c r="K31" s="81">
        <v>1173</v>
      </c>
      <c r="L31" s="82">
        <f t="shared" si="8"/>
        <v>117300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86</v>
      </c>
      <c r="E37" s="62">
        <f t="shared" si="10"/>
        <v>0</v>
      </c>
      <c r="F37" s="62"/>
      <c r="G37" s="62">
        <f>SUM(G28:G36)</f>
        <v>172</v>
      </c>
      <c r="H37" s="63"/>
      <c r="I37" s="13" t="s">
        <v>82</v>
      </c>
      <c r="J37" s="13"/>
      <c r="K37" s="13"/>
      <c r="L37" s="50">
        <f>SUM(L28:L36)</f>
        <v>192684</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216200</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5047244</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626.52430000000004</v>
      </c>
      <c r="D47" s="329"/>
      <c r="E47" s="121"/>
      <c r="F47" s="121"/>
      <c r="G47" s="122">
        <f>K7</f>
        <v>1.0326</v>
      </c>
      <c r="H47" s="122"/>
      <c r="I47" s="123">
        <v>1316.85</v>
      </c>
      <c r="J47" s="124" t="s">
        <v>97</v>
      </c>
      <c r="K47" s="125">
        <f>ROUND(C47*G47*I47,0)</f>
        <v>851935</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570.58749999999998</v>
      </c>
      <c r="D48" s="329"/>
      <c r="E48" s="121"/>
      <c r="F48" s="121"/>
      <c r="G48" s="122">
        <f>K7</f>
        <v>1.0326</v>
      </c>
      <c r="H48" s="122"/>
      <c r="I48" s="123">
        <v>898.23</v>
      </c>
      <c r="J48" s="124" t="s">
        <v>97</v>
      </c>
      <c r="K48" s="125">
        <f>ROUND(C48*G48*I48,0)</f>
        <v>529227</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329"/>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1197.1118000000001</v>
      </c>
      <c r="D50" s="330"/>
      <c r="E50" s="145"/>
      <c r="F50" s="145"/>
      <c r="G50" s="146" t="s">
        <v>99</v>
      </c>
      <c r="H50" s="146"/>
      <c r="I50" s="146"/>
      <c r="J50" s="146"/>
      <c r="K50" s="146"/>
      <c r="L50" s="50">
        <f>IF(B2=75,0,K49+K48+K47)</f>
        <v>1381162</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1197.1117999999999</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6.1980000000000004E-3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1126.04</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6.2769999999999996E-3</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6.1980000000000004E-3</v>
      </c>
      <c r="L59" s="50">
        <f>ROUND(I59*K59,0)</f>
        <v>25553</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6.1980000000000004E-3</v>
      </c>
      <c r="L67" s="50">
        <f>ROUND(I67*K67,0)</f>
        <v>599809</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6.2769999999999996E-3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6.1980000000000004E-3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6.1980000000000004E-3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6.2769999999999996E-3</v>
      </c>
      <c r="L72" s="50">
        <f>ROUND(I72*K72,0)</f>
        <v>88614</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209</v>
      </c>
      <c r="AA74" s="171" t="s">
        <v>129</v>
      </c>
      <c r="AB74" s="172">
        <f>+K75</f>
        <v>360</v>
      </c>
      <c r="AC74" s="55">
        <f>ROUND(AB74*Z74,0)</f>
        <v>75240</v>
      </c>
      <c r="AD74" s="9"/>
    </row>
    <row r="75" spans="1:30" ht="19.5" customHeight="1" x14ac:dyDescent="0.3">
      <c r="A75" s="1" t="s">
        <v>130</v>
      </c>
      <c r="B75" s="173" t="s">
        <v>127</v>
      </c>
      <c r="C75" s="174" t="s">
        <v>128</v>
      </c>
      <c r="D75" s="333">
        <v>209</v>
      </c>
      <c r="E75" s="173">
        <v>0</v>
      </c>
      <c r="F75" s="173">
        <v>0</v>
      </c>
      <c r="G75" s="175">
        <f>IF(E75=0,D75,E75)</f>
        <v>209</v>
      </c>
      <c r="H75" s="176"/>
      <c r="I75" s="177">
        <f>AVERAGE(G75,D75)</f>
        <v>209</v>
      </c>
      <c r="J75" s="178" t="s">
        <v>129</v>
      </c>
      <c r="K75" s="179">
        <v>360</v>
      </c>
      <c r="L75" s="50">
        <f>ROUND(K75*I75,0)</f>
        <v>75240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33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6.1980000000000004E-3</v>
      </c>
      <c r="L77" s="50">
        <f>ROUND(I77*K77,0)</f>
        <v>202788</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6.1980000000000004E-3</v>
      </c>
      <c r="L78" s="50">
        <f>ROUND(I78*K78,0)</f>
        <v>4144</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75240</v>
      </c>
      <c r="AD81" s="195"/>
    </row>
    <row r="82" spans="1:30" ht="22.5" customHeight="1" thickTop="1" thickBot="1" x14ac:dyDescent="0.35">
      <c r="B82" s="13" t="s">
        <v>141</v>
      </c>
      <c r="C82" s="13"/>
      <c r="D82" s="314"/>
      <c r="E82" s="13"/>
      <c r="F82" s="13"/>
      <c r="G82" s="13"/>
      <c r="H82" s="13"/>
      <c r="I82" s="13"/>
      <c r="J82" s="13"/>
      <c r="K82" s="13"/>
      <c r="L82" s="196">
        <f>SUM(L44:L81)</f>
        <v>7424554</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'4020'!AC81</f>
        <v>75240</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7424554</v>
      </c>
      <c r="L86" s="82">
        <f>IF(G26=0,0,IF(G26&gt;250,-(((250/G26)*K86)*IF(M86="H",0.02,0.05)),IF(M86="H",-0.02*K86,-0.05*K86)))</f>
        <v>-82418.85279386169</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7342135.1472061379</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3538425</v>
      </c>
      <c r="G89" s="13"/>
      <c r="H89" s="13"/>
      <c r="I89" s="13"/>
      <c r="J89" s="13"/>
      <c r="K89" s="206"/>
      <c r="L89" s="82">
        <v>-4806460</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2535675.1472061379</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633918.78680153447</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288808.84720613831</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337</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338</v>
      </c>
      <c r="C123" s="219" t="s">
        <v>200</v>
      </c>
    </row>
    <row r="124" spans="2:3" ht="15.5" hidden="1" x14ac:dyDescent="0.35">
      <c r="B124" s="223" t="s">
        <v>339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41646.469502314802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'4037'!B2</f>
        <v>50</v>
      </c>
      <c r="W2" s="413" t="s">
        <v>4</v>
      </c>
      <c r="X2" s="414"/>
      <c r="Y2" s="415"/>
      <c r="Z2" s="415"/>
      <c r="AA2" s="415"/>
      <c r="AB2" s="415"/>
      <c r="AC2" s="415"/>
      <c r="AD2" s="9"/>
    </row>
    <row r="3" spans="1:30" ht="20" x14ac:dyDescent="0.4">
      <c r="B3" s="10" t="str">
        <f>"Revenue Estimate Worksheet for "&amp;B124</f>
        <v>Revenue Estimate Worksheet for Learning Path Academy</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'4037'!G7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5.66</v>
      </c>
      <c r="E10" s="45">
        <v>0</v>
      </c>
      <c r="F10" s="45">
        <v>6.51</v>
      </c>
      <c r="G10" s="46">
        <f>IF(E10=0,D10*2,D10+E10)</f>
        <v>11.32</v>
      </c>
      <c r="H10" s="47"/>
      <c r="I10" s="48">
        <v>1.125</v>
      </c>
      <c r="J10" s="48"/>
      <c r="K10" s="49">
        <f>ROUND(G10*I10,4)</f>
        <v>12.734999999999999</v>
      </c>
      <c r="L10" s="50">
        <f>ROUND(ROUND(K10*$G$7,4)*($K$7),0)</f>
        <v>49343</v>
      </c>
      <c r="N10" s="51">
        <v>5101</v>
      </c>
      <c r="O10" s="52">
        <v>101</v>
      </c>
      <c r="Q10" s="53"/>
      <c r="V10" s="404" t="s">
        <v>28</v>
      </c>
      <c r="W10" s="404"/>
      <c r="X10" s="396">
        <f>IF('4037'!K$84=1,'4037'!G10,0)</f>
        <v>11.32</v>
      </c>
      <c r="Y10" s="396"/>
      <c r="Z10" s="405">
        <v>1</v>
      </c>
      <c r="AA10" s="405"/>
      <c r="AB10" s="54">
        <f t="shared" ref="AB10:AB25" si="0">ROUND(X10*Z10,4)</f>
        <v>11.32</v>
      </c>
      <c r="AC10" s="55">
        <f t="shared" ref="AC10:AC25" si="1">ROUND(ROUND(AB10*$X$7,4)*($AB$7),0)</f>
        <v>43861</v>
      </c>
      <c r="AD10" s="9">
        <v>1</v>
      </c>
    </row>
    <row r="11" spans="1:30" x14ac:dyDescent="0.3">
      <c r="A11" s="1" t="s">
        <v>29</v>
      </c>
      <c r="B11" s="13" t="s">
        <v>30</v>
      </c>
      <c r="C11" s="13"/>
      <c r="D11" s="314">
        <v>40</v>
      </c>
      <c r="E11" s="13">
        <v>0</v>
      </c>
      <c r="F11" s="13">
        <v>61.25</v>
      </c>
      <c r="G11" s="46">
        <f t="shared" ref="G11:G25" si="2">IF(E11=0,D11*2,D11+E11)</f>
        <v>80</v>
      </c>
      <c r="H11" s="47"/>
      <c r="I11" s="56">
        <f>I10</f>
        <v>1.125</v>
      </c>
      <c r="J11" s="56"/>
      <c r="K11" s="49">
        <f t="shared" ref="K11:K25" si="3">ROUND(G11*I11,4)</f>
        <v>90</v>
      </c>
      <c r="L11" s="50">
        <f t="shared" ref="L11:L25" si="4">ROUND(ROUND(K11*$G$7,4)*($K$7),0)</f>
        <v>348716</v>
      </c>
      <c r="M11" s="1" t="str">
        <f>IF(ROUND(G11,2)=ROUND(SUM(G28:G30),2)," ","CHECK 2. PK-3 Lines Below")</f>
        <v xml:space="preserve"> </v>
      </c>
      <c r="N11" s="51">
        <v>5101</v>
      </c>
      <c r="O11" s="57" t="s">
        <v>31</v>
      </c>
      <c r="Q11" s="53"/>
      <c r="V11" s="357" t="s">
        <v>30</v>
      </c>
      <c r="W11" s="357"/>
      <c r="X11" s="396">
        <f>IF('4037'!K$84=1,'4037'!G11,0)</f>
        <v>80</v>
      </c>
      <c r="Y11" s="396"/>
      <c r="Z11" s="397">
        <v>1</v>
      </c>
      <c r="AA11" s="397"/>
      <c r="AB11" s="54">
        <f t="shared" si="0"/>
        <v>80</v>
      </c>
      <c r="AC11" s="55">
        <f t="shared" si="1"/>
        <v>309970</v>
      </c>
      <c r="AD11" s="9"/>
    </row>
    <row r="12" spans="1:30" x14ac:dyDescent="0.3">
      <c r="A12" s="1" t="s">
        <v>32</v>
      </c>
      <c r="B12" s="13" t="s">
        <v>33</v>
      </c>
      <c r="C12" s="13"/>
      <c r="D12" s="314">
        <v>1.0900000000000001</v>
      </c>
      <c r="E12" s="13">
        <v>0</v>
      </c>
      <c r="F12" s="13">
        <v>1.25</v>
      </c>
      <c r="G12" s="46">
        <f t="shared" si="2"/>
        <v>2.1800000000000002</v>
      </c>
      <c r="H12" s="47"/>
      <c r="I12" s="56">
        <v>1</v>
      </c>
      <c r="J12" s="56"/>
      <c r="K12" s="49">
        <f t="shared" si="3"/>
        <v>2.1800000000000002</v>
      </c>
      <c r="L12" s="50">
        <f t="shared" si="4"/>
        <v>8447</v>
      </c>
      <c r="N12" s="51">
        <v>5102</v>
      </c>
      <c r="O12" s="52">
        <v>102</v>
      </c>
      <c r="Q12" s="53"/>
      <c r="V12" s="357" t="s">
        <v>33</v>
      </c>
      <c r="W12" s="357"/>
      <c r="X12" s="396">
        <f>IF('4037'!K$84=1,'4037'!G12,0)</f>
        <v>2.1800000000000002</v>
      </c>
      <c r="Y12" s="396"/>
      <c r="Z12" s="397">
        <v>1</v>
      </c>
      <c r="AA12" s="397"/>
      <c r="AB12" s="54">
        <f t="shared" si="0"/>
        <v>2.1800000000000002</v>
      </c>
      <c r="AC12" s="55">
        <f t="shared" si="1"/>
        <v>8447</v>
      </c>
      <c r="AD12" s="9"/>
    </row>
    <row r="13" spans="1:30" x14ac:dyDescent="0.3">
      <c r="A13" s="1" t="s">
        <v>34</v>
      </c>
      <c r="B13" s="13" t="s">
        <v>35</v>
      </c>
      <c r="C13" s="13"/>
      <c r="D13" s="314">
        <v>3</v>
      </c>
      <c r="E13" s="13">
        <v>0</v>
      </c>
      <c r="F13" s="13">
        <v>3.83</v>
      </c>
      <c r="G13" s="46">
        <f t="shared" si="2"/>
        <v>6</v>
      </c>
      <c r="H13" s="47"/>
      <c r="I13" s="56">
        <f>I12</f>
        <v>1</v>
      </c>
      <c r="J13" s="56"/>
      <c r="K13" s="49">
        <f t="shared" si="3"/>
        <v>6</v>
      </c>
      <c r="L13" s="50">
        <f t="shared" si="4"/>
        <v>23248</v>
      </c>
      <c r="M13" s="1" t="str">
        <f>IF(ROUND(G13,2)=ROUND(SUM(G31:G33),2)," ","CHECK 2. PK-3 Lines Below")</f>
        <v xml:space="preserve"> </v>
      </c>
      <c r="N13" s="51">
        <v>5102</v>
      </c>
      <c r="O13" s="57" t="s">
        <v>36</v>
      </c>
      <c r="Q13" s="53"/>
      <c r="V13" s="357" t="s">
        <v>35</v>
      </c>
      <c r="W13" s="357"/>
      <c r="X13" s="396">
        <f>IF('4037'!K$84=1,'4037'!G13,0)</f>
        <v>6</v>
      </c>
      <c r="Y13" s="396"/>
      <c r="Z13" s="397">
        <v>1</v>
      </c>
      <c r="AA13" s="397"/>
      <c r="AB13" s="54">
        <f t="shared" si="0"/>
        <v>6</v>
      </c>
      <c r="AC13" s="55">
        <f t="shared" si="1"/>
        <v>23248</v>
      </c>
      <c r="AD13" s="9"/>
    </row>
    <row r="14" spans="1:30" x14ac:dyDescent="0.3">
      <c r="A14" s="1" t="s">
        <v>37</v>
      </c>
      <c r="B14" s="13" t="s">
        <v>38</v>
      </c>
      <c r="C14" s="13"/>
      <c r="D14" s="314">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IF('4037'!K$84=1,'4037'!G14,0)</f>
        <v>0</v>
      </c>
      <c r="Y14" s="396"/>
      <c r="Z14" s="397">
        <v>1</v>
      </c>
      <c r="AA14" s="397"/>
      <c r="AB14" s="54">
        <f t="shared" si="0"/>
        <v>0</v>
      </c>
      <c r="AC14" s="55">
        <f t="shared" si="1"/>
        <v>0</v>
      </c>
      <c r="AD14" s="9"/>
    </row>
    <row r="15" spans="1:30" x14ac:dyDescent="0.3">
      <c r="A15" s="1" t="s">
        <v>39</v>
      </c>
      <c r="B15" s="13" t="s">
        <v>40</v>
      </c>
      <c r="C15" s="13"/>
      <c r="D15" s="314">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IF('4037'!K$84=1,'4037'!G15,0)</f>
        <v>0</v>
      </c>
      <c r="Y15" s="396"/>
      <c r="Z15" s="397">
        <v>1</v>
      </c>
      <c r="AA15" s="397"/>
      <c r="AB15" s="54">
        <f t="shared" si="0"/>
        <v>0</v>
      </c>
      <c r="AC15" s="59">
        <f t="shared" si="1"/>
        <v>0</v>
      </c>
      <c r="AD15" s="9"/>
    </row>
    <row r="16" spans="1:30" ht="15.5" x14ac:dyDescent="0.35">
      <c r="A16" s="1" t="s">
        <v>42</v>
      </c>
      <c r="B16" s="13" t="s">
        <v>43</v>
      </c>
      <c r="C16" s="13"/>
      <c r="D16" s="314">
        <v>0.5</v>
      </c>
      <c r="E16" s="13">
        <v>0</v>
      </c>
      <c r="F16" s="13">
        <v>0.68</v>
      </c>
      <c r="G16" s="46">
        <f t="shared" si="2"/>
        <v>1</v>
      </c>
      <c r="H16" s="47"/>
      <c r="I16" s="56">
        <v>3.5579999999999998</v>
      </c>
      <c r="J16" s="56"/>
      <c r="K16" s="49">
        <f t="shared" si="3"/>
        <v>3.5579999999999998</v>
      </c>
      <c r="L16" s="50">
        <f t="shared" si="4"/>
        <v>13786</v>
      </c>
      <c r="N16" s="51">
        <v>5101</v>
      </c>
      <c r="O16" s="1">
        <v>254</v>
      </c>
      <c r="Q16" s="53"/>
      <c r="V16" s="357" t="s">
        <v>43</v>
      </c>
      <c r="W16" s="357"/>
      <c r="X16" s="396">
        <f>IF('4037'!K$84=1,'4037'!G16,0)</f>
        <v>1</v>
      </c>
      <c r="Y16" s="396"/>
      <c r="Z16" s="397">
        <v>1</v>
      </c>
      <c r="AA16" s="397"/>
      <c r="AB16" s="54">
        <f t="shared" si="0"/>
        <v>1</v>
      </c>
      <c r="AC16" s="55">
        <f t="shared" si="1"/>
        <v>3875</v>
      </c>
      <c r="AD16" s="9"/>
    </row>
    <row r="17" spans="1:30" ht="15.5" x14ac:dyDescent="0.35">
      <c r="A17" s="1" t="s">
        <v>44</v>
      </c>
      <c r="B17" s="13" t="s">
        <v>45</v>
      </c>
      <c r="C17" s="13"/>
      <c r="D17" s="314">
        <v>0</v>
      </c>
      <c r="E17" s="13">
        <v>0</v>
      </c>
      <c r="F17" s="13">
        <v>0.68</v>
      </c>
      <c r="G17" s="46">
        <f t="shared" si="2"/>
        <v>0</v>
      </c>
      <c r="H17" s="47"/>
      <c r="I17" s="56">
        <f>I16</f>
        <v>3.5579999999999998</v>
      </c>
      <c r="J17" s="56"/>
      <c r="K17" s="49">
        <f t="shared" si="3"/>
        <v>0</v>
      </c>
      <c r="L17" s="50">
        <f t="shared" si="4"/>
        <v>0</v>
      </c>
      <c r="N17" s="51">
        <v>5102</v>
      </c>
      <c r="O17" s="53">
        <v>254</v>
      </c>
      <c r="Q17" s="53"/>
      <c r="V17" s="357" t="s">
        <v>45</v>
      </c>
      <c r="W17" s="357"/>
      <c r="X17" s="396">
        <f>IF('4037'!K$84=1,'4037'!G17,0)</f>
        <v>0</v>
      </c>
      <c r="Y17" s="396"/>
      <c r="Z17" s="397">
        <v>1</v>
      </c>
      <c r="AA17" s="397"/>
      <c r="AB17" s="54">
        <f t="shared" si="0"/>
        <v>0</v>
      </c>
      <c r="AC17" s="55">
        <f t="shared" si="1"/>
        <v>0</v>
      </c>
      <c r="AD17" s="9"/>
    </row>
    <row r="18" spans="1:30" ht="15.5" x14ac:dyDescent="0.35">
      <c r="A18" s="1" t="s">
        <v>46</v>
      </c>
      <c r="B18" s="13" t="s">
        <v>47</v>
      </c>
      <c r="C18" s="13"/>
      <c r="D18" s="314">
        <v>0</v>
      </c>
      <c r="E18" s="13">
        <v>0</v>
      </c>
      <c r="F18" s="13">
        <v>0.68</v>
      </c>
      <c r="G18" s="46">
        <f t="shared" si="2"/>
        <v>0</v>
      </c>
      <c r="H18" s="47"/>
      <c r="I18" s="56">
        <f>I17</f>
        <v>3.5579999999999998</v>
      </c>
      <c r="J18" s="56"/>
      <c r="K18" s="49">
        <f t="shared" si="3"/>
        <v>0</v>
      </c>
      <c r="L18" s="50">
        <f t="shared" si="4"/>
        <v>0</v>
      </c>
      <c r="N18" s="51">
        <v>5103</v>
      </c>
      <c r="O18" s="53">
        <v>254</v>
      </c>
      <c r="Q18" s="53"/>
      <c r="V18" s="357" t="s">
        <v>47</v>
      </c>
      <c r="W18" s="357"/>
      <c r="X18" s="396">
        <f>IF('4037'!K$84=1,'4037'!G18,0)</f>
        <v>0</v>
      </c>
      <c r="Y18" s="396"/>
      <c r="Z18" s="397">
        <v>1</v>
      </c>
      <c r="AA18" s="397"/>
      <c r="AB18" s="54">
        <f t="shared" si="0"/>
        <v>0</v>
      </c>
      <c r="AC18" s="55">
        <f t="shared" si="1"/>
        <v>0</v>
      </c>
      <c r="AD18" s="9"/>
    </row>
    <row r="19" spans="1:30" ht="15" customHeight="1" x14ac:dyDescent="0.35">
      <c r="A19" s="1" t="s">
        <v>48</v>
      </c>
      <c r="B19" s="13" t="s">
        <v>49</v>
      </c>
      <c r="C19" s="13"/>
      <c r="D19" s="314">
        <v>0.5</v>
      </c>
      <c r="E19" s="13">
        <v>0</v>
      </c>
      <c r="F19" s="13">
        <v>0.66</v>
      </c>
      <c r="G19" s="46">
        <f t="shared" si="2"/>
        <v>1</v>
      </c>
      <c r="H19" s="47"/>
      <c r="I19" s="56">
        <v>5.0890000000000004</v>
      </c>
      <c r="J19" s="56"/>
      <c r="K19" s="49">
        <f t="shared" si="3"/>
        <v>5.0890000000000004</v>
      </c>
      <c r="L19" s="50">
        <f t="shared" si="4"/>
        <v>19718</v>
      </c>
      <c r="N19" s="51">
        <v>5101</v>
      </c>
      <c r="O19" s="1">
        <v>255</v>
      </c>
      <c r="Q19" s="53"/>
      <c r="V19" s="357" t="s">
        <v>49</v>
      </c>
      <c r="W19" s="357"/>
      <c r="X19" s="396">
        <f>IF('4037'!K$84=1,'4037'!G19,0)</f>
        <v>1</v>
      </c>
      <c r="Y19" s="396"/>
      <c r="Z19" s="397">
        <v>1</v>
      </c>
      <c r="AA19" s="397"/>
      <c r="AB19" s="54">
        <f t="shared" si="0"/>
        <v>1</v>
      </c>
      <c r="AC19" s="55">
        <f t="shared" si="1"/>
        <v>3875</v>
      </c>
      <c r="AD19" s="9"/>
    </row>
    <row r="20" spans="1:30" ht="15" customHeight="1" x14ac:dyDescent="0.35">
      <c r="A20" s="1" t="s">
        <v>50</v>
      </c>
      <c r="B20" s="13" t="s">
        <v>51</v>
      </c>
      <c r="C20" s="13"/>
      <c r="D20" s="314">
        <v>0</v>
      </c>
      <c r="E20" s="13">
        <v>0</v>
      </c>
      <c r="F20" s="13">
        <v>0.66</v>
      </c>
      <c r="G20" s="46">
        <f t="shared" si="2"/>
        <v>0</v>
      </c>
      <c r="H20" s="47"/>
      <c r="I20" s="56">
        <f>I19</f>
        <v>5.0890000000000004</v>
      </c>
      <c r="J20" s="56"/>
      <c r="K20" s="49">
        <f t="shared" si="3"/>
        <v>0</v>
      </c>
      <c r="L20" s="50">
        <f t="shared" si="4"/>
        <v>0</v>
      </c>
      <c r="N20" s="51">
        <v>5102</v>
      </c>
      <c r="O20" s="53">
        <v>255</v>
      </c>
      <c r="Q20" s="53"/>
      <c r="V20" s="357" t="s">
        <v>51</v>
      </c>
      <c r="W20" s="357"/>
      <c r="X20" s="396">
        <f>IF('4037'!K$84=1,'4037'!G20,0)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0.66</v>
      </c>
      <c r="G21" s="46">
        <f t="shared" si="2"/>
        <v>0</v>
      </c>
      <c r="H21" s="47"/>
      <c r="I21" s="56">
        <f>I20</f>
        <v>5.0890000000000004</v>
      </c>
      <c r="J21" s="56"/>
      <c r="K21" s="49">
        <f t="shared" si="3"/>
        <v>0</v>
      </c>
      <c r="L21" s="50">
        <f t="shared" si="4"/>
        <v>0</v>
      </c>
      <c r="N21" s="51">
        <v>5103</v>
      </c>
      <c r="O21" s="53">
        <v>255</v>
      </c>
      <c r="Q21" s="53"/>
      <c r="V21" s="357" t="s">
        <v>53</v>
      </c>
      <c r="W21" s="357"/>
      <c r="X21" s="396">
        <f>IF('4037'!K$84=1,'4037'!G21,0)</f>
        <v>0</v>
      </c>
      <c r="Y21" s="396"/>
      <c r="Z21" s="397">
        <v>1</v>
      </c>
      <c r="AA21" s="397"/>
      <c r="AB21" s="54">
        <f t="shared" si="0"/>
        <v>0</v>
      </c>
      <c r="AC21" s="55">
        <f t="shared" si="1"/>
        <v>0</v>
      </c>
      <c r="AD21" s="9"/>
    </row>
    <row r="22" spans="1:30" ht="15.5" x14ac:dyDescent="0.35">
      <c r="A22" s="1" t="s">
        <v>54</v>
      </c>
      <c r="B22" s="13" t="s">
        <v>55</v>
      </c>
      <c r="C22" s="13"/>
      <c r="D22" s="314">
        <v>7.75</v>
      </c>
      <c r="E22" s="13">
        <v>0</v>
      </c>
      <c r="F22" s="13">
        <v>9</v>
      </c>
      <c r="G22" s="46">
        <f t="shared" si="2"/>
        <v>15.5</v>
      </c>
      <c r="H22" s="47"/>
      <c r="I22" s="56">
        <v>1.145</v>
      </c>
      <c r="J22" s="56"/>
      <c r="K22" s="49">
        <f t="shared" si="3"/>
        <v>17.747499999999999</v>
      </c>
      <c r="L22" s="50">
        <f t="shared" si="4"/>
        <v>68765</v>
      </c>
      <c r="N22" s="51">
        <v>5101</v>
      </c>
      <c r="O22" s="52">
        <v>130</v>
      </c>
      <c r="Q22" s="53"/>
      <c r="V22" s="357" t="s">
        <v>55</v>
      </c>
      <c r="W22" s="357"/>
      <c r="X22" s="396">
        <f>IF('4037'!K$84=1,'4037'!G22,0)</f>
        <v>15.5</v>
      </c>
      <c r="Y22" s="396"/>
      <c r="Z22" s="397">
        <v>1</v>
      </c>
      <c r="AA22" s="397"/>
      <c r="AB22" s="54">
        <f t="shared" si="0"/>
        <v>15.5</v>
      </c>
      <c r="AC22" s="55">
        <f t="shared" si="1"/>
        <v>60057</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IF('4037'!K$84=1,'4037'!G23,0)</f>
        <v>0</v>
      </c>
      <c r="Y23" s="396"/>
      <c r="Z23" s="397">
        <v>1</v>
      </c>
      <c r="AA23" s="397"/>
      <c r="AB23" s="54">
        <f t="shared" si="0"/>
        <v>0</v>
      </c>
      <c r="AC23" s="55">
        <f t="shared" si="1"/>
        <v>0</v>
      </c>
      <c r="AD23" s="9"/>
    </row>
    <row r="24" spans="1:30" ht="15.5" x14ac:dyDescent="0.35">
      <c r="A24" s="1" t="s">
        <v>58</v>
      </c>
      <c r="B24" s="13" t="s">
        <v>59</v>
      </c>
      <c r="C24" s="13"/>
      <c r="D24" s="314">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IF('4037'!K$84=1,'4037'!G24,0)</f>
        <v>0</v>
      </c>
      <c r="Y24" s="396"/>
      <c r="Z24" s="397">
        <v>1</v>
      </c>
      <c r="AA24" s="397"/>
      <c r="AB24" s="54">
        <f t="shared" si="0"/>
        <v>0</v>
      </c>
      <c r="AC24" s="55">
        <f t="shared" si="1"/>
        <v>0</v>
      </c>
      <c r="AD24" s="9"/>
    </row>
    <row r="25" spans="1:30" ht="16" thickBot="1" x14ac:dyDescent="0.4">
      <c r="A25" s="1" t="s">
        <v>60</v>
      </c>
      <c r="B25" s="13" t="s">
        <v>61</v>
      </c>
      <c r="C25" s="13"/>
      <c r="D25" s="314">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IF('4037'!K$84=1,'4037'!G25,0)</f>
        <v>0</v>
      </c>
      <c r="Y25" s="396"/>
      <c r="Z25" s="397">
        <v>1</v>
      </c>
      <c r="AA25" s="397"/>
      <c r="AB25" s="54">
        <f t="shared" si="0"/>
        <v>0</v>
      </c>
      <c r="AC25" s="55">
        <f t="shared" si="1"/>
        <v>0</v>
      </c>
      <c r="AD25" s="9"/>
    </row>
    <row r="26" spans="1:30" ht="20.25" customHeight="1" thickBot="1" x14ac:dyDescent="0.35">
      <c r="B26" s="61" t="s">
        <v>62</v>
      </c>
      <c r="C26" s="61"/>
      <c r="D26" s="320">
        <f t="shared" ref="D26:E26" si="5">SUM(D10:D25)</f>
        <v>58.5</v>
      </c>
      <c r="E26" s="62">
        <f t="shared" si="5"/>
        <v>0</v>
      </c>
      <c r="F26" s="62"/>
      <c r="G26" s="62">
        <f>SUM(G10:G25)</f>
        <v>117</v>
      </c>
      <c r="H26" s="63"/>
      <c r="I26" s="63"/>
      <c r="J26" s="64"/>
      <c r="K26" s="65">
        <f>SUM(K10:K25)</f>
        <v>137.30950000000001</v>
      </c>
      <c r="L26" s="66">
        <f>SUM(L10:L25)</f>
        <v>532023</v>
      </c>
      <c r="N26" s="53"/>
      <c r="O26" s="67"/>
      <c r="P26" s="53"/>
      <c r="Q26" s="53"/>
      <c r="V26" s="398" t="s">
        <v>62</v>
      </c>
      <c r="W26" s="398"/>
      <c r="X26" s="387">
        <f>SUM(X10:X25)</f>
        <v>117</v>
      </c>
      <c r="Y26" s="387"/>
      <c r="Z26" s="399"/>
      <c r="AA26" s="400"/>
      <c r="AB26" s="68">
        <f>SUM(AB10:AB25)</f>
        <v>117</v>
      </c>
      <c r="AC26" s="69">
        <f>SUM(AC10:AC25)</f>
        <v>453333</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29.5</v>
      </c>
      <c r="E28" s="13">
        <v>0</v>
      </c>
      <c r="F28" s="78">
        <v>10</v>
      </c>
      <c r="G28" s="46">
        <f>IF(E28=0,D28*2,D28+E28)</f>
        <v>59</v>
      </c>
      <c r="H28" s="79"/>
      <c r="I28" s="80" t="s">
        <v>70</v>
      </c>
      <c r="J28" s="51">
        <v>251</v>
      </c>
      <c r="K28" s="81">
        <v>1047</v>
      </c>
      <c r="L28" s="82">
        <f>ROUND(G28*K28,0)</f>
        <v>61773</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7</v>
      </c>
      <c r="E30" s="13">
        <v>0</v>
      </c>
      <c r="F30" s="89">
        <v>7</v>
      </c>
      <c r="G30" s="46">
        <f t="shared" si="7"/>
        <v>14</v>
      </c>
      <c r="H30" s="79"/>
      <c r="I30" s="51" t="s">
        <v>70</v>
      </c>
      <c r="J30" s="51">
        <v>253</v>
      </c>
      <c r="K30" s="81">
        <v>6896</v>
      </c>
      <c r="L30" s="82">
        <f t="shared" si="8"/>
        <v>96544</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2.5</v>
      </c>
      <c r="E31" s="13">
        <v>0</v>
      </c>
      <c r="F31" s="89">
        <v>1</v>
      </c>
      <c r="G31" s="46">
        <f t="shared" si="7"/>
        <v>5</v>
      </c>
      <c r="H31" s="79"/>
      <c r="I31" s="90" t="s">
        <v>74</v>
      </c>
      <c r="J31" s="51">
        <v>251</v>
      </c>
      <c r="K31" s="81">
        <v>1173</v>
      </c>
      <c r="L31" s="82">
        <f t="shared" si="8"/>
        <v>5865</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0.5</v>
      </c>
      <c r="E32" s="13">
        <v>0</v>
      </c>
      <c r="F32" s="89">
        <v>0.5</v>
      </c>
      <c r="G32" s="46">
        <f t="shared" si="7"/>
        <v>1</v>
      </c>
      <c r="H32" s="79"/>
      <c r="I32" s="90" t="s">
        <v>74</v>
      </c>
      <c r="J32" s="51">
        <v>252</v>
      </c>
      <c r="K32" s="81">
        <v>3506</v>
      </c>
      <c r="L32" s="82">
        <f t="shared" si="8"/>
        <v>3506</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 t="shared" ref="D37:E37" si="10">SUM(D28:D36)</f>
        <v>43</v>
      </c>
      <c r="E37" s="62">
        <f t="shared" si="10"/>
        <v>0</v>
      </c>
      <c r="F37" s="62"/>
      <c r="G37" s="62">
        <f>SUM(G28:G36)</f>
        <v>86</v>
      </c>
      <c r="H37" s="63"/>
      <c r="I37" s="13" t="s">
        <v>82</v>
      </c>
      <c r="J37" s="13"/>
      <c r="K37" s="13"/>
      <c r="L37" s="50">
        <f>SUM(L28:L36)</f>
        <v>191348</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22464</v>
      </c>
      <c r="N40" s="103"/>
      <c r="O40" s="103"/>
      <c r="P40" s="103"/>
      <c r="Q40" s="103"/>
      <c r="V40" s="382" t="s">
        <v>86</v>
      </c>
      <c r="W40" s="382"/>
      <c r="X40" s="383">
        <f>+G40</f>
        <v>179393.64</v>
      </c>
      <c r="Y40" s="383"/>
      <c r="Z40" s="383"/>
      <c r="AA40" s="383"/>
      <c r="AB40" s="55">
        <f>ROUND(X39/X40,0)</f>
        <v>192</v>
      </c>
      <c r="AC40" s="55">
        <f>ROUND(AB40*$X$26,0)</f>
        <v>22464</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745835</v>
      </c>
      <c r="O44" s="1"/>
      <c r="V44" s="376" t="s">
        <v>90</v>
      </c>
      <c r="W44" s="376"/>
      <c r="X44" s="376"/>
      <c r="Y44" s="376"/>
      <c r="Z44" s="376"/>
      <c r="AA44" s="376"/>
      <c r="AB44" s="376"/>
      <c r="AC44" s="111">
        <f>SUM(AC26,AC37,AC40)</f>
        <v>475797</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129.12950000000001</v>
      </c>
      <c r="D47" s="329"/>
      <c r="E47" s="121"/>
      <c r="F47" s="121"/>
      <c r="G47" s="122">
        <f>K7</f>
        <v>1.0326</v>
      </c>
      <c r="H47" s="122"/>
      <c r="I47" s="123">
        <v>1316.85</v>
      </c>
      <c r="J47" s="124" t="s">
        <v>97</v>
      </c>
      <c r="K47" s="125">
        <f>ROUND(C47*G47*I47,0)</f>
        <v>175588</v>
      </c>
      <c r="L47" s="126"/>
      <c r="O47" s="1"/>
      <c r="V47" s="106" t="s">
        <v>96</v>
      </c>
      <c r="W47" s="127">
        <f>AB10+AB11+AB16+AB19+AB22</f>
        <v>108.82</v>
      </c>
      <c r="X47" s="369">
        <f>AB7</f>
        <v>1.0326</v>
      </c>
      <c r="Y47" s="369"/>
      <c r="Z47" s="128">
        <f>+I47</f>
        <v>1316.85</v>
      </c>
      <c r="AA47" s="129" t="s">
        <v>97</v>
      </c>
      <c r="AB47" s="130">
        <f>ROUND(W47*X47*Z47,0)</f>
        <v>147971</v>
      </c>
      <c r="AC47" s="131"/>
      <c r="AD47" s="9"/>
    </row>
    <row r="48" spans="1:30" ht="18" customHeight="1" x14ac:dyDescent="0.3">
      <c r="B48" s="132" t="s">
        <v>74</v>
      </c>
      <c r="C48" s="121">
        <f>K12+K13+K17+K20+K23</f>
        <v>8.18</v>
      </c>
      <c r="D48" s="329"/>
      <c r="E48" s="121"/>
      <c r="F48" s="121"/>
      <c r="G48" s="122">
        <f>K7</f>
        <v>1.0326</v>
      </c>
      <c r="H48" s="122"/>
      <c r="I48" s="123">
        <v>898.23</v>
      </c>
      <c r="J48" s="124" t="s">
        <v>97</v>
      </c>
      <c r="K48" s="125">
        <f>ROUND(C48*G48*I48,0)</f>
        <v>7587</v>
      </c>
      <c r="L48" s="61"/>
      <c r="O48" s="1"/>
      <c r="V48" s="133" t="s">
        <v>74</v>
      </c>
      <c r="W48" s="127">
        <f>AB12+AB13+AB17+AB20+AB23</f>
        <v>8.18</v>
      </c>
      <c r="X48" s="369">
        <f>AB7</f>
        <v>1.0326</v>
      </c>
      <c r="Y48" s="369"/>
      <c r="Z48" s="128">
        <f>+I48</f>
        <v>898.23</v>
      </c>
      <c r="AA48" s="129" t="s">
        <v>97</v>
      </c>
      <c r="AB48" s="130">
        <f>ROUND(W48*X48*Z48,0)</f>
        <v>7587</v>
      </c>
      <c r="AC48" s="134"/>
      <c r="AD48" s="9"/>
    </row>
    <row r="49" spans="2:30" ht="19.5" customHeight="1" thickBot="1" x14ac:dyDescent="0.4">
      <c r="B49" s="135" t="s">
        <v>78</v>
      </c>
      <c r="C49" s="136">
        <f>K14+K15+K18+K21+K24+K25</f>
        <v>0</v>
      </c>
      <c r="D49" s="329"/>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137.30950000000001</v>
      </c>
      <c r="D50" s="330"/>
      <c r="E50" s="145"/>
      <c r="F50" s="145"/>
      <c r="G50" s="146" t="s">
        <v>99</v>
      </c>
      <c r="H50" s="146"/>
      <c r="I50" s="146"/>
      <c r="J50" s="146"/>
      <c r="K50" s="146"/>
      <c r="L50" s="50">
        <f>IF(B2=75,0,K49+K48+K47)</f>
        <v>183175</v>
      </c>
      <c r="N50" s="3"/>
      <c r="O50" s="1"/>
      <c r="V50" s="147" t="s">
        <v>98</v>
      </c>
      <c r="W50" s="148">
        <f>SUM(W47:W49)</f>
        <v>117</v>
      </c>
      <c r="X50" s="370" t="s">
        <v>99</v>
      </c>
      <c r="Y50" s="371"/>
      <c r="Z50" s="371"/>
      <c r="AA50" s="371"/>
      <c r="AB50" s="371"/>
      <c r="AC50" s="55">
        <f>IF(V2=75,0,AB49+AB48+AB47)</f>
        <v>155558</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137.30950000000001</v>
      </c>
      <c r="H53" s="56" t="s">
        <v>103</v>
      </c>
      <c r="I53" s="56"/>
      <c r="J53" s="152">
        <v>193142.74</v>
      </c>
      <c r="K53" s="152"/>
      <c r="L53" s="152"/>
      <c r="N53" s="3"/>
      <c r="O53" s="1"/>
      <c r="V53" s="364" t="s">
        <v>102</v>
      </c>
      <c r="W53" s="364"/>
      <c r="X53" s="153">
        <f>AB26</f>
        <v>117</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7.1100000000000004E-4</v>
      </c>
      <c r="L54" s="154"/>
      <c r="N54" s="67"/>
      <c r="O54" s="1"/>
      <c r="V54" s="364" t="s">
        <v>104</v>
      </c>
      <c r="W54" s="364"/>
      <c r="X54" s="364"/>
      <c r="Y54" s="364"/>
      <c r="Z54" s="364"/>
      <c r="AA54" s="364"/>
      <c r="AB54" s="367">
        <f>ROUND(X53/AA53,6)</f>
        <v>6.0599999999999998E-4</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117</v>
      </c>
      <c r="H56" s="56" t="s">
        <v>107</v>
      </c>
      <c r="I56" s="56"/>
      <c r="J56" s="152">
        <v>179393.64</v>
      </c>
      <c r="K56" s="152"/>
      <c r="L56" s="152"/>
      <c r="O56" s="1"/>
      <c r="V56" s="364" t="s">
        <v>106</v>
      </c>
      <c r="W56" s="364"/>
      <c r="X56" s="156">
        <f>X26</f>
        <v>117</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6.5200000000000002E-4</v>
      </c>
      <c r="L57" s="154"/>
      <c r="O57" s="1"/>
      <c r="V57" s="364" t="s">
        <v>108</v>
      </c>
      <c r="W57" s="364"/>
      <c r="X57" s="364"/>
      <c r="Y57" s="364"/>
      <c r="Z57" s="364"/>
      <c r="AA57" s="364"/>
      <c r="AB57" s="367">
        <f>ROUND(X56/AA56,6)</f>
        <v>6.5200000000000002E-4</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6.0599999999999998E-4</v>
      </c>
      <c r="AC58" s="55">
        <f>ROUND(Y58*AB58,0)</f>
        <v>2498</v>
      </c>
      <c r="AD58" s="9"/>
    </row>
    <row r="59" spans="2:30" x14ac:dyDescent="0.3">
      <c r="B59" s="61" t="s">
        <v>110</v>
      </c>
      <c r="C59" s="61"/>
      <c r="D59" s="327"/>
      <c r="E59" s="61"/>
      <c r="F59" s="61"/>
      <c r="G59" s="61"/>
      <c r="H59" s="160" t="s">
        <v>22</v>
      </c>
      <c r="I59" s="125">
        <f>G66+G65+G63+G62+G61</f>
        <v>4122856</v>
      </c>
      <c r="J59" s="161" t="s">
        <v>111</v>
      </c>
      <c r="K59" s="162">
        <f>K54</f>
        <v>7.1100000000000004E-4</v>
      </c>
      <c r="L59" s="50">
        <f>ROUND(I59*K59,0)</f>
        <v>2931</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6.0599999999999998E-4</v>
      </c>
      <c r="AC66" s="55">
        <f>ROUND(Y66*AB66,0)</f>
        <v>58645</v>
      </c>
      <c r="AD66" s="9"/>
    </row>
    <row r="67" spans="1:30" ht="20.25" customHeight="1" x14ac:dyDescent="0.3">
      <c r="B67" s="13" t="s">
        <v>119</v>
      </c>
      <c r="C67" s="13"/>
      <c r="D67" s="314"/>
      <c r="E67" s="13"/>
      <c r="F67" s="13"/>
      <c r="H67" s="160" t="s">
        <v>25</v>
      </c>
      <c r="I67" s="125">
        <v>96774526</v>
      </c>
      <c r="J67" s="161" t="s">
        <v>111</v>
      </c>
      <c r="K67" s="162">
        <f>K54</f>
        <v>7.1100000000000004E-4</v>
      </c>
      <c r="L67" s="50">
        <f>ROUND(I67*K67,0)</f>
        <v>68807</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6.5200000000000002E-4</v>
      </c>
      <c r="AC68" s="55">
        <f>ROUND(Y68*AB68,0)</f>
        <v>0</v>
      </c>
      <c r="AD68" s="9"/>
    </row>
    <row r="69" spans="1:30" ht="15" customHeight="1" x14ac:dyDescent="0.3">
      <c r="B69" s="166" t="s">
        <v>121</v>
      </c>
      <c r="C69" s="13"/>
      <c r="D69" s="314"/>
      <c r="E69" s="13"/>
      <c r="F69" s="13"/>
      <c r="H69" s="160" t="s">
        <v>23</v>
      </c>
      <c r="I69" s="125">
        <v>0</v>
      </c>
      <c r="J69" s="161" t="s">
        <v>111</v>
      </c>
      <c r="K69" s="162">
        <f>K57</f>
        <v>6.5200000000000002E-4</v>
      </c>
      <c r="L69" s="50">
        <f>ROUND(I69*K69,0)</f>
        <v>0</v>
      </c>
      <c r="O69" s="1"/>
      <c r="V69" s="354" t="s">
        <v>122</v>
      </c>
      <c r="W69" s="354"/>
      <c r="X69" s="354"/>
      <c r="Y69" s="360">
        <f>+I70</f>
        <v>0</v>
      </c>
      <c r="Z69" s="360"/>
      <c r="AA69" s="158" t="s">
        <v>111</v>
      </c>
      <c r="AB69" s="159">
        <f>AB54</f>
        <v>6.0599999999999998E-4</v>
      </c>
      <c r="AC69" s="55">
        <f>ROUND(Y69*AB69,0)</f>
        <v>0</v>
      </c>
      <c r="AD69" s="9"/>
    </row>
    <row r="70" spans="1:30" ht="20.25" customHeight="1" x14ac:dyDescent="0.3">
      <c r="B70" s="13" t="s">
        <v>122</v>
      </c>
      <c r="C70" s="13"/>
      <c r="D70" s="314"/>
      <c r="E70" s="13"/>
      <c r="F70" s="13"/>
      <c r="H70" s="160" t="s">
        <v>22</v>
      </c>
      <c r="I70" s="125">
        <v>0</v>
      </c>
      <c r="J70" s="161" t="s">
        <v>111</v>
      </c>
      <c r="K70" s="162">
        <f>K54</f>
        <v>7.1100000000000004E-4</v>
      </c>
      <c r="L70" s="50">
        <f>ROUND(I70*K70,0)</f>
        <v>0</v>
      </c>
      <c r="O70" s="1"/>
      <c r="V70" s="354" t="s">
        <v>123</v>
      </c>
      <c r="W70" s="354"/>
      <c r="X70" s="354"/>
      <c r="Y70" s="356">
        <f>+I71</f>
        <v>0</v>
      </c>
      <c r="Z70" s="356"/>
      <c r="AA70" s="158" t="s">
        <v>111</v>
      </c>
      <c r="AB70" s="159">
        <f>AB54</f>
        <v>6.0599999999999998E-4</v>
      </c>
      <c r="AC70" s="55">
        <f>ROUND(Y70*AB70,0)</f>
        <v>0</v>
      </c>
      <c r="AD70" s="9"/>
    </row>
    <row r="71" spans="1:30" ht="20.25" customHeight="1" x14ac:dyDescent="0.3">
      <c r="B71" s="13" t="s">
        <v>123</v>
      </c>
      <c r="C71" s="13"/>
      <c r="D71" s="314"/>
      <c r="E71" s="13"/>
      <c r="F71" s="13"/>
      <c r="H71" s="160" t="s">
        <v>22</v>
      </c>
      <c r="I71" s="125">
        <v>0</v>
      </c>
      <c r="J71" s="161" t="s">
        <v>111</v>
      </c>
      <c r="K71" s="162">
        <f>K54</f>
        <v>7.1100000000000004E-4</v>
      </c>
      <c r="L71" s="50">
        <f>ROUND(I71*K71,0)</f>
        <v>0</v>
      </c>
      <c r="O71" s="1"/>
      <c r="V71" s="354" t="s">
        <v>124</v>
      </c>
      <c r="W71" s="354"/>
      <c r="X71" s="354"/>
      <c r="Y71" s="356">
        <f>+I72</f>
        <v>14117224</v>
      </c>
      <c r="Z71" s="356"/>
      <c r="AA71" s="158" t="s">
        <v>111</v>
      </c>
      <c r="AB71" s="159">
        <f>AB57</f>
        <v>6.5200000000000002E-4</v>
      </c>
      <c r="AC71" s="55">
        <f>ROUND(Y71*AB71,0)</f>
        <v>9204</v>
      </c>
      <c r="AD71" s="9"/>
    </row>
    <row r="72" spans="1:30" ht="21" customHeight="1" x14ac:dyDescent="0.35">
      <c r="B72" s="13" t="s">
        <v>124</v>
      </c>
      <c r="C72" s="13"/>
      <c r="D72" s="314"/>
      <c r="E72" s="13"/>
      <c r="F72" s="13"/>
      <c r="H72" s="160" t="s">
        <v>23</v>
      </c>
      <c r="I72" s="125">
        <v>14117224</v>
      </c>
      <c r="J72" s="161" t="s">
        <v>111</v>
      </c>
      <c r="K72" s="162">
        <f>K57</f>
        <v>6.5200000000000002E-4</v>
      </c>
      <c r="L72" s="50">
        <f>ROUND(I72*K72,0)</f>
        <v>9204</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69</v>
      </c>
      <c r="AA74" s="171" t="s">
        <v>129</v>
      </c>
      <c r="AB74" s="172">
        <f>+K75</f>
        <v>360</v>
      </c>
      <c r="AC74" s="55">
        <f>ROUND(AB74*Z74,0)</f>
        <v>24840</v>
      </c>
      <c r="AD74" s="9"/>
    </row>
    <row r="75" spans="1:30" ht="19.5" customHeight="1" x14ac:dyDescent="0.3">
      <c r="A75" s="1" t="s">
        <v>130</v>
      </c>
      <c r="B75" s="173" t="s">
        <v>127</v>
      </c>
      <c r="C75" s="174" t="s">
        <v>128</v>
      </c>
      <c r="D75" s="333">
        <v>69</v>
      </c>
      <c r="E75" s="173">
        <v>0</v>
      </c>
      <c r="F75" s="173">
        <v>0</v>
      </c>
      <c r="G75" s="175">
        <f>IF(E75=0,D75,E75)</f>
        <v>69</v>
      </c>
      <c r="H75" s="176"/>
      <c r="I75" s="177">
        <f>AVERAGE(G75,D75)</f>
        <v>69</v>
      </c>
      <c r="J75" s="178" t="s">
        <v>129</v>
      </c>
      <c r="K75" s="179">
        <v>360</v>
      </c>
      <c r="L75" s="50">
        <f>ROUND(K75*I75,0)</f>
        <v>24840</v>
      </c>
      <c r="N75" s="1">
        <v>7802</v>
      </c>
      <c r="O75" s="1">
        <v>0</v>
      </c>
      <c r="V75" s="358" t="s">
        <v>127</v>
      </c>
      <c r="W75" s="358"/>
      <c r="X75" s="168" t="s">
        <v>131</v>
      </c>
      <c r="Y75" s="180"/>
      <c r="Z75" s="181">
        <f>+I76</f>
        <v>21</v>
      </c>
      <c r="AA75" s="171" t="s">
        <v>129</v>
      </c>
      <c r="AB75" s="182">
        <f>+K76</f>
        <v>1355</v>
      </c>
      <c r="AC75" s="55">
        <f>ROUND(AB75*Z75,0)</f>
        <v>28455</v>
      </c>
      <c r="AD75" s="9"/>
    </row>
    <row r="76" spans="1:30" ht="19.5" customHeight="1" x14ac:dyDescent="0.3">
      <c r="A76" s="1" t="s">
        <v>132</v>
      </c>
      <c r="B76" s="173" t="s">
        <v>127</v>
      </c>
      <c r="C76" s="174" t="s">
        <v>131</v>
      </c>
      <c r="D76" s="333">
        <v>21</v>
      </c>
      <c r="E76" s="173">
        <v>0</v>
      </c>
      <c r="F76" s="173">
        <v>0</v>
      </c>
      <c r="G76" s="175">
        <f>IF(E76=0,D76,E76)</f>
        <v>21</v>
      </c>
      <c r="H76" s="176"/>
      <c r="I76" s="177">
        <f>AVERAGE(G76,D76)</f>
        <v>21</v>
      </c>
      <c r="J76" s="178" t="s">
        <v>129</v>
      </c>
      <c r="K76" s="183">
        <v>1355</v>
      </c>
      <c r="L76" s="50">
        <f>ROUND(K76*I76,0)</f>
        <v>28455</v>
      </c>
      <c r="N76" s="1">
        <v>7802</v>
      </c>
      <c r="O76" s="1">
        <v>110</v>
      </c>
      <c r="V76" s="354" t="s">
        <v>133</v>
      </c>
      <c r="W76" s="354"/>
      <c r="X76" s="354"/>
      <c r="Y76" s="355">
        <f>+I77</f>
        <v>32718286</v>
      </c>
      <c r="Z76" s="355"/>
      <c r="AA76" s="171" t="s">
        <v>129</v>
      </c>
      <c r="AB76" s="159">
        <f>AB54</f>
        <v>6.0599999999999998E-4</v>
      </c>
      <c r="AC76" s="55">
        <f>ROUND(Y76*AB76,0)</f>
        <v>19827</v>
      </c>
      <c r="AD76" s="9"/>
    </row>
    <row r="77" spans="1:30" ht="26.25" customHeight="1" x14ac:dyDescent="0.3">
      <c r="B77" s="13" t="s">
        <v>133</v>
      </c>
      <c r="C77" s="13"/>
      <c r="D77" s="314"/>
      <c r="E77" s="13"/>
      <c r="F77" s="13"/>
      <c r="H77" s="160" t="s">
        <v>134</v>
      </c>
      <c r="I77" s="184">
        <v>32718286</v>
      </c>
      <c r="J77" s="161" t="s">
        <v>111</v>
      </c>
      <c r="K77" s="162">
        <f>K54</f>
        <v>7.1100000000000004E-4</v>
      </c>
      <c r="L77" s="50">
        <f>ROUND(I77*K77,0)</f>
        <v>23263</v>
      </c>
      <c r="O77" s="1"/>
      <c r="V77" s="354" t="str">
        <f>+B78</f>
        <v>15.  Additional Allocation (WFTE share)</v>
      </c>
      <c r="W77" s="354"/>
      <c r="X77" s="354"/>
      <c r="Y77" s="355">
        <f>+I78</f>
        <v>668680</v>
      </c>
      <c r="Z77" s="355"/>
      <c r="AA77" s="171" t="s">
        <v>129</v>
      </c>
      <c r="AB77" s="159">
        <f>AB54</f>
        <v>6.0599999999999998E-4</v>
      </c>
      <c r="AC77" s="55">
        <f>ROUND(Y77*AB77,0)</f>
        <v>405</v>
      </c>
      <c r="AD77" s="9"/>
    </row>
    <row r="78" spans="1:30" ht="26.25" customHeight="1" x14ac:dyDescent="0.3">
      <c r="B78" s="353" t="s">
        <v>135</v>
      </c>
      <c r="C78" s="353"/>
      <c r="D78" s="353"/>
      <c r="E78" s="13"/>
      <c r="F78" s="13"/>
      <c r="H78" s="160" t="s">
        <v>136</v>
      </c>
      <c r="I78" s="185">
        <v>668680</v>
      </c>
      <c r="J78" s="161" t="s">
        <v>111</v>
      </c>
      <c r="K78" s="162">
        <f>K54</f>
        <v>7.1100000000000004E-4</v>
      </c>
      <c r="L78" s="50">
        <f>ROUND(I78*K78,0)</f>
        <v>475</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775229</v>
      </c>
      <c r="AD81" s="195"/>
    </row>
    <row r="82" spans="1:30" ht="22.5" customHeight="1" thickTop="1" thickBot="1" x14ac:dyDescent="0.35">
      <c r="B82" s="13" t="s">
        <v>141</v>
      </c>
      <c r="C82" s="13"/>
      <c r="D82" s="314"/>
      <c r="E82" s="13"/>
      <c r="F82" s="13"/>
      <c r="G82" s="13"/>
      <c r="H82" s="13"/>
      <c r="I82" s="13"/>
      <c r="J82" s="13"/>
      <c r="K82" s="13"/>
      <c r="L82" s="196">
        <f>SUM(L44:L81)</f>
        <v>1086985</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f>IF(G26=0,"",IF((G11+G13+SUM(G15:G21))/G26&gt;0.75,1,""))</f>
        <v>1</v>
      </c>
      <c r="L84" s="196">
        <f>'4037'!AC81</f>
        <v>775229</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775229</v>
      </c>
      <c r="L86" s="82">
        <f>IF(G26=0,0,IF(G26&gt;250,-(((250/G26)*K86)*IF(M86="H",0.02,0.05)),IF(M86="H",-0.02*K86,-0.05*K86)))</f>
        <v>-38761.450000000004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1048223.55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416775</v>
      </c>
      <c r="G89" s="13"/>
      <c r="H89" s="13"/>
      <c r="I89" s="13"/>
      <c r="J89" s="13"/>
      <c r="K89" s="206"/>
      <c r="L89" s="82">
        <v>-626300</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421923.55000000005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105480.88750000001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340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341</v>
      </c>
      <c r="C123" s="219" t="s">
        <v>200</v>
      </c>
    </row>
    <row r="124" spans="2:3" ht="15.5" hidden="1" x14ac:dyDescent="0.35">
      <c r="B124" s="223" t="s">
        <v>342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41646.4695138889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topLeftCell="A7" zoomScale="80" zoomScaleNormal="80" workbookViewId="0">
      <selection activeCell="C32" sqref="C32"/>
    </sheetView>
  </sheetViews>
  <sheetFormatPr defaultRowHeight="14.5" x14ac:dyDescent="0.35"/>
  <cols>
    <col min="1" max="1" width="11.36328125" style="228" customWidth="1"/>
    <col min="2" max="2" width="40.54296875" style="228" bestFit="1" customWidth="1"/>
    <col min="3" max="3" width="17.453125" style="228" customWidth="1"/>
    <col min="4" max="4" width="11.36328125" style="228" customWidth="1"/>
    <col min="5" max="5" width="14.08984375" style="228" customWidth="1"/>
    <col min="6" max="6" width="15.90625" style="228" customWidth="1"/>
    <col min="7" max="7" width="12" style="228" customWidth="1"/>
    <col min="8" max="8" width="13.36328125" style="228" customWidth="1"/>
    <col min="9" max="256" width="9.08984375" style="228"/>
    <col min="257" max="257" width="11.36328125" style="228" customWidth="1"/>
    <col min="258" max="258" width="40.54296875" style="228" bestFit="1" customWidth="1"/>
    <col min="259" max="259" width="17.453125" style="228" customWidth="1"/>
    <col min="260" max="260" width="11.36328125" style="228" customWidth="1"/>
    <col min="261" max="261" width="14.08984375" style="228" customWidth="1"/>
    <col min="262" max="262" width="15.90625" style="228" customWidth="1"/>
    <col min="263" max="263" width="12" style="228" customWidth="1"/>
    <col min="264" max="264" width="13.36328125" style="228" customWidth="1"/>
    <col min="265" max="512" width="9.08984375" style="228"/>
    <col min="513" max="513" width="11.36328125" style="228" customWidth="1"/>
    <col min="514" max="514" width="40.54296875" style="228" bestFit="1" customWidth="1"/>
    <col min="515" max="515" width="17.453125" style="228" customWidth="1"/>
    <col min="516" max="516" width="11.36328125" style="228" customWidth="1"/>
    <col min="517" max="517" width="14.08984375" style="228" customWidth="1"/>
    <col min="518" max="518" width="15.90625" style="228" customWidth="1"/>
    <col min="519" max="519" width="12" style="228" customWidth="1"/>
    <col min="520" max="520" width="13.36328125" style="228" customWidth="1"/>
    <col min="521" max="768" width="9.08984375" style="228"/>
    <col min="769" max="769" width="11.36328125" style="228" customWidth="1"/>
    <col min="770" max="770" width="40.54296875" style="228" bestFit="1" customWidth="1"/>
    <col min="771" max="771" width="17.453125" style="228" customWidth="1"/>
    <col min="772" max="772" width="11.36328125" style="228" customWidth="1"/>
    <col min="773" max="773" width="14.08984375" style="228" customWidth="1"/>
    <col min="774" max="774" width="15.90625" style="228" customWidth="1"/>
    <col min="775" max="775" width="12" style="228" customWidth="1"/>
    <col min="776" max="776" width="13.36328125" style="228" customWidth="1"/>
    <col min="777" max="1024" width="9.08984375" style="228"/>
    <col min="1025" max="1025" width="11.36328125" style="228" customWidth="1"/>
    <col min="1026" max="1026" width="40.54296875" style="228" bestFit="1" customWidth="1"/>
    <col min="1027" max="1027" width="17.453125" style="228" customWidth="1"/>
    <col min="1028" max="1028" width="11.36328125" style="228" customWidth="1"/>
    <col min="1029" max="1029" width="14.08984375" style="228" customWidth="1"/>
    <col min="1030" max="1030" width="15.90625" style="228" customWidth="1"/>
    <col min="1031" max="1031" width="12" style="228" customWidth="1"/>
    <col min="1032" max="1032" width="13.36328125" style="228" customWidth="1"/>
    <col min="1033" max="1280" width="9.08984375" style="228"/>
    <col min="1281" max="1281" width="11.36328125" style="228" customWidth="1"/>
    <col min="1282" max="1282" width="40.54296875" style="228" bestFit="1" customWidth="1"/>
    <col min="1283" max="1283" width="17.453125" style="228" customWidth="1"/>
    <col min="1284" max="1284" width="11.36328125" style="228" customWidth="1"/>
    <col min="1285" max="1285" width="14.08984375" style="228" customWidth="1"/>
    <col min="1286" max="1286" width="15.90625" style="228" customWidth="1"/>
    <col min="1287" max="1287" width="12" style="228" customWidth="1"/>
    <col min="1288" max="1288" width="13.36328125" style="228" customWidth="1"/>
    <col min="1289" max="1536" width="9.08984375" style="228"/>
    <col min="1537" max="1537" width="11.36328125" style="228" customWidth="1"/>
    <col min="1538" max="1538" width="40.54296875" style="228" bestFit="1" customWidth="1"/>
    <col min="1539" max="1539" width="17.453125" style="228" customWidth="1"/>
    <col min="1540" max="1540" width="11.36328125" style="228" customWidth="1"/>
    <col min="1541" max="1541" width="14.08984375" style="228" customWidth="1"/>
    <col min="1542" max="1542" width="15.90625" style="228" customWidth="1"/>
    <col min="1543" max="1543" width="12" style="228" customWidth="1"/>
    <col min="1544" max="1544" width="13.36328125" style="228" customWidth="1"/>
    <col min="1545" max="1792" width="9.08984375" style="228"/>
    <col min="1793" max="1793" width="11.36328125" style="228" customWidth="1"/>
    <col min="1794" max="1794" width="40.54296875" style="228" bestFit="1" customWidth="1"/>
    <col min="1795" max="1795" width="17.453125" style="228" customWidth="1"/>
    <col min="1796" max="1796" width="11.36328125" style="228" customWidth="1"/>
    <col min="1797" max="1797" width="14.08984375" style="228" customWidth="1"/>
    <col min="1798" max="1798" width="15.90625" style="228" customWidth="1"/>
    <col min="1799" max="1799" width="12" style="228" customWidth="1"/>
    <col min="1800" max="1800" width="13.36328125" style="228" customWidth="1"/>
    <col min="1801" max="2048" width="9.08984375" style="228"/>
    <col min="2049" max="2049" width="11.36328125" style="228" customWidth="1"/>
    <col min="2050" max="2050" width="40.54296875" style="228" bestFit="1" customWidth="1"/>
    <col min="2051" max="2051" width="17.453125" style="228" customWidth="1"/>
    <col min="2052" max="2052" width="11.36328125" style="228" customWidth="1"/>
    <col min="2053" max="2053" width="14.08984375" style="228" customWidth="1"/>
    <col min="2054" max="2054" width="15.90625" style="228" customWidth="1"/>
    <col min="2055" max="2055" width="12" style="228" customWidth="1"/>
    <col min="2056" max="2056" width="13.36328125" style="228" customWidth="1"/>
    <col min="2057" max="2304" width="9.08984375" style="228"/>
    <col min="2305" max="2305" width="11.36328125" style="228" customWidth="1"/>
    <col min="2306" max="2306" width="40.54296875" style="228" bestFit="1" customWidth="1"/>
    <col min="2307" max="2307" width="17.453125" style="228" customWidth="1"/>
    <col min="2308" max="2308" width="11.36328125" style="228" customWidth="1"/>
    <col min="2309" max="2309" width="14.08984375" style="228" customWidth="1"/>
    <col min="2310" max="2310" width="15.90625" style="228" customWidth="1"/>
    <col min="2311" max="2311" width="12" style="228" customWidth="1"/>
    <col min="2312" max="2312" width="13.36328125" style="228" customWidth="1"/>
    <col min="2313" max="2560" width="9.08984375" style="228"/>
    <col min="2561" max="2561" width="11.36328125" style="228" customWidth="1"/>
    <col min="2562" max="2562" width="40.54296875" style="228" bestFit="1" customWidth="1"/>
    <col min="2563" max="2563" width="17.453125" style="228" customWidth="1"/>
    <col min="2564" max="2564" width="11.36328125" style="228" customWidth="1"/>
    <col min="2565" max="2565" width="14.08984375" style="228" customWidth="1"/>
    <col min="2566" max="2566" width="15.90625" style="228" customWidth="1"/>
    <col min="2567" max="2567" width="12" style="228" customWidth="1"/>
    <col min="2568" max="2568" width="13.36328125" style="228" customWidth="1"/>
    <col min="2569" max="2816" width="9.08984375" style="228"/>
    <col min="2817" max="2817" width="11.36328125" style="228" customWidth="1"/>
    <col min="2818" max="2818" width="40.54296875" style="228" bestFit="1" customWidth="1"/>
    <col min="2819" max="2819" width="17.453125" style="228" customWidth="1"/>
    <col min="2820" max="2820" width="11.36328125" style="228" customWidth="1"/>
    <col min="2821" max="2821" width="14.08984375" style="228" customWidth="1"/>
    <col min="2822" max="2822" width="15.90625" style="228" customWidth="1"/>
    <col min="2823" max="2823" width="12" style="228" customWidth="1"/>
    <col min="2824" max="2824" width="13.36328125" style="228" customWidth="1"/>
    <col min="2825" max="3072" width="9.08984375" style="228"/>
    <col min="3073" max="3073" width="11.36328125" style="228" customWidth="1"/>
    <col min="3074" max="3074" width="40.54296875" style="228" bestFit="1" customWidth="1"/>
    <col min="3075" max="3075" width="17.453125" style="228" customWidth="1"/>
    <col min="3076" max="3076" width="11.36328125" style="228" customWidth="1"/>
    <col min="3077" max="3077" width="14.08984375" style="228" customWidth="1"/>
    <col min="3078" max="3078" width="15.90625" style="228" customWidth="1"/>
    <col min="3079" max="3079" width="12" style="228" customWidth="1"/>
    <col min="3080" max="3080" width="13.36328125" style="228" customWidth="1"/>
    <col min="3081" max="3328" width="9.08984375" style="228"/>
    <col min="3329" max="3329" width="11.36328125" style="228" customWidth="1"/>
    <col min="3330" max="3330" width="40.54296875" style="228" bestFit="1" customWidth="1"/>
    <col min="3331" max="3331" width="17.453125" style="228" customWidth="1"/>
    <col min="3332" max="3332" width="11.36328125" style="228" customWidth="1"/>
    <col min="3333" max="3333" width="14.08984375" style="228" customWidth="1"/>
    <col min="3334" max="3334" width="15.90625" style="228" customWidth="1"/>
    <col min="3335" max="3335" width="12" style="228" customWidth="1"/>
    <col min="3336" max="3336" width="13.36328125" style="228" customWidth="1"/>
    <col min="3337" max="3584" width="9.08984375" style="228"/>
    <col min="3585" max="3585" width="11.36328125" style="228" customWidth="1"/>
    <col min="3586" max="3586" width="40.54296875" style="228" bestFit="1" customWidth="1"/>
    <col min="3587" max="3587" width="17.453125" style="228" customWidth="1"/>
    <col min="3588" max="3588" width="11.36328125" style="228" customWidth="1"/>
    <col min="3589" max="3589" width="14.08984375" style="228" customWidth="1"/>
    <col min="3590" max="3590" width="15.90625" style="228" customWidth="1"/>
    <col min="3591" max="3591" width="12" style="228" customWidth="1"/>
    <col min="3592" max="3592" width="13.36328125" style="228" customWidth="1"/>
    <col min="3593" max="3840" width="9.08984375" style="228"/>
    <col min="3841" max="3841" width="11.36328125" style="228" customWidth="1"/>
    <col min="3842" max="3842" width="40.54296875" style="228" bestFit="1" customWidth="1"/>
    <col min="3843" max="3843" width="17.453125" style="228" customWidth="1"/>
    <col min="3844" max="3844" width="11.36328125" style="228" customWidth="1"/>
    <col min="3845" max="3845" width="14.08984375" style="228" customWidth="1"/>
    <col min="3846" max="3846" width="15.90625" style="228" customWidth="1"/>
    <col min="3847" max="3847" width="12" style="228" customWidth="1"/>
    <col min="3848" max="3848" width="13.36328125" style="228" customWidth="1"/>
    <col min="3849" max="4096" width="9.08984375" style="228"/>
    <col min="4097" max="4097" width="11.36328125" style="228" customWidth="1"/>
    <col min="4098" max="4098" width="40.54296875" style="228" bestFit="1" customWidth="1"/>
    <col min="4099" max="4099" width="17.453125" style="228" customWidth="1"/>
    <col min="4100" max="4100" width="11.36328125" style="228" customWidth="1"/>
    <col min="4101" max="4101" width="14.08984375" style="228" customWidth="1"/>
    <col min="4102" max="4102" width="15.90625" style="228" customWidth="1"/>
    <col min="4103" max="4103" width="12" style="228" customWidth="1"/>
    <col min="4104" max="4104" width="13.36328125" style="228" customWidth="1"/>
    <col min="4105" max="4352" width="9.08984375" style="228"/>
    <col min="4353" max="4353" width="11.36328125" style="228" customWidth="1"/>
    <col min="4354" max="4354" width="40.54296875" style="228" bestFit="1" customWidth="1"/>
    <col min="4355" max="4355" width="17.453125" style="228" customWidth="1"/>
    <col min="4356" max="4356" width="11.36328125" style="228" customWidth="1"/>
    <col min="4357" max="4357" width="14.08984375" style="228" customWidth="1"/>
    <col min="4358" max="4358" width="15.90625" style="228" customWidth="1"/>
    <col min="4359" max="4359" width="12" style="228" customWidth="1"/>
    <col min="4360" max="4360" width="13.36328125" style="228" customWidth="1"/>
    <col min="4361" max="4608" width="9.08984375" style="228"/>
    <col min="4609" max="4609" width="11.36328125" style="228" customWidth="1"/>
    <col min="4610" max="4610" width="40.54296875" style="228" bestFit="1" customWidth="1"/>
    <col min="4611" max="4611" width="17.453125" style="228" customWidth="1"/>
    <col min="4612" max="4612" width="11.36328125" style="228" customWidth="1"/>
    <col min="4613" max="4613" width="14.08984375" style="228" customWidth="1"/>
    <col min="4614" max="4614" width="15.90625" style="228" customWidth="1"/>
    <col min="4615" max="4615" width="12" style="228" customWidth="1"/>
    <col min="4616" max="4616" width="13.36328125" style="228" customWidth="1"/>
    <col min="4617" max="4864" width="9.08984375" style="228"/>
    <col min="4865" max="4865" width="11.36328125" style="228" customWidth="1"/>
    <col min="4866" max="4866" width="40.54296875" style="228" bestFit="1" customWidth="1"/>
    <col min="4867" max="4867" width="17.453125" style="228" customWidth="1"/>
    <col min="4868" max="4868" width="11.36328125" style="228" customWidth="1"/>
    <col min="4869" max="4869" width="14.08984375" style="228" customWidth="1"/>
    <col min="4870" max="4870" width="15.90625" style="228" customWidth="1"/>
    <col min="4871" max="4871" width="12" style="228" customWidth="1"/>
    <col min="4872" max="4872" width="13.36328125" style="228" customWidth="1"/>
    <col min="4873" max="5120" width="9.08984375" style="228"/>
    <col min="5121" max="5121" width="11.36328125" style="228" customWidth="1"/>
    <col min="5122" max="5122" width="40.54296875" style="228" bestFit="1" customWidth="1"/>
    <col min="5123" max="5123" width="17.453125" style="228" customWidth="1"/>
    <col min="5124" max="5124" width="11.36328125" style="228" customWidth="1"/>
    <col min="5125" max="5125" width="14.08984375" style="228" customWidth="1"/>
    <col min="5126" max="5126" width="15.90625" style="228" customWidth="1"/>
    <col min="5127" max="5127" width="12" style="228" customWidth="1"/>
    <col min="5128" max="5128" width="13.36328125" style="228" customWidth="1"/>
    <col min="5129" max="5376" width="9.08984375" style="228"/>
    <col min="5377" max="5377" width="11.36328125" style="228" customWidth="1"/>
    <col min="5378" max="5378" width="40.54296875" style="228" bestFit="1" customWidth="1"/>
    <col min="5379" max="5379" width="17.453125" style="228" customWidth="1"/>
    <col min="5380" max="5380" width="11.36328125" style="228" customWidth="1"/>
    <col min="5381" max="5381" width="14.08984375" style="228" customWidth="1"/>
    <col min="5382" max="5382" width="15.90625" style="228" customWidth="1"/>
    <col min="5383" max="5383" width="12" style="228" customWidth="1"/>
    <col min="5384" max="5384" width="13.36328125" style="228" customWidth="1"/>
    <col min="5385" max="5632" width="9.08984375" style="228"/>
    <col min="5633" max="5633" width="11.36328125" style="228" customWidth="1"/>
    <col min="5634" max="5634" width="40.54296875" style="228" bestFit="1" customWidth="1"/>
    <col min="5635" max="5635" width="17.453125" style="228" customWidth="1"/>
    <col min="5636" max="5636" width="11.36328125" style="228" customWidth="1"/>
    <col min="5637" max="5637" width="14.08984375" style="228" customWidth="1"/>
    <col min="5638" max="5638" width="15.90625" style="228" customWidth="1"/>
    <col min="5639" max="5639" width="12" style="228" customWidth="1"/>
    <col min="5640" max="5640" width="13.36328125" style="228" customWidth="1"/>
    <col min="5641" max="5888" width="9.08984375" style="228"/>
    <col min="5889" max="5889" width="11.36328125" style="228" customWidth="1"/>
    <col min="5890" max="5890" width="40.54296875" style="228" bestFit="1" customWidth="1"/>
    <col min="5891" max="5891" width="17.453125" style="228" customWidth="1"/>
    <col min="5892" max="5892" width="11.36328125" style="228" customWidth="1"/>
    <col min="5893" max="5893" width="14.08984375" style="228" customWidth="1"/>
    <col min="5894" max="5894" width="15.90625" style="228" customWidth="1"/>
    <col min="5895" max="5895" width="12" style="228" customWidth="1"/>
    <col min="5896" max="5896" width="13.36328125" style="228" customWidth="1"/>
    <col min="5897" max="6144" width="9.08984375" style="228"/>
    <col min="6145" max="6145" width="11.36328125" style="228" customWidth="1"/>
    <col min="6146" max="6146" width="40.54296875" style="228" bestFit="1" customWidth="1"/>
    <col min="6147" max="6147" width="17.453125" style="228" customWidth="1"/>
    <col min="6148" max="6148" width="11.36328125" style="228" customWidth="1"/>
    <col min="6149" max="6149" width="14.08984375" style="228" customWidth="1"/>
    <col min="6150" max="6150" width="15.90625" style="228" customWidth="1"/>
    <col min="6151" max="6151" width="12" style="228" customWidth="1"/>
    <col min="6152" max="6152" width="13.36328125" style="228" customWidth="1"/>
    <col min="6153" max="6400" width="9.08984375" style="228"/>
    <col min="6401" max="6401" width="11.36328125" style="228" customWidth="1"/>
    <col min="6402" max="6402" width="40.54296875" style="228" bestFit="1" customWidth="1"/>
    <col min="6403" max="6403" width="17.453125" style="228" customWidth="1"/>
    <col min="6404" max="6404" width="11.36328125" style="228" customWidth="1"/>
    <col min="6405" max="6405" width="14.08984375" style="228" customWidth="1"/>
    <col min="6406" max="6406" width="15.90625" style="228" customWidth="1"/>
    <col min="6407" max="6407" width="12" style="228" customWidth="1"/>
    <col min="6408" max="6408" width="13.36328125" style="228" customWidth="1"/>
    <col min="6409" max="6656" width="9.08984375" style="228"/>
    <col min="6657" max="6657" width="11.36328125" style="228" customWidth="1"/>
    <col min="6658" max="6658" width="40.54296875" style="228" bestFit="1" customWidth="1"/>
    <col min="6659" max="6659" width="17.453125" style="228" customWidth="1"/>
    <col min="6660" max="6660" width="11.36328125" style="228" customWidth="1"/>
    <col min="6661" max="6661" width="14.08984375" style="228" customWidth="1"/>
    <col min="6662" max="6662" width="15.90625" style="228" customWidth="1"/>
    <col min="6663" max="6663" width="12" style="228" customWidth="1"/>
    <col min="6664" max="6664" width="13.36328125" style="228" customWidth="1"/>
    <col min="6665" max="6912" width="9.08984375" style="228"/>
    <col min="6913" max="6913" width="11.36328125" style="228" customWidth="1"/>
    <col min="6914" max="6914" width="40.54296875" style="228" bestFit="1" customWidth="1"/>
    <col min="6915" max="6915" width="17.453125" style="228" customWidth="1"/>
    <col min="6916" max="6916" width="11.36328125" style="228" customWidth="1"/>
    <col min="6917" max="6917" width="14.08984375" style="228" customWidth="1"/>
    <col min="6918" max="6918" width="15.90625" style="228" customWidth="1"/>
    <col min="6919" max="6919" width="12" style="228" customWidth="1"/>
    <col min="6920" max="6920" width="13.36328125" style="228" customWidth="1"/>
    <col min="6921" max="7168" width="9.08984375" style="228"/>
    <col min="7169" max="7169" width="11.36328125" style="228" customWidth="1"/>
    <col min="7170" max="7170" width="40.54296875" style="228" bestFit="1" customWidth="1"/>
    <col min="7171" max="7171" width="17.453125" style="228" customWidth="1"/>
    <col min="7172" max="7172" width="11.36328125" style="228" customWidth="1"/>
    <col min="7173" max="7173" width="14.08984375" style="228" customWidth="1"/>
    <col min="7174" max="7174" width="15.90625" style="228" customWidth="1"/>
    <col min="7175" max="7175" width="12" style="228" customWidth="1"/>
    <col min="7176" max="7176" width="13.36328125" style="228" customWidth="1"/>
    <col min="7177" max="7424" width="9.08984375" style="228"/>
    <col min="7425" max="7425" width="11.36328125" style="228" customWidth="1"/>
    <col min="7426" max="7426" width="40.54296875" style="228" bestFit="1" customWidth="1"/>
    <col min="7427" max="7427" width="17.453125" style="228" customWidth="1"/>
    <col min="7428" max="7428" width="11.36328125" style="228" customWidth="1"/>
    <col min="7429" max="7429" width="14.08984375" style="228" customWidth="1"/>
    <col min="7430" max="7430" width="15.90625" style="228" customWidth="1"/>
    <col min="7431" max="7431" width="12" style="228" customWidth="1"/>
    <col min="7432" max="7432" width="13.36328125" style="228" customWidth="1"/>
    <col min="7433" max="7680" width="9.08984375" style="228"/>
    <col min="7681" max="7681" width="11.36328125" style="228" customWidth="1"/>
    <col min="7682" max="7682" width="40.54296875" style="228" bestFit="1" customWidth="1"/>
    <col min="7683" max="7683" width="17.453125" style="228" customWidth="1"/>
    <col min="7684" max="7684" width="11.36328125" style="228" customWidth="1"/>
    <col min="7685" max="7685" width="14.08984375" style="228" customWidth="1"/>
    <col min="7686" max="7686" width="15.90625" style="228" customWidth="1"/>
    <col min="7687" max="7687" width="12" style="228" customWidth="1"/>
    <col min="7688" max="7688" width="13.36328125" style="228" customWidth="1"/>
    <col min="7689" max="7936" width="9.08984375" style="228"/>
    <col min="7937" max="7937" width="11.36328125" style="228" customWidth="1"/>
    <col min="7938" max="7938" width="40.54296875" style="228" bestFit="1" customWidth="1"/>
    <col min="7939" max="7939" width="17.453125" style="228" customWidth="1"/>
    <col min="7940" max="7940" width="11.36328125" style="228" customWidth="1"/>
    <col min="7941" max="7941" width="14.08984375" style="228" customWidth="1"/>
    <col min="7942" max="7942" width="15.90625" style="228" customWidth="1"/>
    <col min="7943" max="7943" width="12" style="228" customWidth="1"/>
    <col min="7944" max="7944" width="13.36328125" style="228" customWidth="1"/>
    <col min="7945" max="8192" width="9.08984375" style="228"/>
    <col min="8193" max="8193" width="11.36328125" style="228" customWidth="1"/>
    <col min="8194" max="8194" width="40.54296875" style="228" bestFit="1" customWidth="1"/>
    <col min="8195" max="8195" width="17.453125" style="228" customWidth="1"/>
    <col min="8196" max="8196" width="11.36328125" style="228" customWidth="1"/>
    <col min="8197" max="8197" width="14.08984375" style="228" customWidth="1"/>
    <col min="8198" max="8198" width="15.90625" style="228" customWidth="1"/>
    <col min="8199" max="8199" width="12" style="228" customWidth="1"/>
    <col min="8200" max="8200" width="13.36328125" style="228" customWidth="1"/>
    <col min="8201" max="8448" width="9.08984375" style="228"/>
    <col min="8449" max="8449" width="11.36328125" style="228" customWidth="1"/>
    <col min="8450" max="8450" width="40.54296875" style="228" bestFit="1" customWidth="1"/>
    <col min="8451" max="8451" width="17.453125" style="228" customWidth="1"/>
    <col min="8452" max="8452" width="11.36328125" style="228" customWidth="1"/>
    <col min="8453" max="8453" width="14.08984375" style="228" customWidth="1"/>
    <col min="8454" max="8454" width="15.90625" style="228" customWidth="1"/>
    <col min="8455" max="8455" width="12" style="228" customWidth="1"/>
    <col min="8456" max="8456" width="13.36328125" style="228" customWidth="1"/>
    <col min="8457" max="8704" width="9.08984375" style="228"/>
    <col min="8705" max="8705" width="11.36328125" style="228" customWidth="1"/>
    <col min="8706" max="8706" width="40.54296875" style="228" bestFit="1" customWidth="1"/>
    <col min="8707" max="8707" width="17.453125" style="228" customWidth="1"/>
    <col min="8708" max="8708" width="11.36328125" style="228" customWidth="1"/>
    <col min="8709" max="8709" width="14.08984375" style="228" customWidth="1"/>
    <col min="8710" max="8710" width="15.90625" style="228" customWidth="1"/>
    <col min="8711" max="8711" width="12" style="228" customWidth="1"/>
    <col min="8712" max="8712" width="13.36328125" style="228" customWidth="1"/>
    <col min="8713" max="8960" width="9.08984375" style="228"/>
    <col min="8961" max="8961" width="11.36328125" style="228" customWidth="1"/>
    <col min="8962" max="8962" width="40.54296875" style="228" bestFit="1" customWidth="1"/>
    <col min="8963" max="8963" width="17.453125" style="228" customWidth="1"/>
    <col min="8964" max="8964" width="11.36328125" style="228" customWidth="1"/>
    <col min="8965" max="8965" width="14.08984375" style="228" customWidth="1"/>
    <col min="8966" max="8966" width="15.90625" style="228" customWidth="1"/>
    <col min="8967" max="8967" width="12" style="228" customWidth="1"/>
    <col min="8968" max="8968" width="13.36328125" style="228" customWidth="1"/>
    <col min="8969" max="9216" width="9.08984375" style="228"/>
    <col min="9217" max="9217" width="11.36328125" style="228" customWidth="1"/>
    <col min="9218" max="9218" width="40.54296875" style="228" bestFit="1" customWidth="1"/>
    <col min="9219" max="9219" width="17.453125" style="228" customWidth="1"/>
    <col min="9220" max="9220" width="11.36328125" style="228" customWidth="1"/>
    <col min="9221" max="9221" width="14.08984375" style="228" customWidth="1"/>
    <col min="9222" max="9222" width="15.90625" style="228" customWidth="1"/>
    <col min="9223" max="9223" width="12" style="228" customWidth="1"/>
    <col min="9224" max="9224" width="13.36328125" style="228" customWidth="1"/>
    <col min="9225" max="9472" width="9.08984375" style="228"/>
    <col min="9473" max="9473" width="11.36328125" style="228" customWidth="1"/>
    <col min="9474" max="9474" width="40.54296875" style="228" bestFit="1" customWidth="1"/>
    <col min="9475" max="9475" width="17.453125" style="228" customWidth="1"/>
    <col min="9476" max="9476" width="11.36328125" style="228" customWidth="1"/>
    <col min="9477" max="9477" width="14.08984375" style="228" customWidth="1"/>
    <col min="9478" max="9478" width="15.90625" style="228" customWidth="1"/>
    <col min="9479" max="9479" width="12" style="228" customWidth="1"/>
    <col min="9480" max="9480" width="13.36328125" style="228" customWidth="1"/>
    <col min="9481" max="9728" width="9.08984375" style="228"/>
    <col min="9729" max="9729" width="11.36328125" style="228" customWidth="1"/>
    <col min="9730" max="9730" width="40.54296875" style="228" bestFit="1" customWidth="1"/>
    <col min="9731" max="9731" width="17.453125" style="228" customWidth="1"/>
    <col min="9732" max="9732" width="11.36328125" style="228" customWidth="1"/>
    <col min="9733" max="9733" width="14.08984375" style="228" customWidth="1"/>
    <col min="9734" max="9734" width="15.90625" style="228" customWidth="1"/>
    <col min="9735" max="9735" width="12" style="228" customWidth="1"/>
    <col min="9736" max="9736" width="13.36328125" style="228" customWidth="1"/>
    <col min="9737" max="9984" width="9.08984375" style="228"/>
    <col min="9985" max="9985" width="11.36328125" style="228" customWidth="1"/>
    <col min="9986" max="9986" width="40.54296875" style="228" bestFit="1" customWidth="1"/>
    <col min="9987" max="9987" width="17.453125" style="228" customWidth="1"/>
    <col min="9988" max="9988" width="11.36328125" style="228" customWidth="1"/>
    <col min="9989" max="9989" width="14.08984375" style="228" customWidth="1"/>
    <col min="9990" max="9990" width="15.90625" style="228" customWidth="1"/>
    <col min="9991" max="9991" width="12" style="228" customWidth="1"/>
    <col min="9992" max="9992" width="13.36328125" style="228" customWidth="1"/>
    <col min="9993" max="10240" width="9.08984375" style="228"/>
    <col min="10241" max="10241" width="11.36328125" style="228" customWidth="1"/>
    <col min="10242" max="10242" width="40.54296875" style="228" bestFit="1" customWidth="1"/>
    <col min="10243" max="10243" width="17.453125" style="228" customWidth="1"/>
    <col min="10244" max="10244" width="11.36328125" style="228" customWidth="1"/>
    <col min="10245" max="10245" width="14.08984375" style="228" customWidth="1"/>
    <col min="10246" max="10246" width="15.90625" style="228" customWidth="1"/>
    <col min="10247" max="10247" width="12" style="228" customWidth="1"/>
    <col min="10248" max="10248" width="13.36328125" style="228" customWidth="1"/>
    <col min="10249" max="10496" width="9.08984375" style="228"/>
    <col min="10497" max="10497" width="11.36328125" style="228" customWidth="1"/>
    <col min="10498" max="10498" width="40.54296875" style="228" bestFit="1" customWidth="1"/>
    <col min="10499" max="10499" width="17.453125" style="228" customWidth="1"/>
    <col min="10500" max="10500" width="11.36328125" style="228" customWidth="1"/>
    <col min="10501" max="10501" width="14.08984375" style="228" customWidth="1"/>
    <col min="10502" max="10502" width="15.90625" style="228" customWidth="1"/>
    <col min="10503" max="10503" width="12" style="228" customWidth="1"/>
    <col min="10504" max="10504" width="13.36328125" style="228" customWidth="1"/>
    <col min="10505" max="10752" width="9.08984375" style="228"/>
    <col min="10753" max="10753" width="11.36328125" style="228" customWidth="1"/>
    <col min="10754" max="10754" width="40.54296875" style="228" bestFit="1" customWidth="1"/>
    <col min="10755" max="10755" width="17.453125" style="228" customWidth="1"/>
    <col min="10756" max="10756" width="11.36328125" style="228" customWidth="1"/>
    <col min="10757" max="10757" width="14.08984375" style="228" customWidth="1"/>
    <col min="10758" max="10758" width="15.90625" style="228" customWidth="1"/>
    <col min="10759" max="10759" width="12" style="228" customWidth="1"/>
    <col min="10760" max="10760" width="13.36328125" style="228" customWidth="1"/>
    <col min="10761" max="11008" width="9.08984375" style="228"/>
    <col min="11009" max="11009" width="11.36328125" style="228" customWidth="1"/>
    <col min="11010" max="11010" width="40.54296875" style="228" bestFit="1" customWidth="1"/>
    <col min="11011" max="11011" width="17.453125" style="228" customWidth="1"/>
    <col min="11012" max="11012" width="11.36328125" style="228" customWidth="1"/>
    <col min="11013" max="11013" width="14.08984375" style="228" customWidth="1"/>
    <col min="11014" max="11014" width="15.90625" style="228" customWidth="1"/>
    <col min="11015" max="11015" width="12" style="228" customWidth="1"/>
    <col min="11016" max="11016" width="13.36328125" style="228" customWidth="1"/>
    <col min="11017" max="11264" width="9.08984375" style="228"/>
    <col min="11265" max="11265" width="11.36328125" style="228" customWidth="1"/>
    <col min="11266" max="11266" width="40.54296875" style="228" bestFit="1" customWidth="1"/>
    <col min="11267" max="11267" width="17.453125" style="228" customWidth="1"/>
    <col min="11268" max="11268" width="11.36328125" style="228" customWidth="1"/>
    <col min="11269" max="11269" width="14.08984375" style="228" customWidth="1"/>
    <col min="11270" max="11270" width="15.90625" style="228" customWidth="1"/>
    <col min="11271" max="11271" width="12" style="228" customWidth="1"/>
    <col min="11272" max="11272" width="13.36328125" style="228" customWidth="1"/>
    <col min="11273" max="11520" width="9.08984375" style="228"/>
    <col min="11521" max="11521" width="11.36328125" style="228" customWidth="1"/>
    <col min="11522" max="11522" width="40.54296875" style="228" bestFit="1" customWidth="1"/>
    <col min="11523" max="11523" width="17.453125" style="228" customWidth="1"/>
    <col min="11524" max="11524" width="11.36328125" style="228" customWidth="1"/>
    <col min="11525" max="11525" width="14.08984375" style="228" customWidth="1"/>
    <col min="11526" max="11526" width="15.90625" style="228" customWidth="1"/>
    <col min="11527" max="11527" width="12" style="228" customWidth="1"/>
    <col min="11528" max="11528" width="13.36328125" style="228" customWidth="1"/>
    <col min="11529" max="11776" width="9.08984375" style="228"/>
    <col min="11777" max="11777" width="11.36328125" style="228" customWidth="1"/>
    <col min="11778" max="11778" width="40.54296875" style="228" bestFit="1" customWidth="1"/>
    <col min="11779" max="11779" width="17.453125" style="228" customWidth="1"/>
    <col min="11780" max="11780" width="11.36328125" style="228" customWidth="1"/>
    <col min="11781" max="11781" width="14.08984375" style="228" customWidth="1"/>
    <col min="11782" max="11782" width="15.90625" style="228" customWidth="1"/>
    <col min="11783" max="11783" width="12" style="228" customWidth="1"/>
    <col min="11784" max="11784" width="13.36328125" style="228" customWidth="1"/>
    <col min="11785" max="12032" width="9.08984375" style="228"/>
    <col min="12033" max="12033" width="11.36328125" style="228" customWidth="1"/>
    <col min="12034" max="12034" width="40.54296875" style="228" bestFit="1" customWidth="1"/>
    <col min="12035" max="12035" width="17.453125" style="228" customWidth="1"/>
    <col min="12036" max="12036" width="11.36328125" style="228" customWidth="1"/>
    <col min="12037" max="12037" width="14.08984375" style="228" customWidth="1"/>
    <col min="12038" max="12038" width="15.90625" style="228" customWidth="1"/>
    <col min="12039" max="12039" width="12" style="228" customWidth="1"/>
    <col min="12040" max="12040" width="13.36328125" style="228" customWidth="1"/>
    <col min="12041" max="12288" width="9.08984375" style="228"/>
    <col min="12289" max="12289" width="11.36328125" style="228" customWidth="1"/>
    <col min="12290" max="12290" width="40.54296875" style="228" bestFit="1" customWidth="1"/>
    <col min="12291" max="12291" width="17.453125" style="228" customWidth="1"/>
    <col min="12292" max="12292" width="11.36328125" style="228" customWidth="1"/>
    <col min="12293" max="12293" width="14.08984375" style="228" customWidth="1"/>
    <col min="12294" max="12294" width="15.90625" style="228" customWidth="1"/>
    <col min="12295" max="12295" width="12" style="228" customWidth="1"/>
    <col min="12296" max="12296" width="13.36328125" style="228" customWidth="1"/>
    <col min="12297" max="12544" width="9.08984375" style="228"/>
    <col min="12545" max="12545" width="11.36328125" style="228" customWidth="1"/>
    <col min="12546" max="12546" width="40.54296875" style="228" bestFit="1" customWidth="1"/>
    <col min="12547" max="12547" width="17.453125" style="228" customWidth="1"/>
    <col min="12548" max="12548" width="11.36328125" style="228" customWidth="1"/>
    <col min="12549" max="12549" width="14.08984375" style="228" customWidth="1"/>
    <col min="12550" max="12550" width="15.90625" style="228" customWidth="1"/>
    <col min="12551" max="12551" width="12" style="228" customWidth="1"/>
    <col min="12552" max="12552" width="13.36328125" style="228" customWidth="1"/>
    <col min="12553" max="12800" width="9.08984375" style="228"/>
    <col min="12801" max="12801" width="11.36328125" style="228" customWidth="1"/>
    <col min="12802" max="12802" width="40.54296875" style="228" bestFit="1" customWidth="1"/>
    <col min="12803" max="12803" width="17.453125" style="228" customWidth="1"/>
    <col min="12804" max="12804" width="11.36328125" style="228" customWidth="1"/>
    <col min="12805" max="12805" width="14.08984375" style="228" customWidth="1"/>
    <col min="12806" max="12806" width="15.90625" style="228" customWidth="1"/>
    <col min="12807" max="12807" width="12" style="228" customWidth="1"/>
    <col min="12808" max="12808" width="13.36328125" style="228" customWidth="1"/>
    <col min="12809" max="13056" width="9.08984375" style="228"/>
    <col min="13057" max="13057" width="11.36328125" style="228" customWidth="1"/>
    <col min="13058" max="13058" width="40.54296875" style="228" bestFit="1" customWidth="1"/>
    <col min="13059" max="13059" width="17.453125" style="228" customWidth="1"/>
    <col min="13060" max="13060" width="11.36328125" style="228" customWidth="1"/>
    <col min="13061" max="13061" width="14.08984375" style="228" customWidth="1"/>
    <col min="13062" max="13062" width="15.90625" style="228" customWidth="1"/>
    <col min="13063" max="13063" width="12" style="228" customWidth="1"/>
    <col min="13064" max="13064" width="13.36328125" style="228" customWidth="1"/>
    <col min="13065" max="13312" width="9.08984375" style="228"/>
    <col min="13313" max="13313" width="11.36328125" style="228" customWidth="1"/>
    <col min="13314" max="13314" width="40.54296875" style="228" bestFit="1" customWidth="1"/>
    <col min="13315" max="13315" width="17.453125" style="228" customWidth="1"/>
    <col min="13316" max="13316" width="11.36328125" style="228" customWidth="1"/>
    <col min="13317" max="13317" width="14.08984375" style="228" customWidth="1"/>
    <col min="13318" max="13318" width="15.90625" style="228" customWidth="1"/>
    <col min="13319" max="13319" width="12" style="228" customWidth="1"/>
    <col min="13320" max="13320" width="13.36328125" style="228" customWidth="1"/>
    <col min="13321" max="13568" width="9.08984375" style="228"/>
    <col min="13569" max="13569" width="11.36328125" style="228" customWidth="1"/>
    <col min="13570" max="13570" width="40.54296875" style="228" bestFit="1" customWidth="1"/>
    <col min="13571" max="13571" width="17.453125" style="228" customWidth="1"/>
    <col min="13572" max="13572" width="11.36328125" style="228" customWidth="1"/>
    <col min="13573" max="13573" width="14.08984375" style="228" customWidth="1"/>
    <col min="13574" max="13574" width="15.90625" style="228" customWidth="1"/>
    <col min="13575" max="13575" width="12" style="228" customWidth="1"/>
    <col min="13576" max="13576" width="13.36328125" style="228" customWidth="1"/>
    <col min="13577" max="13824" width="9.08984375" style="228"/>
    <col min="13825" max="13825" width="11.36328125" style="228" customWidth="1"/>
    <col min="13826" max="13826" width="40.54296875" style="228" bestFit="1" customWidth="1"/>
    <col min="13827" max="13827" width="17.453125" style="228" customWidth="1"/>
    <col min="13828" max="13828" width="11.36328125" style="228" customWidth="1"/>
    <col min="13829" max="13829" width="14.08984375" style="228" customWidth="1"/>
    <col min="13830" max="13830" width="15.90625" style="228" customWidth="1"/>
    <col min="13831" max="13831" width="12" style="228" customWidth="1"/>
    <col min="13832" max="13832" width="13.36328125" style="228" customWidth="1"/>
    <col min="13833" max="14080" width="9.08984375" style="228"/>
    <col min="14081" max="14081" width="11.36328125" style="228" customWidth="1"/>
    <col min="14082" max="14082" width="40.54296875" style="228" bestFit="1" customWidth="1"/>
    <col min="14083" max="14083" width="17.453125" style="228" customWidth="1"/>
    <col min="14084" max="14084" width="11.36328125" style="228" customWidth="1"/>
    <col min="14085" max="14085" width="14.08984375" style="228" customWidth="1"/>
    <col min="14086" max="14086" width="15.90625" style="228" customWidth="1"/>
    <col min="14087" max="14087" width="12" style="228" customWidth="1"/>
    <col min="14088" max="14088" width="13.36328125" style="228" customWidth="1"/>
    <col min="14089" max="14336" width="9.08984375" style="228"/>
    <col min="14337" max="14337" width="11.36328125" style="228" customWidth="1"/>
    <col min="14338" max="14338" width="40.54296875" style="228" bestFit="1" customWidth="1"/>
    <col min="14339" max="14339" width="17.453125" style="228" customWidth="1"/>
    <col min="14340" max="14340" width="11.36328125" style="228" customWidth="1"/>
    <col min="14341" max="14341" width="14.08984375" style="228" customWidth="1"/>
    <col min="14342" max="14342" width="15.90625" style="228" customWidth="1"/>
    <col min="14343" max="14343" width="12" style="228" customWidth="1"/>
    <col min="14344" max="14344" width="13.36328125" style="228" customWidth="1"/>
    <col min="14345" max="14592" width="9.08984375" style="228"/>
    <col min="14593" max="14593" width="11.36328125" style="228" customWidth="1"/>
    <col min="14594" max="14594" width="40.54296875" style="228" bestFit="1" customWidth="1"/>
    <col min="14595" max="14595" width="17.453125" style="228" customWidth="1"/>
    <col min="14596" max="14596" width="11.36328125" style="228" customWidth="1"/>
    <col min="14597" max="14597" width="14.08984375" style="228" customWidth="1"/>
    <col min="14598" max="14598" width="15.90625" style="228" customWidth="1"/>
    <col min="14599" max="14599" width="12" style="228" customWidth="1"/>
    <col min="14600" max="14600" width="13.36328125" style="228" customWidth="1"/>
    <col min="14601" max="14848" width="9.08984375" style="228"/>
    <col min="14849" max="14849" width="11.36328125" style="228" customWidth="1"/>
    <col min="14850" max="14850" width="40.54296875" style="228" bestFit="1" customWidth="1"/>
    <col min="14851" max="14851" width="17.453125" style="228" customWidth="1"/>
    <col min="14852" max="14852" width="11.36328125" style="228" customWidth="1"/>
    <col min="14853" max="14853" width="14.08984375" style="228" customWidth="1"/>
    <col min="14854" max="14854" width="15.90625" style="228" customWidth="1"/>
    <col min="14855" max="14855" width="12" style="228" customWidth="1"/>
    <col min="14856" max="14856" width="13.36328125" style="228" customWidth="1"/>
    <col min="14857" max="15104" width="9.08984375" style="228"/>
    <col min="15105" max="15105" width="11.36328125" style="228" customWidth="1"/>
    <col min="15106" max="15106" width="40.54296875" style="228" bestFit="1" customWidth="1"/>
    <col min="15107" max="15107" width="17.453125" style="228" customWidth="1"/>
    <col min="15108" max="15108" width="11.36328125" style="228" customWidth="1"/>
    <col min="15109" max="15109" width="14.08984375" style="228" customWidth="1"/>
    <col min="15110" max="15110" width="15.90625" style="228" customWidth="1"/>
    <col min="15111" max="15111" width="12" style="228" customWidth="1"/>
    <col min="15112" max="15112" width="13.36328125" style="228" customWidth="1"/>
    <col min="15113" max="15360" width="9.08984375" style="228"/>
    <col min="15361" max="15361" width="11.36328125" style="228" customWidth="1"/>
    <col min="15362" max="15362" width="40.54296875" style="228" bestFit="1" customWidth="1"/>
    <col min="15363" max="15363" width="17.453125" style="228" customWidth="1"/>
    <col min="15364" max="15364" width="11.36328125" style="228" customWidth="1"/>
    <col min="15365" max="15365" width="14.08984375" style="228" customWidth="1"/>
    <col min="15366" max="15366" width="15.90625" style="228" customWidth="1"/>
    <col min="15367" max="15367" width="12" style="228" customWidth="1"/>
    <col min="15368" max="15368" width="13.36328125" style="228" customWidth="1"/>
    <col min="15369" max="15616" width="9.08984375" style="228"/>
    <col min="15617" max="15617" width="11.36328125" style="228" customWidth="1"/>
    <col min="15618" max="15618" width="40.54296875" style="228" bestFit="1" customWidth="1"/>
    <col min="15619" max="15619" width="17.453125" style="228" customWidth="1"/>
    <col min="15620" max="15620" width="11.36328125" style="228" customWidth="1"/>
    <col min="15621" max="15621" width="14.08984375" style="228" customWidth="1"/>
    <col min="15622" max="15622" width="15.90625" style="228" customWidth="1"/>
    <col min="15623" max="15623" width="12" style="228" customWidth="1"/>
    <col min="15624" max="15624" width="13.36328125" style="228" customWidth="1"/>
    <col min="15625" max="15872" width="9.08984375" style="228"/>
    <col min="15873" max="15873" width="11.36328125" style="228" customWidth="1"/>
    <col min="15874" max="15874" width="40.54296875" style="228" bestFit="1" customWidth="1"/>
    <col min="15875" max="15875" width="17.453125" style="228" customWidth="1"/>
    <col min="15876" max="15876" width="11.36328125" style="228" customWidth="1"/>
    <col min="15877" max="15877" width="14.08984375" style="228" customWidth="1"/>
    <col min="15878" max="15878" width="15.90625" style="228" customWidth="1"/>
    <col min="15879" max="15879" width="12" style="228" customWidth="1"/>
    <col min="15880" max="15880" width="13.36328125" style="228" customWidth="1"/>
    <col min="15881" max="16128" width="9.08984375" style="228"/>
    <col min="16129" max="16129" width="11.36328125" style="228" customWidth="1"/>
    <col min="16130" max="16130" width="40.54296875" style="228" bestFit="1" customWidth="1"/>
    <col min="16131" max="16131" width="17.453125" style="228" customWidth="1"/>
    <col min="16132" max="16132" width="11.36328125" style="228" customWidth="1"/>
    <col min="16133" max="16133" width="14.08984375" style="228" customWidth="1"/>
    <col min="16134" max="16134" width="15.90625" style="228" customWidth="1"/>
    <col min="16135" max="16135" width="12" style="228" customWidth="1"/>
    <col min="16136" max="16136" width="13.36328125" style="228" customWidth="1"/>
    <col min="16137" max="16384" width="9.08984375" style="228"/>
  </cols>
  <sheetData>
    <row r="1" spans="1:8" x14ac:dyDescent="0.35">
      <c r="B1" s="228" t="s">
        <v>355</v>
      </c>
    </row>
    <row r="2" spans="1:8" x14ac:dyDescent="0.35">
      <c r="B2" s="229" t="s">
        <v>356</v>
      </c>
      <c r="C2" s="230">
        <v>50</v>
      </c>
    </row>
    <row r="3" spans="1:8" ht="42" customHeight="1" x14ac:dyDescent="0.4">
      <c r="A3" s="421" t="s">
        <v>357</v>
      </c>
      <c r="B3" s="421"/>
      <c r="C3" s="421"/>
      <c r="D3" s="421"/>
      <c r="E3" s="231"/>
      <c r="F3" s="231"/>
      <c r="G3" s="231"/>
      <c r="H3" s="231"/>
    </row>
    <row r="4" spans="1:8" ht="15.5" x14ac:dyDescent="0.35">
      <c r="A4" s="422" t="s">
        <v>358</v>
      </c>
      <c r="B4" s="422"/>
      <c r="C4" s="422"/>
      <c r="D4" s="422"/>
      <c r="E4" s="232"/>
      <c r="F4" s="232"/>
      <c r="G4" s="232"/>
      <c r="H4" s="232"/>
    </row>
    <row r="6" spans="1:8" x14ac:dyDescent="0.35">
      <c r="B6" s="233" t="s">
        <v>359</v>
      </c>
      <c r="C6" s="234" t="s">
        <v>8</v>
      </c>
    </row>
    <row r="8" spans="1:8" x14ac:dyDescent="0.35">
      <c r="B8" s="235"/>
      <c r="C8" s="236" t="s">
        <v>360</v>
      </c>
    </row>
    <row r="9" spans="1:8" x14ac:dyDescent="0.35">
      <c r="B9" s="237" t="s">
        <v>361</v>
      </c>
      <c r="C9" s="238">
        <v>748355685</v>
      </c>
    </row>
    <row r="10" spans="1:8" x14ac:dyDescent="0.35">
      <c r="B10" s="237" t="s">
        <v>362</v>
      </c>
      <c r="C10" s="238">
        <v>0</v>
      </c>
    </row>
    <row r="11" spans="1:8" x14ac:dyDescent="0.35">
      <c r="B11" s="237" t="s">
        <v>363</v>
      </c>
      <c r="C11" s="238">
        <v>96774526</v>
      </c>
    </row>
    <row r="12" spans="1:8" x14ac:dyDescent="0.35">
      <c r="B12" s="237" t="s">
        <v>364</v>
      </c>
      <c r="C12" s="238">
        <v>0</v>
      </c>
    </row>
    <row r="13" spans="1:8" x14ac:dyDescent="0.35">
      <c r="B13" s="237" t="s">
        <v>365</v>
      </c>
      <c r="C13" s="238">
        <v>8388296</v>
      </c>
    </row>
    <row r="14" spans="1:8" x14ac:dyDescent="0.35">
      <c r="B14" s="237" t="s">
        <v>366</v>
      </c>
      <c r="C14" s="239">
        <v>14504678</v>
      </c>
      <c r="D14" s="240"/>
    </row>
    <row r="15" spans="1:8" x14ac:dyDescent="0.35">
      <c r="B15" s="237" t="s">
        <v>367</v>
      </c>
      <c r="C15" s="238">
        <v>32718286</v>
      </c>
      <c r="D15" s="303"/>
    </row>
    <row r="16" spans="1:8" x14ac:dyDescent="0.35">
      <c r="B16" s="237" t="s">
        <v>397</v>
      </c>
      <c r="C16" s="241">
        <v>668680</v>
      </c>
    </row>
    <row r="17" spans="2:5" ht="21.75" customHeight="1" x14ac:dyDescent="0.35">
      <c r="B17" s="242" t="s">
        <v>368</v>
      </c>
      <c r="C17" s="243">
        <f>SUM(C9:C16)</f>
        <v>901410151</v>
      </c>
    </row>
    <row r="18" spans="2:5" ht="21.75" customHeight="1" x14ac:dyDescent="0.35">
      <c r="B18" s="244" t="s">
        <v>369</v>
      </c>
      <c r="C18" s="245">
        <v>179393.64</v>
      </c>
    </row>
    <row r="19" spans="2:5" ht="21.75" customHeight="1" x14ac:dyDescent="0.35">
      <c r="B19" s="244" t="s">
        <v>370</v>
      </c>
      <c r="C19" s="246">
        <f>ROUND(C17/C18,2)</f>
        <v>5024.76</v>
      </c>
    </row>
    <row r="20" spans="2:5" ht="21.75" customHeight="1" x14ac:dyDescent="0.35">
      <c r="B20" s="244" t="s">
        <v>371</v>
      </c>
      <c r="C20" s="247">
        <f>IF(C19&gt;5200,0,5200-C19)</f>
        <v>175.23999999999978</v>
      </c>
    </row>
    <row r="21" spans="2:5" ht="21.75" customHeight="1" thickBot="1" x14ac:dyDescent="0.4">
      <c r="B21" s="244" t="s">
        <v>372</v>
      </c>
      <c r="C21" s="248">
        <f>C19+C20</f>
        <v>5200</v>
      </c>
    </row>
    <row r="22" spans="2:5" ht="15" thickTop="1" x14ac:dyDescent="0.35"/>
    <row r="23" spans="2:5" x14ac:dyDescent="0.35">
      <c r="B23" s="244" t="s">
        <v>373</v>
      </c>
      <c r="C23" s="249">
        <f>C21</f>
        <v>5200</v>
      </c>
    </row>
    <row r="24" spans="2:5" x14ac:dyDescent="0.35">
      <c r="B24" s="250" t="s">
        <v>64</v>
      </c>
      <c r="C24" s="251">
        <v>99.12</v>
      </c>
    </row>
    <row r="25" spans="2:5" x14ac:dyDescent="0.35">
      <c r="B25" s="250" t="s">
        <v>374</v>
      </c>
      <c r="C25" s="249">
        <f>C21*C24</f>
        <v>515424</v>
      </c>
    </row>
    <row r="26" spans="2:5" x14ac:dyDescent="0.35">
      <c r="B26" s="250" t="s">
        <v>375</v>
      </c>
      <c r="C26" s="252">
        <v>0.7</v>
      </c>
      <c r="D26" s="228" t="s">
        <v>376</v>
      </c>
    </row>
    <row r="27" spans="2:5" x14ac:dyDescent="0.35">
      <c r="B27" s="250" t="s">
        <v>377</v>
      </c>
      <c r="C27" s="249">
        <f>C25*C26</f>
        <v>360796.8</v>
      </c>
    </row>
    <row r="28" spans="2:5" x14ac:dyDescent="0.35">
      <c r="B28" s="250" t="s">
        <v>378</v>
      </c>
      <c r="C28" s="253">
        <f>-(C27*0.05)</f>
        <v>-18039.84</v>
      </c>
    </row>
    <row r="29" spans="2:5" x14ac:dyDescent="0.35">
      <c r="B29" s="250" t="s">
        <v>152</v>
      </c>
      <c r="C29" s="249">
        <f>C27+C28</f>
        <v>342756.95999999996</v>
      </c>
      <c r="E29" s="249"/>
    </row>
    <row r="30" spans="2:5" x14ac:dyDescent="0.35">
      <c r="E30" s="249"/>
    </row>
    <row r="31" spans="2:5" x14ac:dyDescent="0.35">
      <c r="B31" s="250" t="s">
        <v>154</v>
      </c>
      <c r="C31" s="254">
        <v>184180</v>
      </c>
      <c r="E31" s="249"/>
    </row>
    <row r="32" spans="2:5" x14ac:dyDescent="0.35">
      <c r="B32" s="255" t="s">
        <v>155</v>
      </c>
      <c r="C32" s="249">
        <f>C29-C31</f>
        <v>158576.95999999996</v>
      </c>
    </row>
    <row r="33" spans="2:3" x14ac:dyDescent="0.35">
      <c r="B33" s="255" t="s">
        <v>156</v>
      </c>
      <c r="C33" s="228">
        <v>4</v>
      </c>
    </row>
    <row r="34" spans="2:3" ht="15" thickBot="1" x14ac:dyDescent="0.4">
      <c r="B34" s="255" t="s">
        <v>157</v>
      </c>
      <c r="C34" s="256">
        <f>ROUND((C32/C33),0)</f>
        <v>39644</v>
      </c>
    </row>
    <row r="35" spans="2:3" ht="15" thickTop="1" x14ac:dyDescent="0.35"/>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'0664'!B2</f>
        <v>50</v>
      </c>
      <c r="W2" s="413" t="s">
        <v>4</v>
      </c>
      <c r="X2" s="414"/>
      <c r="Y2" s="415"/>
      <c r="Z2" s="415"/>
      <c r="AA2" s="415"/>
      <c r="AB2" s="415"/>
      <c r="AC2" s="415"/>
      <c r="AD2" s="9"/>
    </row>
    <row r="3" spans="1:30" ht="20" x14ac:dyDescent="0.4">
      <c r="B3" s="10" t="str">
        <f>"Revenue Estimate Worksheet for "&amp;B124</f>
        <v>Revenue Estimate Worksheet for Academy for Positve Lrn</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'0664'!G7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30.94</v>
      </c>
      <c r="E10" s="45">
        <v>0</v>
      </c>
      <c r="F10" s="45">
        <v>40.950000000000003</v>
      </c>
      <c r="G10" s="46">
        <f>IF(E10=0,D10*2,D10+E10)</f>
        <v>61.88</v>
      </c>
      <c r="H10" s="47"/>
      <c r="I10" s="48">
        <v>1.125</v>
      </c>
      <c r="J10" s="48"/>
      <c r="K10" s="49">
        <f>ROUND(G10*I10,4)</f>
        <v>69.614999999999995</v>
      </c>
      <c r="L10" s="50">
        <f>ROUND(ROUND(K10*$G$7,4)*($K$7),0)</f>
        <v>269732</v>
      </c>
      <c r="N10" s="51">
        <v>5101</v>
      </c>
      <c r="O10" s="52">
        <v>101</v>
      </c>
      <c r="Q10" s="53"/>
      <c r="V10" s="404" t="s">
        <v>28</v>
      </c>
      <c r="W10" s="404"/>
      <c r="X10" s="396">
        <f>IF('0664'!K$84=1,'0664'!G10,0)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1.5</v>
      </c>
      <c r="E11" s="13">
        <v>0</v>
      </c>
      <c r="F11" s="13">
        <v>1.98</v>
      </c>
      <c r="G11" s="46">
        <f t="shared" ref="G11:G25" si="2">IF(E11=0,D11*2,D11+E11)</f>
        <v>3</v>
      </c>
      <c r="H11" s="47"/>
      <c r="I11" s="56">
        <f>I10</f>
        <v>1.125</v>
      </c>
      <c r="J11" s="56"/>
      <c r="K11" s="49">
        <f t="shared" ref="K11:K25" si="3">ROUND(G11*I11,4)</f>
        <v>3.375</v>
      </c>
      <c r="L11" s="50">
        <f t="shared" ref="L11:L25" si="4">ROUND(ROUND(K11*$G$7,4)*($K$7),0)</f>
        <v>13077</v>
      </c>
      <c r="M11" s="1" t="str">
        <f>IF(ROUND(G11,2)=ROUND(SUM(G28:G30),2)," ","CHECK 2. PK-3 Lines Below")</f>
        <v xml:space="preserve"> </v>
      </c>
      <c r="N11" s="51">
        <v>5101</v>
      </c>
      <c r="O11" s="57" t="s">
        <v>31</v>
      </c>
      <c r="Q11" s="53"/>
      <c r="V11" s="357" t="s">
        <v>30</v>
      </c>
      <c r="W11" s="357"/>
      <c r="X11" s="396">
        <f>IF('0664'!K$84=1,'0664'!G11,0)</f>
        <v>0</v>
      </c>
      <c r="Y11" s="396"/>
      <c r="Z11" s="397">
        <v>1</v>
      </c>
      <c r="AA11" s="397"/>
      <c r="AB11" s="54">
        <f t="shared" si="0"/>
        <v>0</v>
      </c>
      <c r="AC11" s="55">
        <f t="shared" si="1"/>
        <v>0</v>
      </c>
      <c r="AD11" s="9"/>
    </row>
    <row r="12" spans="1:30" x14ac:dyDescent="0.3">
      <c r="A12" s="1" t="s">
        <v>32</v>
      </c>
      <c r="B12" s="13" t="s">
        <v>33</v>
      </c>
      <c r="C12" s="13"/>
      <c r="D12" s="13">
        <v>26.39</v>
      </c>
      <c r="E12" s="13">
        <v>0</v>
      </c>
      <c r="F12" s="13">
        <v>32.700000000000003</v>
      </c>
      <c r="G12" s="46">
        <f t="shared" si="2"/>
        <v>52.78</v>
      </c>
      <c r="H12" s="47"/>
      <c r="I12" s="56">
        <v>1</v>
      </c>
      <c r="J12" s="56"/>
      <c r="K12" s="49">
        <f t="shared" si="3"/>
        <v>52.78</v>
      </c>
      <c r="L12" s="50">
        <f t="shared" si="4"/>
        <v>204503</v>
      </c>
      <c r="N12" s="51">
        <v>5102</v>
      </c>
      <c r="O12" s="52">
        <v>102</v>
      </c>
      <c r="Q12" s="53"/>
      <c r="V12" s="357" t="s">
        <v>33</v>
      </c>
      <c r="W12" s="357"/>
      <c r="X12" s="396">
        <f>IF('0664'!K$84=1,'0664'!G12,0)</f>
        <v>0</v>
      </c>
      <c r="Y12" s="396"/>
      <c r="Z12" s="397">
        <v>1</v>
      </c>
      <c r="AA12" s="397"/>
      <c r="AB12" s="54">
        <f t="shared" si="0"/>
        <v>0</v>
      </c>
      <c r="AC12" s="55">
        <f t="shared" si="1"/>
        <v>0</v>
      </c>
      <c r="AD12" s="9"/>
    </row>
    <row r="13" spans="1:30" x14ac:dyDescent="0.3">
      <c r="A13" s="1" t="s">
        <v>34</v>
      </c>
      <c r="B13" s="13" t="s">
        <v>35</v>
      </c>
      <c r="C13" s="13"/>
      <c r="D13" s="13">
        <v>5.5</v>
      </c>
      <c r="E13" s="13">
        <v>0</v>
      </c>
      <c r="F13" s="13">
        <v>6.89</v>
      </c>
      <c r="G13" s="46">
        <f t="shared" si="2"/>
        <v>11</v>
      </c>
      <c r="H13" s="47"/>
      <c r="I13" s="56">
        <f>I12</f>
        <v>1</v>
      </c>
      <c r="J13" s="56"/>
      <c r="K13" s="49">
        <f t="shared" si="3"/>
        <v>11</v>
      </c>
      <c r="L13" s="50">
        <f t="shared" si="4"/>
        <v>42621</v>
      </c>
      <c r="M13" s="1" t="str">
        <f>IF(ROUND(G13,2)=ROUND(SUM(G31:G33),2)," ","CHECK 2. PK-3 Lines Below")</f>
        <v xml:space="preserve"> </v>
      </c>
      <c r="N13" s="51">
        <v>5102</v>
      </c>
      <c r="O13" s="57" t="s">
        <v>36</v>
      </c>
      <c r="Q13" s="53"/>
      <c r="V13" s="357" t="s">
        <v>35</v>
      </c>
      <c r="W13" s="357"/>
      <c r="X13" s="396">
        <f>IF('0664'!K$84=1,'0664'!G13,0)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IF('0664'!K$84=1,'0664'!G14,0)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IF('0664'!K$84=1,'0664'!G15,0)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IF('0664'!K$84=1,'0664'!G16,0)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IF('0664'!K$84=1,'0664'!G17,0)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IF('0664'!K$84=1,'0664'!G18,0)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IF('0664'!K$84=1,'0664'!G19,0)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IF('0664'!K$84=1,'0664'!G20,0)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IF('0664'!K$84=1,'0664'!G21,0)</f>
        <v>0</v>
      </c>
      <c r="Y21" s="396"/>
      <c r="Z21" s="397">
        <v>1</v>
      </c>
      <c r="AA21" s="397"/>
      <c r="AB21" s="54">
        <f t="shared" si="0"/>
        <v>0</v>
      </c>
      <c r="AC21" s="55">
        <f t="shared" si="1"/>
        <v>0</v>
      </c>
      <c r="AD21" s="9"/>
    </row>
    <row r="22" spans="1:30" ht="15.5" x14ac:dyDescent="0.35">
      <c r="A22" s="1" t="s">
        <v>54</v>
      </c>
      <c r="B22" s="13" t="s">
        <v>55</v>
      </c>
      <c r="C22" s="13"/>
      <c r="D22" s="13">
        <v>2.94</v>
      </c>
      <c r="E22" s="13">
        <v>0</v>
      </c>
      <c r="F22" s="13">
        <v>3.85</v>
      </c>
      <c r="G22" s="46">
        <f t="shared" si="2"/>
        <v>5.88</v>
      </c>
      <c r="H22" s="47"/>
      <c r="I22" s="56">
        <v>1.145</v>
      </c>
      <c r="J22" s="56"/>
      <c r="K22" s="49">
        <f t="shared" si="3"/>
        <v>6.7325999999999997</v>
      </c>
      <c r="L22" s="50">
        <f t="shared" si="4"/>
        <v>26086</v>
      </c>
      <c r="N22" s="51">
        <v>5101</v>
      </c>
      <c r="O22" s="52">
        <v>130</v>
      </c>
      <c r="Q22" s="53"/>
      <c r="V22" s="357" t="s">
        <v>55</v>
      </c>
      <c r="W22" s="357"/>
      <c r="X22" s="396">
        <f>IF('0664'!K$84=1,'0664'!G22,0)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IF('0664'!K$84=1,'0664'!G23,0)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IF('0664'!K$84=1,'0664'!G24,0)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IF('0664'!K$84=1,'0664'!G25,0)</f>
        <v>0</v>
      </c>
      <c r="Y25" s="396"/>
      <c r="Z25" s="397">
        <v>1</v>
      </c>
      <c r="AA25" s="397"/>
      <c r="AB25" s="54">
        <f t="shared" si="0"/>
        <v>0</v>
      </c>
      <c r="AC25" s="55">
        <f t="shared" si="1"/>
        <v>0</v>
      </c>
      <c r="AD25" s="9"/>
    </row>
    <row r="26" spans="1:30" ht="20.25" customHeight="1" thickBot="1" x14ac:dyDescent="0.35">
      <c r="B26" s="61" t="s">
        <v>62</v>
      </c>
      <c r="C26" s="61"/>
      <c r="D26" s="62">
        <f t="shared" ref="D26:E26" si="5">SUM(D10:D25)</f>
        <v>67.27</v>
      </c>
      <c r="E26" s="62">
        <f t="shared" si="5"/>
        <v>0</v>
      </c>
      <c r="F26" s="62"/>
      <c r="G26" s="62">
        <f>SUM(G10:G25)</f>
        <v>134.54</v>
      </c>
      <c r="H26" s="63"/>
      <c r="I26" s="63"/>
      <c r="J26" s="64"/>
      <c r="K26" s="65">
        <f>SUM(K10:K25)</f>
        <v>143.50259999999997</v>
      </c>
      <c r="L26" s="66">
        <f>SUM(L10:L25)</f>
        <v>556019</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1.5</v>
      </c>
      <c r="E28" s="13">
        <v>0</v>
      </c>
      <c r="F28" s="78">
        <v>3.5</v>
      </c>
      <c r="G28" s="46">
        <f>IF(E28=0,D28*2,D28+E28)</f>
        <v>3</v>
      </c>
      <c r="H28" s="79"/>
      <c r="I28" s="80" t="s">
        <v>70</v>
      </c>
      <c r="J28" s="51">
        <v>251</v>
      </c>
      <c r="K28" s="81">
        <v>1047</v>
      </c>
      <c r="L28" s="82">
        <f>ROUND(G28*K28,0)</f>
        <v>3141</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5.5</v>
      </c>
      <c r="E31" s="13">
        <v>0</v>
      </c>
      <c r="F31" s="89">
        <v>2</v>
      </c>
      <c r="G31" s="46">
        <f t="shared" si="7"/>
        <v>11</v>
      </c>
      <c r="H31" s="79"/>
      <c r="I31" s="90" t="s">
        <v>74</v>
      </c>
      <c r="J31" s="51">
        <v>251</v>
      </c>
      <c r="K31" s="81">
        <v>1173</v>
      </c>
      <c r="L31" s="82">
        <f t="shared" si="8"/>
        <v>12903</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7</v>
      </c>
      <c r="E37" s="62">
        <f t="shared" si="10"/>
        <v>0</v>
      </c>
      <c r="F37" s="62"/>
      <c r="G37" s="62">
        <f>SUM(G28:G36)</f>
        <v>14</v>
      </c>
      <c r="H37" s="63"/>
      <c r="I37" s="13" t="s">
        <v>82</v>
      </c>
      <c r="J37" s="13"/>
      <c r="K37" s="13"/>
      <c r="L37" s="50">
        <f>SUM(L28:L36)</f>
        <v>16044</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25832</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597895</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79.7226</v>
      </c>
      <c r="D47" s="121"/>
      <c r="E47" s="121"/>
      <c r="F47" s="121"/>
      <c r="G47" s="122">
        <f>K7</f>
        <v>1.0326</v>
      </c>
      <c r="H47" s="122"/>
      <c r="I47" s="123">
        <v>1316.85</v>
      </c>
      <c r="J47" s="124" t="s">
        <v>97</v>
      </c>
      <c r="K47" s="125">
        <f>ROUND(C47*G47*I47,0)</f>
        <v>108405</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63.78</v>
      </c>
      <c r="D48" s="121"/>
      <c r="E48" s="121"/>
      <c r="F48" s="121"/>
      <c r="G48" s="122">
        <f>K7</f>
        <v>1.0326</v>
      </c>
      <c r="H48" s="122"/>
      <c r="I48" s="123">
        <v>898.23</v>
      </c>
      <c r="J48" s="124" t="s">
        <v>97</v>
      </c>
      <c r="K48" s="125">
        <f>ROUND(C48*G48*I48,0)</f>
        <v>59157</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143.5026</v>
      </c>
      <c r="D50" s="144"/>
      <c r="E50" s="145"/>
      <c r="F50" s="145"/>
      <c r="G50" s="146" t="s">
        <v>99</v>
      </c>
      <c r="H50" s="146"/>
      <c r="I50" s="146"/>
      <c r="J50" s="146"/>
      <c r="K50" s="146"/>
      <c r="L50" s="50">
        <f>IF(B2=75,0,K49+K48+K47)</f>
        <v>167562</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143.50259999999997</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7.4299999999999995E-4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134.54</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7.5000000000000002E-4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7.4299999999999995E-4</v>
      </c>
      <c r="L59" s="50">
        <f>ROUND(I59*K59,0)</f>
        <v>3063</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7.4299999999999995E-4</v>
      </c>
      <c r="L67" s="50">
        <f>ROUND(I67*K67,0)</f>
        <v>71903</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7.5000000000000002E-4</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7.4299999999999995E-4</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7.4299999999999995E-4</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7.5000000000000002E-4</v>
      </c>
      <c r="L72" s="50">
        <f>ROUND(I72*K72,0)</f>
        <v>10588</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19</v>
      </c>
      <c r="AA74" s="171" t="s">
        <v>129</v>
      </c>
      <c r="AB74" s="172">
        <f>+K75</f>
        <v>360</v>
      </c>
      <c r="AC74" s="55">
        <f>ROUND(AB74*Z74,0)</f>
        <v>6840</v>
      </c>
      <c r="AD74" s="9"/>
    </row>
    <row r="75" spans="1:30" ht="19.5" customHeight="1" x14ac:dyDescent="0.3">
      <c r="A75" s="1" t="s">
        <v>130</v>
      </c>
      <c r="B75" s="173" t="s">
        <v>127</v>
      </c>
      <c r="C75" s="174" t="s">
        <v>128</v>
      </c>
      <c r="D75" s="173">
        <v>19</v>
      </c>
      <c r="E75" s="173">
        <v>0</v>
      </c>
      <c r="F75" s="173">
        <v>0</v>
      </c>
      <c r="G75" s="175">
        <f>IF(E75=0,D75,E75)</f>
        <v>19</v>
      </c>
      <c r="H75" s="176"/>
      <c r="I75" s="177">
        <f>AVERAGE(G75,D75)</f>
        <v>19</v>
      </c>
      <c r="J75" s="178" t="s">
        <v>129</v>
      </c>
      <c r="K75" s="179">
        <v>360</v>
      </c>
      <c r="L75" s="50">
        <f>ROUND(K75*I75,0)</f>
        <v>6840</v>
      </c>
      <c r="N75" s="1">
        <v>7802</v>
      </c>
      <c r="O75" s="1">
        <v>0</v>
      </c>
      <c r="V75" s="358" t="s">
        <v>127</v>
      </c>
      <c r="W75" s="358"/>
      <c r="X75" s="168" t="s">
        <v>131</v>
      </c>
      <c r="Y75" s="180"/>
      <c r="Z75" s="181">
        <f>+I76</f>
        <v>1</v>
      </c>
      <c r="AA75" s="171" t="s">
        <v>129</v>
      </c>
      <c r="AB75" s="182">
        <f>+K76</f>
        <v>1355</v>
      </c>
      <c r="AC75" s="55">
        <f>ROUND(AB75*Z75,0)</f>
        <v>1355</v>
      </c>
      <c r="AD75" s="9"/>
    </row>
    <row r="76" spans="1:30" ht="19.5" customHeight="1" x14ac:dyDescent="0.3">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7.4299999999999995E-4</v>
      </c>
      <c r="L77" s="50">
        <f>ROUND(I77*K77,0)</f>
        <v>24310</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7.4299999999999995E-4</v>
      </c>
      <c r="L78" s="50">
        <f>ROUND(I78*K78,0)</f>
        <v>497</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8195</v>
      </c>
      <c r="AD81" s="195"/>
    </row>
    <row r="82" spans="1:30" ht="22.5" customHeight="1" thickTop="1" thickBot="1" x14ac:dyDescent="0.35">
      <c r="B82" s="13" t="s">
        <v>141</v>
      </c>
      <c r="C82" s="13"/>
      <c r="D82" s="13"/>
      <c r="E82" s="13"/>
      <c r="F82" s="13"/>
      <c r="G82" s="13"/>
      <c r="H82" s="13"/>
      <c r="I82" s="13"/>
      <c r="J82" s="13"/>
      <c r="K82" s="13"/>
      <c r="L82" s="196">
        <f>SUM(L44:L81)</f>
        <v>884013</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'0664'!AC81</f>
        <v>8195</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884013</v>
      </c>
      <c r="L86" s="82">
        <f>IF(G26=0,0,IF(G26&gt;250,-(((250/G26)*K86)*IF(M86="H",0.02,0.05)),IF(M86="H",-0.02*K86,-0.05*K86)))</f>
        <v>-44200.65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839812.35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413022</v>
      </c>
      <c r="G89" s="13"/>
      <c r="H89" s="13"/>
      <c r="I89" s="13"/>
      <c r="J89" s="13"/>
      <c r="K89" s="206"/>
      <c r="L89" s="82">
        <v>-555240</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284572.34999999998</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71143.087499999994</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216</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217</v>
      </c>
      <c r="C123" s="219" t="s">
        <v>200</v>
      </c>
    </row>
    <row r="124" spans="2:3" ht="15.5" hidden="1" x14ac:dyDescent="0.35">
      <c r="B124" s="223" t="s">
        <v>218</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41646.468969907401</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77" zoomScale="90" zoomScaleNormal="90" workbookViewId="0">
      <selection activeCell="L90" sqref="L90"/>
    </sheetView>
  </sheetViews>
  <sheetFormatPr defaultColWidth="8.90625" defaultRowHeight="15" x14ac:dyDescent="0.3"/>
  <cols>
    <col min="1" max="1" width="11.36328125" style="1" hidden="1" customWidth="1"/>
    <col min="2" max="2" width="10.36328125" style="30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'4041'!B2</f>
        <v>50</v>
      </c>
      <c r="W2" s="413" t="s">
        <v>4</v>
      </c>
      <c r="X2" s="414"/>
      <c r="Y2" s="415"/>
      <c r="Z2" s="415"/>
      <c r="AA2" s="415"/>
      <c r="AB2" s="415"/>
      <c r="AC2" s="415"/>
      <c r="AD2" s="9"/>
    </row>
    <row r="3" spans="1:30" ht="20" x14ac:dyDescent="0.4">
      <c r="B3" s="10" t="s">
        <v>399</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30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'4041'!G7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6.51</v>
      </c>
      <c r="G10" s="46">
        <f>IF(E10=0,D10*2,D10+E10)</f>
        <v>0</v>
      </c>
      <c r="H10" s="47"/>
      <c r="I10" s="48">
        <v>1.125</v>
      </c>
      <c r="J10" s="48"/>
      <c r="K10" s="49">
        <f>ROUND(G10*I10,4)</f>
        <v>0</v>
      </c>
      <c r="L10" s="50">
        <f>ROUND(ROUND(K10*$G$7,4)*($K$7),0)</f>
        <v>0</v>
      </c>
      <c r="N10" s="51">
        <v>5101</v>
      </c>
      <c r="O10" s="52">
        <v>101</v>
      </c>
      <c r="Q10" s="53"/>
      <c r="V10" s="404" t="s">
        <v>28</v>
      </c>
      <c r="W10" s="404"/>
      <c r="X10" s="396">
        <f>IF('4041'!K$84=1,'4041'!G10,0)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61.25</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IF('4041'!K$84=1,'4041'!G11,0)</f>
        <v>0</v>
      </c>
      <c r="Y11" s="396"/>
      <c r="Z11" s="397">
        <v>1</v>
      </c>
      <c r="AA11" s="397"/>
      <c r="AB11" s="54">
        <f t="shared" si="0"/>
        <v>0</v>
      </c>
      <c r="AC11" s="55">
        <f t="shared" si="1"/>
        <v>0</v>
      </c>
      <c r="AD11" s="9"/>
    </row>
    <row r="12" spans="1:30" x14ac:dyDescent="0.3">
      <c r="A12" s="1" t="s">
        <v>32</v>
      </c>
      <c r="B12" s="13" t="s">
        <v>33</v>
      </c>
      <c r="C12" s="13"/>
      <c r="D12" s="13">
        <v>8.94</v>
      </c>
      <c r="E12" s="13">
        <v>0</v>
      </c>
      <c r="F12" s="13">
        <v>1.25</v>
      </c>
      <c r="G12" s="46">
        <f t="shared" si="2"/>
        <v>17.88</v>
      </c>
      <c r="H12" s="47"/>
      <c r="I12" s="56">
        <v>1</v>
      </c>
      <c r="J12" s="56"/>
      <c r="K12" s="49">
        <f t="shared" si="3"/>
        <v>17.88</v>
      </c>
      <c r="L12" s="50">
        <f t="shared" si="4"/>
        <v>69278</v>
      </c>
      <c r="N12" s="51">
        <v>5102</v>
      </c>
      <c r="O12" s="52">
        <v>102</v>
      </c>
      <c r="Q12" s="53"/>
      <c r="V12" s="357" t="s">
        <v>33</v>
      </c>
      <c r="W12" s="357"/>
      <c r="X12" s="396">
        <f>IF('4041'!K$84=1,'4041'!G12,0)</f>
        <v>0</v>
      </c>
      <c r="Y12" s="396"/>
      <c r="Z12" s="397">
        <v>1</v>
      </c>
      <c r="AA12" s="397"/>
      <c r="AB12" s="54">
        <f t="shared" si="0"/>
        <v>0</v>
      </c>
      <c r="AC12" s="55">
        <f t="shared" si="1"/>
        <v>0</v>
      </c>
      <c r="AD12" s="9"/>
    </row>
    <row r="13" spans="1:30" x14ac:dyDescent="0.3">
      <c r="A13" s="1" t="s">
        <v>34</v>
      </c>
      <c r="B13" s="13" t="s">
        <v>35</v>
      </c>
      <c r="C13" s="13"/>
      <c r="D13" s="13">
        <v>3</v>
      </c>
      <c r="E13" s="13">
        <v>0</v>
      </c>
      <c r="F13" s="13">
        <v>3.83</v>
      </c>
      <c r="G13" s="46">
        <f t="shared" si="2"/>
        <v>6</v>
      </c>
      <c r="H13" s="47"/>
      <c r="I13" s="56">
        <f>I12</f>
        <v>1</v>
      </c>
      <c r="J13" s="56"/>
      <c r="K13" s="49">
        <f t="shared" si="3"/>
        <v>6</v>
      </c>
      <c r="L13" s="50">
        <f t="shared" si="4"/>
        <v>23248</v>
      </c>
      <c r="M13" s="1" t="str">
        <f>IF(ROUND(G13,2)=ROUND(SUM(G31:G33),2)," ","CHECK 2. PK-3 Lines Below")</f>
        <v xml:space="preserve"> </v>
      </c>
      <c r="N13" s="51">
        <v>5102</v>
      </c>
      <c r="O13" s="57" t="s">
        <v>36</v>
      </c>
      <c r="Q13" s="53"/>
      <c r="V13" s="357" t="s">
        <v>35</v>
      </c>
      <c r="W13" s="357"/>
      <c r="X13" s="396">
        <f>IF('4041'!K$84=1,'4041'!G13,0)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IF('4041'!K$84=1,'4041'!G14,0)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IF('4041'!K$84=1,'4041'!G15,0)</f>
        <v>0</v>
      </c>
      <c r="Y15" s="396"/>
      <c r="Z15" s="397">
        <v>1</v>
      </c>
      <c r="AA15" s="397"/>
      <c r="AB15" s="54">
        <f t="shared" si="0"/>
        <v>0</v>
      </c>
      <c r="AC15" s="59">
        <f t="shared" si="1"/>
        <v>0</v>
      </c>
      <c r="AD15" s="9"/>
    </row>
    <row r="16" spans="1:30" ht="15.5" x14ac:dyDescent="0.35">
      <c r="A16" s="1" t="s">
        <v>42</v>
      </c>
      <c r="B16" s="13" t="s">
        <v>43</v>
      </c>
      <c r="C16" s="13"/>
      <c r="D16" s="13">
        <v>0</v>
      </c>
      <c r="E16" s="13">
        <v>0</v>
      </c>
      <c r="F16" s="13">
        <v>0.68</v>
      </c>
      <c r="G16" s="46">
        <f t="shared" si="2"/>
        <v>0</v>
      </c>
      <c r="H16" s="47"/>
      <c r="I16" s="56">
        <v>3.5579999999999998</v>
      </c>
      <c r="J16" s="56"/>
      <c r="K16" s="49">
        <f t="shared" si="3"/>
        <v>0</v>
      </c>
      <c r="L16" s="50">
        <f t="shared" si="4"/>
        <v>0</v>
      </c>
      <c r="N16" s="51">
        <v>5101</v>
      </c>
      <c r="O16" s="1">
        <v>254</v>
      </c>
      <c r="Q16" s="53"/>
      <c r="V16" s="357" t="s">
        <v>43</v>
      </c>
      <c r="W16" s="357"/>
      <c r="X16" s="396">
        <f>IF('4041'!K$84=1,'4041'!G16,0)</f>
        <v>0</v>
      </c>
      <c r="Y16" s="396"/>
      <c r="Z16" s="397">
        <v>1</v>
      </c>
      <c r="AA16" s="397"/>
      <c r="AB16" s="54">
        <f t="shared" si="0"/>
        <v>0</v>
      </c>
      <c r="AC16" s="55">
        <f t="shared" si="1"/>
        <v>0</v>
      </c>
      <c r="AD16" s="9"/>
    </row>
    <row r="17" spans="1:30" ht="15.5" x14ac:dyDescent="0.35">
      <c r="A17" s="1" t="s">
        <v>44</v>
      </c>
      <c r="B17" s="13" t="s">
        <v>45</v>
      </c>
      <c r="C17" s="13"/>
      <c r="D17" s="13">
        <v>0</v>
      </c>
      <c r="E17" s="13">
        <v>0</v>
      </c>
      <c r="F17" s="13">
        <v>0.68</v>
      </c>
      <c r="G17" s="46">
        <f t="shared" si="2"/>
        <v>0</v>
      </c>
      <c r="H17" s="47"/>
      <c r="I17" s="56">
        <f>I16</f>
        <v>3.5579999999999998</v>
      </c>
      <c r="J17" s="56"/>
      <c r="K17" s="49">
        <f t="shared" si="3"/>
        <v>0</v>
      </c>
      <c r="L17" s="50">
        <f t="shared" si="4"/>
        <v>0</v>
      </c>
      <c r="N17" s="51">
        <v>5102</v>
      </c>
      <c r="O17" s="53">
        <v>254</v>
      </c>
      <c r="Q17" s="53"/>
      <c r="V17" s="357" t="s">
        <v>45</v>
      </c>
      <c r="W17" s="357"/>
      <c r="X17" s="396">
        <f>IF('4041'!K$84=1,'4041'!G17,0)</f>
        <v>0</v>
      </c>
      <c r="Y17" s="396"/>
      <c r="Z17" s="397">
        <v>1</v>
      </c>
      <c r="AA17" s="397"/>
      <c r="AB17" s="54">
        <f t="shared" si="0"/>
        <v>0</v>
      </c>
      <c r="AC17" s="55">
        <f t="shared" si="1"/>
        <v>0</v>
      </c>
      <c r="AD17" s="9"/>
    </row>
    <row r="18" spans="1:30" ht="15.5" x14ac:dyDescent="0.35">
      <c r="A18" s="1" t="s">
        <v>46</v>
      </c>
      <c r="B18" s="13" t="s">
        <v>47</v>
      </c>
      <c r="C18" s="13"/>
      <c r="D18" s="13">
        <v>0</v>
      </c>
      <c r="E18" s="13">
        <v>0</v>
      </c>
      <c r="F18" s="13">
        <v>0.68</v>
      </c>
      <c r="G18" s="46">
        <f t="shared" si="2"/>
        <v>0</v>
      </c>
      <c r="H18" s="47"/>
      <c r="I18" s="56">
        <f>I17</f>
        <v>3.5579999999999998</v>
      </c>
      <c r="J18" s="56"/>
      <c r="K18" s="49">
        <f t="shared" si="3"/>
        <v>0</v>
      </c>
      <c r="L18" s="50">
        <f t="shared" si="4"/>
        <v>0</v>
      </c>
      <c r="N18" s="51">
        <v>5103</v>
      </c>
      <c r="O18" s="53">
        <v>254</v>
      </c>
      <c r="Q18" s="53"/>
      <c r="V18" s="357" t="s">
        <v>47</v>
      </c>
      <c r="W18" s="357"/>
      <c r="X18" s="396">
        <f>IF('4041'!K$84=1,'4041'!G18,0)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0.66</v>
      </c>
      <c r="G19" s="46">
        <f t="shared" si="2"/>
        <v>0</v>
      </c>
      <c r="H19" s="47"/>
      <c r="I19" s="56">
        <v>5.0890000000000004</v>
      </c>
      <c r="J19" s="56"/>
      <c r="K19" s="49">
        <f t="shared" si="3"/>
        <v>0</v>
      </c>
      <c r="L19" s="50">
        <f t="shared" si="4"/>
        <v>0</v>
      </c>
      <c r="N19" s="51">
        <v>5101</v>
      </c>
      <c r="O19" s="1">
        <v>255</v>
      </c>
      <c r="Q19" s="53"/>
      <c r="V19" s="357" t="s">
        <v>49</v>
      </c>
      <c r="W19" s="357"/>
      <c r="X19" s="396">
        <f>IF('4041'!K$84=1,'4041'!G19,0)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0.66</v>
      </c>
      <c r="G20" s="46">
        <f t="shared" si="2"/>
        <v>0</v>
      </c>
      <c r="H20" s="47"/>
      <c r="I20" s="56">
        <f>I19</f>
        <v>5.0890000000000004</v>
      </c>
      <c r="J20" s="56"/>
      <c r="K20" s="49">
        <f t="shared" si="3"/>
        <v>0</v>
      </c>
      <c r="L20" s="50">
        <f t="shared" si="4"/>
        <v>0</v>
      </c>
      <c r="N20" s="51">
        <v>5102</v>
      </c>
      <c r="O20" s="53">
        <v>255</v>
      </c>
      <c r="Q20" s="53"/>
      <c r="V20" s="357" t="s">
        <v>51</v>
      </c>
      <c r="W20" s="357"/>
      <c r="X20" s="396">
        <f>IF('4041'!K$84=1,'4041'!G20,0)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0.66</v>
      </c>
      <c r="G21" s="46">
        <f t="shared" si="2"/>
        <v>0</v>
      </c>
      <c r="H21" s="47"/>
      <c r="I21" s="56">
        <f>I20</f>
        <v>5.0890000000000004</v>
      </c>
      <c r="J21" s="56"/>
      <c r="K21" s="49">
        <f t="shared" si="3"/>
        <v>0</v>
      </c>
      <c r="L21" s="50">
        <f t="shared" si="4"/>
        <v>0</v>
      </c>
      <c r="N21" s="51">
        <v>5103</v>
      </c>
      <c r="O21" s="53">
        <v>255</v>
      </c>
      <c r="Q21" s="53"/>
      <c r="V21" s="357" t="s">
        <v>53</v>
      </c>
      <c r="W21" s="357"/>
      <c r="X21" s="396">
        <f>IF('4041'!K$84=1,'4041'!G21,0)</f>
        <v>0</v>
      </c>
      <c r="Y21" s="396"/>
      <c r="Z21" s="397">
        <v>1</v>
      </c>
      <c r="AA21" s="397"/>
      <c r="AB21" s="54">
        <f t="shared" si="0"/>
        <v>0</v>
      </c>
      <c r="AC21" s="55">
        <f t="shared" si="1"/>
        <v>0</v>
      </c>
      <c r="AD21" s="9"/>
    </row>
    <row r="22" spans="1:30" ht="15.5" x14ac:dyDescent="0.35">
      <c r="A22" s="1" t="s">
        <v>54</v>
      </c>
      <c r="B22" s="13" t="s">
        <v>55</v>
      </c>
      <c r="C22" s="13"/>
      <c r="D22" s="13">
        <v>0</v>
      </c>
      <c r="E22" s="13">
        <v>0</v>
      </c>
      <c r="F22" s="13">
        <v>9</v>
      </c>
      <c r="G22" s="46">
        <f t="shared" si="2"/>
        <v>0</v>
      </c>
      <c r="H22" s="47"/>
      <c r="I22" s="56">
        <v>1.145</v>
      </c>
      <c r="J22" s="56"/>
      <c r="K22" s="49">
        <f t="shared" si="3"/>
        <v>0</v>
      </c>
      <c r="L22" s="50">
        <f t="shared" si="4"/>
        <v>0</v>
      </c>
      <c r="N22" s="51">
        <v>5101</v>
      </c>
      <c r="O22" s="52">
        <v>130</v>
      </c>
      <c r="Q22" s="53"/>
      <c r="V22" s="357" t="s">
        <v>55</v>
      </c>
      <c r="W22" s="357"/>
      <c r="X22" s="396">
        <f>IF('4041'!K$84=1,'4041'!G22,0)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IF('4041'!K$84=1,'4041'!G23,0)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IF('4041'!K$84=1,'4041'!G24,0)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IF('4041'!K$84=1,'4041'!G25,0)</f>
        <v>0</v>
      </c>
      <c r="Y25" s="396"/>
      <c r="Z25" s="397">
        <v>1</v>
      </c>
      <c r="AA25" s="397"/>
      <c r="AB25" s="54">
        <f t="shared" si="0"/>
        <v>0</v>
      </c>
      <c r="AC25" s="55">
        <f t="shared" si="1"/>
        <v>0</v>
      </c>
      <c r="AD25" s="9"/>
    </row>
    <row r="26" spans="1:30" ht="20.25" customHeight="1" thickBot="1" x14ac:dyDescent="0.35">
      <c r="B26" s="61" t="s">
        <v>62</v>
      </c>
      <c r="C26" s="61"/>
      <c r="D26" s="62">
        <f t="shared" ref="D26:E26" si="5">SUM(D10:D25)</f>
        <v>11.94</v>
      </c>
      <c r="E26" s="62">
        <f t="shared" si="5"/>
        <v>0</v>
      </c>
      <c r="F26" s="62"/>
      <c r="G26" s="62">
        <f>SUM(G10:G25)</f>
        <v>23.88</v>
      </c>
      <c r="H26" s="63"/>
      <c r="I26" s="63"/>
      <c r="J26" s="64"/>
      <c r="K26" s="65">
        <f>SUM(K10:K25)</f>
        <v>23.88</v>
      </c>
      <c r="L26" s="66">
        <f>SUM(L10:L25)</f>
        <v>92526</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10</v>
      </c>
      <c r="G28" s="46">
        <f>IF(E28=0,D28*2,D28+E28)</f>
        <v>0</v>
      </c>
      <c r="H28" s="79"/>
      <c r="I28" s="80" t="s">
        <v>70</v>
      </c>
      <c r="J28" s="51">
        <v>251</v>
      </c>
      <c r="K28" s="81">
        <v>1047</v>
      </c>
      <c r="L28" s="82">
        <f>ROUND(G28*K28,0)</f>
        <v>0</v>
      </c>
      <c r="N28" s="302">
        <v>5101</v>
      </c>
      <c r="O28" s="53">
        <v>251</v>
      </c>
      <c r="P28" s="83"/>
      <c r="Q28" s="84"/>
      <c r="V28" s="395" t="s">
        <v>69</v>
      </c>
      <c r="W28" s="395"/>
      <c r="X28" s="384"/>
      <c r="Y28" s="384"/>
      <c r="Z28" s="85" t="s">
        <v>70</v>
      </c>
      <c r="AA28" s="295">
        <v>251</v>
      </c>
      <c r="AB28" s="87">
        <f>+K28</f>
        <v>1047</v>
      </c>
      <c r="AC28" s="88">
        <f t="shared" ref="AC28:AC36" si="6">ROUND(X28*AB28,0)</f>
        <v>0</v>
      </c>
      <c r="AD28" s="9"/>
    </row>
    <row r="29" spans="1:30" ht="15.5" x14ac:dyDescent="0.35">
      <c r="A29" s="1" t="s">
        <v>71</v>
      </c>
      <c r="B29" s="391"/>
      <c r="C29" s="392"/>
      <c r="D29" s="13">
        <v>0</v>
      </c>
      <c r="E29" s="13">
        <v>0</v>
      </c>
      <c r="F29" s="89">
        <v>3.5</v>
      </c>
      <c r="G29" s="46">
        <f t="shared" ref="G29:G36" si="7">IF(E29=0,D29*2,D29+E29)</f>
        <v>0</v>
      </c>
      <c r="H29" s="79"/>
      <c r="I29" s="51" t="s">
        <v>70</v>
      </c>
      <c r="J29" s="51">
        <v>252</v>
      </c>
      <c r="K29" s="81">
        <v>3380</v>
      </c>
      <c r="L29" s="82">
        <f t="shared" ref="L29:L36" si="8">ROUND(G29*K29,0)</f>
        <v>0</v>
      </c>
      <c r="N29" s="302">
        <v>5101</v>
      </c>
      <c r="O29" s="53">
        <v>252</v>
      </c>
      <c r="P29" s="83"/>
      <c r="Q29" s="84"/>
      <c r="V29" s="395"/>
      <c r="W29" s="395"/>
      <c r="X29" s="384"/>
      <c r="Y29" s="384"/>
      <c r="Z29" s="295" t="s">
        <v>70</v>
      </c>
      <c r="AA29" s="295">
        <v>252</v>
      </c>
      <c r="AB29" s="87">
        <f t="shared" ref="AB29:AB36" si="9">+K29</f>
        <v>3380</v>
      </c>
      <c r="AC29" s="88">
        <f t="shared" si="6"/>
        <v>0</v>
      </c>
      <c r="AD29" s="9"/>
    </row>
    <row r="30" spans="1:30" ht="15.5" x14ac:dyDescent="0.3">
      <c r="A30" s="1" t="s">
        <v>72</v>
      </c>
      <c r="B30" s="391"/>
      <c r="C30" s="392"/>
      <c r="D30" s="13">
        <v>0</v>
      </c>
      <c r="E30" s="13">
        <v>0</v>
      </c>
      <c r="F30" s="89">
        <v>7</v>
      </c>
      <c r="G30" s="46">
        <f t="shared" si="7"/>
        <v>0</v>
      </c>
      <c r="H30" s="79"/>
      <c r="I30" s="51" t="s">
        <v>70</v>
      </c>
      <c r="J30" s="51">
        <v>253</v>
      </c>
      <c r="K30" s="81">
        <v>6896</v>
      </c>
      <c r="L30" s="82">
        <f t="shared" si="8"/>
        <v>0</v>
      </c>
      <c r="N30" s="302">
        <v>5101</v>
      </c>
      <c r="O30" s="53">
        <v>253</v>
      </c>
      <c r="P30" s="83"/>
      <c r="Q30" s="67"/>
      <c r="V30" s="395"/>
      <c r="W30" s="395"/>
      <c r="X30" s="384"/>
      <c r="Y30" s="384"/>
      <c r="Z30" s="295" t="s">
        <v>70</v>
      </c>
      <c r="AA30" s="295">
        <v>253</v>
      </c>
      <c r="AB30" s="87">
        <f t="shared" si="9"/>
        <v>6896</v>
      </c>
      <c r="AC30" s="88">
        <f t="shared" si="6"/>
        <v>0</v>
      </c>
      <c r="AD30" s="9"/>
    </row>
    <row r="31" spans="1:30" ht="15.5" x14ac:dyDescent="0.3">
      <c r="A31" s="1" t="s">
        <v>73</v>
      </c>
      <c r="B31" s="391"/>
      <c r="C31" s="392"/>
      <c r="D31" s="13">
        <v>3</v>
      </c>
      <c r="E31" s="13">
        <v>0</v>
      </c>
      <c r="F31" s="89">
        <v>1</v>
      </c>
      <c r="G31" s="46">
        <f t="shared" si="7"/>
        <v>6</v>
      </c>
      <c r="H31" s="79"/>
      <c r="I31" s="90" t="s">
        <v>74</v>
      </c>
      <c r="J31" s="51">
        <v>251</v>
      </c>
      <c r="K31" s="81">
        <v>1173</v>
      </c>
      <c r="L31" s="82">
        <f t="shared" si="8"/>
        <v>7038</v>
      </c>
      <c r="N31" s="302">
        <v>5102</v>
      </c>
      <c r="O31" s="53">
        <v>251</v>
      </c>
      <c r="P31" s="83"/>
      <c r="Q31" s="67"/>
      <c r="V31" s="395"/>
      <c r="W31" s="395"/>
      <c r="X31" s="384"/>
      <c r="Y31" s="384"/>
      <c r="Z31" s="91" t="s">
        <v>74</v>
      </c>
      <c r="AA31" s="295">
        <v>251</v>
      </c>
      <c r="AB31" s="87">
        <f t="shared" si="9"/>
        <v>1173</v>
      </c>
      <c r="AC31" s="88">
        <f t="shared" si="6"/>
        <v>0</v>
      </c>
      <c r="AD31" s="9"/>
    </row>
    <row r="32" spans="1:30" ht="15.5" x14ac:dyDescent="0.3">
      <c r="A32" s="1" t="s">
        <v>75</v>
      </c>
      <c r="B32" s="391"/>
      <c r="C32" s="392"/>
      <c r="D32" s="13">
        <v>0</v>
      </c>
      <c r="E32" s="13">
        <v>0</v>
      </c>
      <c r="F32" s="89">
        <v>0.5</v>
      </c>
      <c r="G32" s="46">
        <f t="shared" si="7"/>
        <v>0</v>
      </c>
      <c r="H32" s="79"/>
      <c r="I32" s="90" t="s">
        <v>74</v>
      </c>
      <c r="J32" s="51">
        <v>252</v>
      </c>
      <c r="K32" s="81">
        <v>3506</v>
      </c>
      <c r="L32" s="82">
        <f t="shared" si="8"/>
        <v>0</v>
      </c>
      <c r="N32" s="302">
        <v>5102</v>
      </c>
      <c r="O32" s="53">
        <v>252</v>
      </c>
      <c r="P32" s="83"/>
      <c r="Q32" s="53"/>
      <c r="V32" s="395"/>
      <c r="W32" s="395"/>
      <c r="X32" s="384"/>
      <c r="Y32" s="384"/>
      <c r="Z32" s="91" t="s">
        <v>74</v>
      </c>
      <c r="AA32" s="295">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302">
        <v>5102</v>
      </c>
      <c r="O33" s="53">
        <v>253</v>
      </c>
      <c r="P33" s="83"/>
      <c r="Q33" s="84"/>
      <c r="V33" s="395"/>
      <c r="W33" s="395"/>
      <c r="X33" s="384"/>
      <c r="Y33" s="384"/>
      <c r="Z33" s="91" t="s">
        <v>74</v>
      </c>
      <c r="AA33" s="295">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302">
        <v>5103</v>
      </c>
      <c r="O34" s="53">
        <v>251</v>
      </c>
      <c r="P34" s="83"/>
      <c r="Q34" s="84"/>
      <c r="V34" s="395"/>
      <c r="W34" s="395"/>
      <c r="X34" s="384"/>
      <c r="Y34" s="384"/>
      <c r="Z34" s="91" t="s">
        <v>78</v>
      </c>
      <c r="AA34" s="295">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302">
        <v>5103</v>
      </c>
      <c r="O35" s="53">
        <v>252</v>
      </c>
      <c r="P35" s="83"/>
      <c r="Q35" s="92"/>
      <c r="V35" s="395"/>
      <c r="W35" s="395"/>
      <c r="X35" s="384"/>
      <c r="Y35" s="384"/>
      <c r="Z35" s="91" t="s">
        <v>78</v>
      </c>
      <c r="AA35" s="295">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302">
        <v>5103</v>
      </c>
      <c r="O36" s="53">
        <v>253</v>
      </c>
      <c r="P36" s="83"/>
      <c r="Q36" s="94"/>
      <c r="V36" s="395"/>
      <c r="W36" s="395"/>
      <c r="X36" s="385"/>
      <c r="Y36" s="385"/>
      <c r="Z36" s="91" t="s">
        <v>78</v>
      </c>
      <c r="AA36" s="295">
        <v>253</v>
      </c>
      <c r="AB36" s="87">
        <f t="shared" si="9"/>
        <v>6685</v>
      </c>
      <c r="AC36" s="95">
        <f t="shared" si="6"/>
        <v>0</v>
      </c>
      <c r="AD36" s="9"/>
    </row>
    <row r="37" spans="1:30" ht="18.75" customHeight="1" x14ac:dyDescent="0.3">
      <c r="B37" s="13" t="s">
        <v>81</v>
      </c>
      <c r="C37" s="13"/>
      <c r="D37" s="62">
        <f t="shared" ref="D37:E37" si="10">SUM(D28:D36)</f>
        <v>3</v>
      </c>
      <c r="E37" s="62">
        <f t="shared" si="10"/>
        <v>0</v>
      </c>
      <c r="F37" s="62"/>
      <c r="G37" s="62">
        <f>SUM(G28:G36)</f>
        <v>6</v>
      </c>
      <c r="H37" s="63"/>
      <c r="I37" s="13" t="s">
        <v>82</v>
      </c>
      <c r="J37" s="13"/>
      <c r="K37" s="13"/>
      <c r="L37" s="50">
        <f>SUM(L28:L36)</f>
        <v>7038</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4585</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299"/>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104149</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298"/>
    </row>
    <row r="46" spans="1:30" ht="18.75" customHeight="1" x14ac:dyDescent="0.3">
      <c r="B46" s="1"/>
      <c r="C46" s="114" t="s">
        <v>92</v>
      </c>
      <c r="D46" s="114"/>
      <c r="E46" s="114"/>
      <c r="F46" s="114"/>
      <c r="G46" s="114" t="s">
        <v>93</v>
      </c>
      <c r="H46" s="115"/>
      <c r="I46" s="116" t="s">
        <v>94</v>
      </c>
      <c r="J46" s="117"/>
      <c r="K46" s="117"/>
      <c r="L46" s="117"/>
      <c r="M46" s="118"/>
      <c r="O46" s="1"/>
      <c r="V46" s="9"/>
      <c r="W46" s="301"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299"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23.88</v>
      </c>
      <c r="D48" s="121"/>
      <c r="E48" s="121"/>
      <c r="F48" s="121"/>
      <c r="G48" s="122">
        <f>K7</f>
        <v>1.0326</v>
      </c>
      <c r="H48" s="122"/>
      <c r="I48" s="123">
        <v>898.23</v>
      </c>
      <c r="J48" s="124" t="s">
        <v>97</v>
      </c>
      <c r="K48" s="125">
        <f>ROUND(C48*G48*I48,0)</f>
        <v>22149</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23.88</v>
      </c>
      <c r="D50" s="144"/>
      <c r="E50" s="145"/>
      <c r="F50" s="145"/>
      <c r="G50" s="146" t="s">
        <v>99</v>
      </c>
      <c r="H50" s="146"/>
      <c r="I50" s="146"/>
      <c r="J50" s="146"/>
      <c r="K50" s="146"/>
      <c r="L50" s="50">
        <f>IF(B2=75,0,K49+K48+K47)</f>
        <v>22149</v>
      </c>
      <c r="N50" s="3"/>
      <c r="O50" s="1"/>
      <c r="V50" s="300"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23.88</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1.2400000000000001E-4</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23.88</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1.3300000000000001E-4</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297"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1.2400000000000001E-4</v>
      </c>
      <c r="L59" s="50">
        <f>ROUND(I59*K59,0)</f>
        <v>511</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298"/>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297"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1.2400000000000001E-4</v>
      </c>
      <c r="L67" s="50">
        <f>ROUND(I67*K67,0)</f>
        <v>12000</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297"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1.3300000000000001E-4</v>
      </c>
      <c r="L69" s="50">
        <f>ROUND(I69*K69,0)</f>
        <v>0</v>
      </c>
      <c r="O69" s="1"/>
      <c r="V69" s="354" t="s">
        <v>122</v>
      </c>
      <c r="W69" s="354"/>
      <c r="X69" s="354"/>
      <c r="Y69" s="360">
        <f>+I70</f>
        <v>0</v>
      </c>
      <c r="Z69" s="360"/>
      <c r="AA69" s="297"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1.2400000000000001E-4</v>
      </c>
      <c r="L70" s="50">
        <f>ROUND(I70*K70,0)</f>
        <v>0</v>
      </c>
      <c r="O70" s="1"/>
      <c r="V70" s="354" t="s">
        <v>123</v>
      </c>
      <c r="W70" s="354"/>
      <c r="X70" s="354"/>
      <c r="Y70" s="356">
        <f>+I71</f>
        <v>0</v>
      </c>
      <c r="Z70" s="356"/>
      <c r="AA70" s="297"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1.2400000000000001E-4</v>
      </c>
      <c r="L71" s="50">
        <f>ROUND(I71*K71,0)</f>
        <v>0</v>
      </c>
      <c r="O71" s="1"/>
      <c r="V71" s="354" t="s">
        <v>124</v>
      </c>
      <c r="W71" s="354"/>
      <c r="X71" s="354"/>
      <c r="Y71" s="356">
        <f>+I72</f>
        <v>14117224</v>
      </c>
      <c r="Z71" s="356"/>
      <c r="AA71" s="297"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1.3300000000000001E-4</v>
      </c>
      <c r="L72" s="50">
        <f>ROUND(I72*K72,0)</f>
        <v>1878</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0</v>
      </c>
      <c r="AA74" s="296" t="s">
        <v>129</v>
      </c>
      <c r="AB74" s="172">
        <f>+K75</f>
        <v>360</v>
      </c>
      <c r="AC74" s="55">
        <f>ROUND(AB74*Z74,0)</f>
        <v>0</v>
      </c>
      <c r="AD74" s="9"/>
    </row>
    <row r="75" spans="1:30" ht="19.5" customHeight="1" x14ac:dyDescent="0.3">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8" t="s">
        <v>127</v>
      </c>
      <c r="W75" s="358"/>
      <c r="X75" s="168" t="s">
        <v>131</v>
      </c>
      <c r="Y75" s="180"/>
      <c r="Z75" s="181">
        <f>+I76</f>
        <v>0</v>
      </c>
      <c r="AA75" s="296"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296"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1.2400000000000001E-4</v>
      </c>
      <c r="L77" s="50">
        <f>ROUND(I77*K77,0)</f>
        <v>4057</v>
      </c>
      <c r="O77" s="1"/>
      <c r="V77" s="354" t="str">
        <f>+B78</f>
        <v>15.  Additional Allocation (WFTE share)</v>
      </c>
      <c r="W77" s="354"/>
      <c r="X77" s="354"/>
      <c r="Y77" s="355">
        <f>+I78</f>
        <v>668680</v>
      </c>
      <c r="Z77" s="355"/>
      <c r="AA77" s="296"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1.2400000000000001E-4</v>
      </c>
      <c r="L78" s="50">
        <f>ROUND(I78*K78,0)</f>
        <v>83</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5">
      <c r="B82" s="13" t="s">
        <v>141</v>
      </c>
      <c r="C82" s="13"/>
      <c r="D82" s="13"/>
      <c r="E82" s="13"/>
      <c r="F82" s="13"/>
      <c r="G82" s="13"/>
      <c r="H82" s="13"/>
      <c r="I82" s="13"/>
      <c r="J82" s="13"/>
      <c r="K82" s="13"/>
      <c r="L82" s="196">
        <f>SUM(L44:L81)</f>
        <v>144827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'4041'!AC81</f>
        <v>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302" t="s">
        <v>149</v>
      </c>
      <c r="C86" s="13"/>
      <c r="D86" s="13"/>
      <c r="E86" s="13"/>
      <c r="F86" s="13"/>
      <c r="G86" s="13"/>
      <c r="H86" s="13"/>
      <c r="I86" s="13"/>
      <c r="J86" s="204" t="s">
        <v>150</v>
      </c>
      <c r="K86" s="205">
        <f>IF(K84=1,L84,L82)</f>
        <v>144827</v>
      </c>
      <c r="L86" s="82">
        <f>IF(G26=0,0,IF(G26&gt;250,-(((250/G26)*K86)*IF(M86="H",0.02,0.05)),IF(M86="H",-0.02*K86,-0.05*K86)))</f>
        <v>-7241.35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302" t="s">
        <v>152</v>
      </c>
      <c r="C87" s="13"/>
      <c r="D87" s="13"/>
      <c r="E87" s="13"/>
      <c r="F87" s="13"/>
      <c r="G87" s="13"/>
      <c r="H87" s="13"/>
      <c r="I87" s="13"/>
      <c r="J87" s="13"/>
      <c r="K87" s="206"/>
      <c r="L87" s="200">
        <f>L82+L86</f>
        <v>137585.65</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416775</v>
      </c>
      <c r="G89" s="13"/>
      <c r="H89" s="13"/>
      <c r="I89" s="13"/>
      <c r="J89" s="13"/>
      <c r="K89" s="206"/>
      <c r="L89" s="82">
        <v>-80742</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56843.649999999994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14210.912499999999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340</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341</v>
      </c>
      <c r="C123" s="219" t="s">
        <v>200</v>
      </c>
    </row>
    <row r="124" spans="2:3" ht="15.5" hidden="1" x14ac:dyDescent="0.35">
      <c r="B124" s="223" t="s">
        <v>342</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1.15740695036948E-5</v>
      </c>
      <c r="C135" s="225"/>
    </row>
    <row r="136" spans="2:3" ht="15.5" hidden="1" x14ac:dyDescent="0.35">
      <c r="B136" s="226">
        <f>NvsEndTime</f>
        <v>41646.4695138889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51"/>
  <sheetViews>
    <sheetView topLeftCell="B83"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'1461'!B2</f>
        <v>50</v>
      </c>
      <c r="W2" s="413" t="s">
        <v>4</v>
      </c>
      <c r="X2" s="414"/>
      <c r="Y2" s="415"/>
      <c r="Z2" s="415"/>
      <c r="AA2" s="415"/>
      <c r="AB2" s="415"/>
      <c r="AC2" s="415"/>
      <c r="AD2" s="9"/>
    </row>
    <row r="3" spans="1:30" ht="20" x14ac:dyDescent="0.4">
      <c r="B3" s="10" t="str">
        <f>"Revenue Estimate Worksheet for "&amp;B124</f>
        <v>Revenue Estimate Worksheet for Inlet Grove Community High</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'1461'!G7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IF('1461'!K$84=1,'1461'!G10,0)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IF('1461'!K$84=1,'1461'!G11,0)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IF('1461'!K$84=1,'1461'!G12,0)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IF('1461'!K$84=1,'1461'!G13,0)</f>
        <v>0</v>
      </c>
      <c r="Y13" s="396"/>
      <c r="Z13" s="397">
        <v>1</v>
      </c>
      <c r="AA13" s="397"/>
      <c r="AB13" s="54">
        <f t="shared" si="0"/>
        <v>0</v>
      </c>
      <c r="AC13" s="55">
        <f t="shared" si="1"/>
        <v>0</v>
      </c>
      <c r="AD13" s="9"/>
    </row>
    <row r="14" spans="1:30" x14ac:dyDescent="0.3">
      <c r="A14" s="1" t="s">
        <v>37</v>
      </c>
      <c r="B14" s="13" t="s">
        <v>38</v>
      </c>
      <c r="C14" s="13"/>
      <c r="D14" s="13">
        <v>245.37</v>
      </c>
      <c r="E14" s="13">
        <v>0</v>
      </c>
      <c r="F14" s="13">
        <v>327.14</v>
      </c>
      <c r="G14" s="46">
        <f t="shared" si="2"/>
        <v>490.74</v>
      </c>
      <c r="H14" s="47"/>
      <c r="I14" s="56">
        <v>1.0109999999999999</v>
      </c>
      <c r="J14" s="56"/>
      <c r="K14" s="49">
        <f t="shared" si="3"/>
        <v>496.13810000000001</v>
      </c>
      <c r="L14" s="50">
        <f t="shared" si="4"/>
        <v>1922349</v>
      </c>
      <c r="N14" s="51">
        <v>5103</v>
      </c>
      <c r="O14" s="52">
        <v>103</v>
      </c>
      <c r="Q14" s="53"/>
      <c r="V14" s="357" t="s">
        <v>38</v>
      </c>
      <c r="W14" s="357"/>
      <c r="X14" s="396">
        <f>IF('1461'!K$84=1,'1461'!G14,0)</f>
        <v>0</v>
      </c>
      <c r="Y14" s="396"/>
      <c r="Z14" s="397">
        <v>1</v>
      </c>
      <c r="AA14" s="397"/>
      <c r="AB14" s="54">
        <f t="shared" si="0"/>
        <v>0</v>
      </c>
      <c r="AC14" s="55">
        <f t="shared" si="1"/>
        <v>0</v>
      </c>
      <c r="AD14" s="9"/>
    </row>
    <row r="15" spans="1:30" x14ac:dyDescent="0.3">
      <c r="A15" s="1" t="s">
        <v>39</v>
      </c>
      <c r="B15" s="13" t="s">
        <v>40</v>
      </c>
      <c r="C15" s="13"/>
      <c r="D15" s="13">
        <v>30.77</v>
      </c>
      <c r="E15" s="13">
        <v>0</v>
      </c>
      <c r="F15" s="13">
        <v>40.659999999999997</v>
      </c>
      <c r="G15" s="46">
        <f t="shared" si="2"/>
        <v>61.54</v>
      </c>
      <c r="H15" s="47"/>
      <c r="I15" s="56">
        <f>I14</f>
        <v>1.0109999999999999</v>
      </c>
      <c r="J15" s="56"/>
      <c r="K15" s="49">
        <f t="shared" si="3"/>
        <v>62.216900000000003</v>
      </c>
      <c r="L15" s="58">
        <f t="shared" si="4"/>
        <v>241067</v>
      </c>
      <c r="M15" s="1" t="str">
        <f>IF(ROUND(G15,2)=ROUND(SUM(G34:G36),2)," ","CHECK 2. PK-3 Lines Below")</f>
        <v xml:space="preserve"> </v>
      </c>
      <c r="N15" s="51">
        <v>5103</v>
      </c>
      <c r="O15" s="57" t="s">
        <v>41</v>
      </c>
      <c r="Q15" s="53"/>
      <c r="V15" s="357" t="s">
        <v>40</v>
      </c>
      <c r="W15" s="357"/>
      <c r="X15" s="396">
        <f>IF('1461'!K$84=1,'1461'!G15,0)</f>
        <v>0</v>
      </c>
      <c r="Y15" s="396"/>
      <c r="Z15" s="397">
        <v>1</v>
      </c>
      <c r="AA15" s="397"/>
      <c r="AB15" s="54">
        <f t="shared" si="0"/>
        <v>0</v>
      </c>
      <c r="AC15" s="59">
        <f t="shared" si="1"/>
        <v>0</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IF('1461'!K$84=1,'1461'!G16,0)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IF('1461'!K$84=1,'1461'!G17,0)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IF('1461'!K$84=1,'1461'!G18,0)</f>
        <v>0</v>
      </c>
      <c r="Y18" s="396"/>
      <c r="Z18" s="397">
        <v>1</v>
      </c>
      <c r="AA18" s="397"/>
      <c r="AB18" s="54">
        <f t="shared" si="0"/>
        <v>0</v>
      </c>
      <c r="AC18" s="55">
        <f t="shared" si="1"/>
        <v>0</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IF('1461'!K$84=1,'1461'!G19,0)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IF('1461'!K$84=1,'1461'!G20,0)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IF('1461'!K$84=1,'1461'!G21,0)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IF('1461'!K$84=1,'1461'!G22,0)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IF('1461'!K$84=1,'1461'!G23,0)</f>
        <v>0</v>
      </c>
      <c r="Y23" s="396"/>
      <c r="Z23" s="397">
        <v>1</v>
      </c>
      <c r="AA23" s="397"/>
      <c r="AB23" s="54">
        <f t="shared" si="0"/>
        <v>0</v>
      </c>
      <c r="AC23" s="55">
        <f t="shared" si="1"/>
        <v>0</v>
      </c>
      <c r="AD23" s="9"/>
    </row>
    <row r="24" spans="1:30" ht="15.5" x14ac:dyDescent="0.35">
      <c r="A24" s="1" t="s">
        <v>58</v>
      </c>
      <c r="B24" s="13" t="s">
        <v>59</v>
      </c>
      <c r="C24" s="13"/>
      <c r="D24" s="13">
        <v>8.3000000000000007</v>
      </c>
      <c r="E24" s="13">
        <v>0</v>
      </c>
      <c r="F24" s="13">
        <v>10.62</v>
      </c>
      <c r="G24" s="46">
        <f t="shared" si="2"/>
        <v>16.600000000000001</v>
      </c>
      <c r="H24" s="47"/>
      <c r="I24" s="56">
        <f>I23</f>
        <v>1.145</v>
      </c>
      <c r="J24" s="56"/>
      <c r="K24" s="49">
        <f t="shared" si="3"/>
        <v>19.007000000000001</v>
      </c>
      <c r="L24" s="50">
        <f t="shared" si="4"/>
        <v>73645</v>
      </c>
      <c r="N24" s="51">
        <v>5103</v>
      </c>
      <c r="O24" s="52">
        <v>130</v>
      </c>
      <c r="Q24" s="53"/>
      <c r="V24" s="357" t="s">
        <v>59</v>
      </c>
      <c r="W24" s="357"/>
      <c r="X24" s="396">
        <f>IF('1461'!K$84=1,'1461'!G24,0)</f>
        <v>0</v>
      </c>
      <c r="Y24" s="396"/>
      <c r="Z24" s="397">
        <v>1</v>
      </c>
      <c r="AA24" s="397"/>
      <c r="AB24" s="54">
        <f t="shared" si="0"/>
        <v>0</v>
      </c>
      <c r="AC24" s="55">
        <f t="shared" si="1"/>
        <v>0</v>
      </c>
      <c r="AD24" s="9"/>
    </row>
    <row r="25" spans="1:30" ht="16" thickBot="1" x14ac:dyDescent="0.4">
      <c r="A25" s="1" t="s">
        <v>60</v>
      </c>
      <c r="B25" s="13" t="s">
        <v>61</v>
      </c>
      <c r="C25" s="13"/>
      <c r="D25" s="13">
        <v>59.07</v>
      </c>
      <c r="E25" s="13">
        <v>0</v>
      </c>
      <c r="F25" s="13">
        <v>77.19</v>
      </c>
      <c r="G25" s="60">
        <f t="shared" si="2"/>
        <v>118.14</v>
      </c>
      <c r="H25" s="47"/>
      <c r="I25" s="56">
        <v>1.0109999999999999</v>
      </c>
      <c r="J25" s="56"/>
      <c r="K25" s="49">
        <f t="shared" si="3"/>
        <v>119.4395</v>
      </c>
      <c r="L25" s="50">
        <f t="shared" si="4"/>
        <v>462783</v>
      </c>
      <c r="N25" s="51">
        <v>5310</v>
      </c>
      <c r="O25" s="52">
        <v>300</v>
      </c>
      <c r="Q25" s="53"/>
      <c r="V25" s="357" t="s">
        <v>61</v>
      </c>
      <c r="W25" s="357"/>
      <c r="X25" s="396">
        <f>IF('1461'!K$84=1,'1461'!G25,0)</f>
        <v>0</v>
      </c>
      <c r="Y25" s="396"/>
      <c r="Z25" s="397">
        <v>1</v>
      </c>
      <c r="AA25" s="397"/>
      <c r="AB25" s="54">
        <f t="shared" si="0"/>
        <v>0</v>
      </c>
      <c r="AC25" s="55">
        <f t="shared" si="1"/>
        <v>0</v>
      </c>
      <c r="AD25" s="9"/>
    </row>
    <row r="26" spans="1:30" ht="20.25" customHeight="1" thickBot="1" x14ac:dyDescent="0.35">
      <c r="B26" s="61" t="s">
        <v>62</v>
      </c>
      <c r="C26" s="61"/>
      <c r="D26" s="62">
        <f t="shared" ref="D26:E26" si="5">SUM(D10:D25)</f>
        <v>343.51</v>
      </c>
      <c r="E26" s="62">
        <f t="shared" si="5"/>
        <v>0</v>
      </c>
      <c r="F26" s="62"/>
      <c r="G26" s="62">
        <f>SUM(G10:G25)</f>
        <v>687.02</v>
      </c>
      <c r="H26" s="63"/>
      <c r="I26" s="63"/>
      <c r="J26" s="64"/>
      <c r="K26" s="65">
        <f>SUM(K10:K25)</f>
        <v>696.80149999999992</v>
      </c>
      <c r="L26" s="66">
        <f>SUM(L10:L25)</f>
        <v>2699844</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29.77</v>
      </c>
      <c r="E34" s="13">
        <v>0</v>
      </c>
      <c r="F34" s="89">
        <v>30.18</v>
      </c>
      <c r="G34" s="46">
        <f t="shared" si="7"/>
        <v>59.54</v>
      </c>
      <c r="H34" s="79"/>
      <c r="I34" s="90" t="s">
        <v>78</v>
      </c>
      <c r="J34" s="51">
        <v>251</v>
      </c>
      <c r="K34" s="81">
        <v>835</v>
      </c>
      <c r="L34" s="82">
        <f t="shared" si="8"/>
        <v>49716</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1</v>
      </c>
      <c r="E35" s="13">
        <v>0</v>
      </c>
      <c r="F35" s="89">
        <v>1</v>
      </c>
      <c r="G35" s="46">
        <f t="shared" si="7"/>
        <v>2</v>
      </c>
      <c r="H35" s="79"/>
      <c r="I35" s="90" t="s">
        <v>78</v>
      </c>
      <c r="J35" s="51">
        <v>252</v>
      </c>
      <c r="K35" s="81">
        <v>3168</v>
      </c>
      <c r="L35" s="82">
        <f t="shared" si="8"/>
        <v>6336</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30.77</v>
      </c>
      <c r="E37" s="62">
        <f t="shared" si="10"/>
        <v>0</v>
      </c>
      <c r="F37" s="62"/>
      <c r="G37" s="62">
        <f>SUM(G28:G36)</f>
        <v>61.54</v>
      </c>
      <c r="H37" s="63"/>
      <c r="I37" s="13" t="s">
        <v>82</v>
      </c>
      <c r="J37" s="13"/>
      <c r="K37" s="13"/>
      <c r="L37" s="50">
        <f>SUM(L28:L36)</f>
        <v>56052</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131908</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2887804</v>
      </c>
      <c r="O44" s="1"/>
      <c r="V44" s="376" t="s">
        <v>90</v>
      </c>
      <c r="W44" s="376"/>
      <c r="X44" s="376"/>
      <c r="Y44" s="376"/>
      <c r="Z44" s="376"/>
      <c r="AA44" s="376"/>
      <c r="AB44" s="376"/>
      <c r="AC44" s="111">
        <f>SUM(AC26,AC37,AC40)</f>
        <v>0</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696.80149999999992</v>
      </c>
      <c r="D49" s="121"/>
      <c r="E49" s="121"/>
      <c r="F49" s="121"/>
      <c r="G49" s="122">
        <f>K7</f>
        <v>1.0326</v>
      </c>
      <c r="H49" s="122"/>
      <c r="I49" s="123">
        <v>900.39</v>
      </c>
      <c r="J49" s="124" t="s">
        <v>97</v>
      </c>
      <c r="K49" s="125">
        <f>ROUND(C49*G49*I49,0)</f>
        <v>647846</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696.80149999999992</v>
      </c>
      <c r="D50" s="144"/>
      <c r="E50" s="145"/>
      <c r="F50" s="145"/>
      <c r="G50" s="146" t="s">
        <v>99</v>
      </c>
      <c r="H50" s="146"/>
      <c r="I50" s="146"/>
      <c r="J50" s="146"/>
      <c r="K50" s="146"/>
      <c r="L50" s="50">
        <f>IF(B2=75,0,K49+K48+K47)</f>
        <v>647846</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696.80149999999992</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3.6080000000000001E-3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687.02</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3.8300000000000001E-3</v>
      </c>
      <c r="L57" s="154"/>
      <c r="O57" s="1"/>
      <c r="V57" s="364" t="s">
        <v>108</v>
      </c>
      <c r="W57" s="364"/>
      <c r="X57" s="364"/>
      <c r="Y57" s="364"/>
      <c r="Z57" s="364"/>
      <c r="AA57" s="364"/>
      <c r="AB57" s="367">
        <f>ROUND(X56/AA56,6)</f>
        <v>0</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61"/>
      <c r="E59" s="61"/>
      <c r="F59" s="61"/>
      <c r="G59" s="61"/>
      <c r="H59" s="160" t="s">
        <v>22</v>
      </c>
      <c r="I59" s="125">
        <f>G66+G65+G63+G62+G61</f>
        <v>4122856</v>
      </c>
      <c r="J59" s="161" t="s">
        <v>111</v>
      </c>
      <c r="K59" s="162">
        <f>K54</f>
        <v>3.6080000000000001E-3</v>
      </c>
      <c r="L59" s="50">
        <f>ROUND(I59*K59,0)</f>
        <v>14875</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13"/>
      <c r="E67" s="13"/>
      <c r="F67" s="13"/>
      <c r="H67" s="160" t="s">
        <v>25</v>
      </c>
      <c r="I67" s="125">
        <v>96774526</v>
      </c>
      <c r="J67" s="161" t="s">
        <v>111</v>
      </c>
      <c r="K67" s="162">
        <f>K54</f>
        <v>3.6080000000000001E-3</v>
      </c>
      <c r="L67" s="50">
        <f>ROUND(I67*K67,0)</f>
        <v>349162</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13"/>
      <c r="E69" s="13"/>
      <c r="F69" s="13"/>
      <c r="H69" s="160" t="s">
        <v>23</v>
      </c>
      <c r="I69" s="125">
        <v>0</v>
      </c>
      <c r="J69" s="161" t="s">
        <v>111</v>
      </c>
      <c r="K69" s="162">
        <f>K57</f>
        <v>3.8300000000000001E-3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13"/>
      <c r="E70" s="13"/>
      <c r="F70" s="13"/>
      <c r="H70" s="160" t="s">
        <v>22</v>
      </c>
      <c r="I70" s="125">
        <v>0</v>
      </c>
      <c r="J70" s="161" t="s">
        <v>111</v>
      </c>
      <c r="K70" s="162">
        <f>K54</f>
        <v>3.6080000000000001E-3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13"/>
      <c r="E71" s="13"/>
      <c r="F71" s="13"/>
      <c r="H71" s="160" t="s">
        <v>22</v>
      </c>
      <c r="I71" s="125">
        <v>0</v>
      </c>
      <c r="J71" s="161" t="s">
        <v>111</v>
      </c>
      <c r="K71" s="162">
        <f>K54</f>
        <v>3.6080000000000001E-3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13"/>
      <c r="E72" s="13"/>
      <c r="F72" s="13"/>
      <c r="H72" s="160" t="s">
        <v>23</v>
      </c>
      <c r="I72" s="125">
        <v>14117224</v>
      </c>
      <c r="J72" s="161" t="s">
        <v>111</v>
      </c>
      <c r="K72" s="162">
        <f>K57</f>
        <v>3.8300000000000001E-3</v>
      </c>
      <c r="L72" s="50">
        <f>ROUND(I72*K72,0)</f>
        <v>54069</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9</v>
      </c>
      <c r="AA74" s="171" t="s">
        <v>129</v>
      </c>
      <c r="AB74" s="172">
        <f>+K75</f>
        <v>360</v>
      </c>
      <c r="AC74" s="55">
        <f>ROUND(AB74*Z74,0)</f>
        <v>3240</v>
      </c>
      <c r="AD74" s="9"/>
    </row>
    <row r="75" spans="1:30" ht="19.5" customHeight="1" x14ac:dyDescent="0.3">
      <c r="A75" s="1" t="s">
        <v>130</v>
      </c>
      <c r="B75" s="173" t="s">
        <v>127</v>
      </c>
      <c r="C75" s="174" t="s">
        <v>128</v>
      </c>
      <c r="D75" s="173">
        <v>9</v>
      </c>
      <c r="E75" s="173">
        <v>0</v>
      </c>
      <c r="F75" s="173">
        <v>0</v>
      </c>
      <c r="G75" s="175">
        <f>IF(E75=0,D75,E75)</f>
        <v>9</v>
      </c>
      <c r="H75" s="176"/>
      <c r="I75" s="177">
        <f>AVERAGE(G75,D75)</f>
        <v>9</v>
      </c>
      <c r="J75" s="178" t="s">
        <v>129</v>
      </c>
      <c r="K75" s="179">
        <v>360</v>
      </c>
      <c r="L75" s="50">
        <f>ROUND(K75*I75,0)</f>
        <v>3240</v>
      </c>
      <c r="N75" s="1">
        <v>7802</v>
      </c>
      <c r="O75" s="1">
        <v>0</v>
      </c>
      <c r="V75" s="358" t="s">
        <v>127</v>
      </c>
      <c r="W75" s="358"/>
      <c r="X75" s="168" t="s">
        <v>131</v>
      </c>
      <c r="Y75" s="180"/>
      <c r="Z75" s="181">
        <f>+I76</f>
        <v>0</v>
      </c>
      <c r="AA75" s="171" t="s">
        <v>129</v>
      </c>
      <c r="AB75" s="182">
        <f>+K76</f>
        <v>1355</v>
      </c>
      <c r="AC75" s="55">
        <f>ROUND(AB75*Z75,0)</f>
        <v>0</v>
      </c>
      <c r="AD75" s="9"/>
    </row>
    <row r="76" spans="1:30" ht="19.5" customHeight="1" x14ac:dyDescent="0.3">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13"/>
      <c r="E77" s="13"/>
      <c r="F77" s="13"/>
      <c r="H77" s="160" t="s">
        <v>134</v>
      </c>
      <c r="I77" s="184">
        <v>32718286</v>
      </c>
      <c r="J77" s="161" t="s">
        <v>111</v>
      </c>
      <c r="K77" s="162">
        <f>K54</f>
        <v>3.6080000000000001E-3</v>
      </c>
      <c r="L77" s="50">
        <f>ROUND(I77*K77,0)</f>
        <v>118048</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3.6080000000000001E-3</v>
      </c>
      <c r="L78" s="50">
        <f>ROUND(I78*K78,0)</f>
        <v>2413</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3240</v>
      </c>
      <c r="AD81" s="195"/>
    </row>
    <row r="82" spans="1:30" ht="22.5" customHeight="1" thickTop="1" thickBot="1" x14ac:dyDescent="0.35">
      <c r="B82" s="13" t="s">
        <v>141</v>
      </c>
      <c r="C82" s="13"/>
      <c r="D82" s="13"/>
      <c r="E82" s="13"/>
      <c r="F82" s="13"/>
      <c r="G82" s="13"/>
      <c r="H82" s="13"/>
      <c r="I82" s="13"/>
      <c r="J82" s="13"/>
      <c r="K82" s="13"/>
      <c r="L82" s="196">
        <f>SUM(L44:L81)</f>
        <v>4077457</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t="str">
        <f>IF(G26=0,"",IF((G11+G13+SUM(G15:G21))/G26&gt;0.75,1,""))</f>
        <v/>
      </c>
      <c r="L84" s="196">
        <f>'1461'!AC81</f>
        <v>3240</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4077457</v>
      </c>
      <c r="L86" s="82">
        <f>IF(G26=0,0,IF(G26&gt;250,-(((250/G26)*K86)*IF(M86="H",0.02,0.05)),IF(M86="H",-0.02*K86,-0.05*K86)))</f>
        <v>-74187.378096707514</v>
      </c>
      <c r="M86" s="304"/>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4003269.6219032924</v>
      </c>
      <c r="M87" s="197"/>
      <c r="N87" s="198"/>
      <c r="O87" s="1"/>
      <c r="Q87" s="160"/>
      <c r="V87" s="193"/>
      <c r="W87" s="193"/>
      <c r="X87" s="193"/>
      <c r="Y87" s="193"/>
      <c r="Z87" s="193"/>
      <c r="AA87" s="193"/>
      <c r="AB87" s="193"/>
      <c r="AC87" s="193"/>
      <c r="AD87" s="207"/>
    </row>
    <row r="88" spans="1:30" x14ac:dyDescent="0.3">
      <c r="M88" s="305"/>
      <c r="V88" s="193"/>
      <c r="W88" s="193"/>
      <c r="X88" s="193"/>
      <c r="Y88" s="193"/>
      <c r="Z88" s="193"/>
      <c r="AA88" s="193"/>
      <c r="AB88" s="193"/>
      <c r="AC88" s="193"/>
      <c r="AD88" s="208"/>
    </row>
    <row r="89" spans="1:30" ht="18.75" customHeight="1" x14ac:dyDescent="0.3">
      <c r="A89" s="1" t="s">
        <v>153</v>
      </c>
      <c r="B89" s="13" t="s">
        <v>154</v>
      </c>
      <c r="C89" s="13"/>
      <c r="D89" s="13">
        <v>0</v>
      </c>
      <c r="E89" s="13">
        <v>0</v>
      </c>
      <c r="F89" s="13">
        <v>2125188</v>
      </c>
      <c r="G89" s="13"/>
      <c r="H89" s="13"/>
      <c r="I89" s="13"/>
      <c r="J89" s="13"/>
      <c r="K89" s="206"/>
      <c r="L89" s="82">
        <v>-2750791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1252478.6219032924</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313119.65547582309</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129685.47190329249</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219</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220</v>
      </c>
      <c r="C123" s="219" t="s">
        <v>200</v>
      </c>
    </row>
    <row r="124" spans="2:3" ht="15.5" hidden="1" x14ac:dyDescent="0.35">
      <c r="B124" s="223" t="s">
        <v>221</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41646.468981481499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51"/>
  <sheetViews>
    <sheetView topLeftCell="B86" zoomScale="90" zoomScaleNormal="90" workbookViewId="0">
      <selection activeCell="G153" sqref="G153"/>
    </sheetView>
  </sheetViews>
  <sheetFormatPr defaultColWidth="8.90625" defaultRowHeight="15" x14ac:dyDescent="0.3"/>
  <cols>
    <col min="1" max="1" width="11.36328125" style="1" hidden="1" customWidth="1"/>
    <col min="2" max="2" width="10.36328125" style="2" customWidth="1"/>
    <col min="3" max="3" width="29" style="1" customWidth="1"/>
    <col min="4" max="4" width="12.36328125" style="193" customWidth="1"/>
    <col min="5" max="5" width="12.36328125" style="1" customWidth="1"/>
    <col min="6" max="6" width="12.36328125" style="1" hidden="1" customWidth="1"/>
    <col min="7" max="7" width="15.36328125" style="1" customWidth="1"/>
    <col min="8" max="8" width="6.6328125" style="1" customWidth="1"/>
    <col min="9" max="9" width="15.36328125" style="1" customWidth="1"/>
    <col min="10" max="10" width="12.90625" style="1" customWidth="1"/>
    <col min="11" max="11" width="15.90625"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16384" width="8.90625" style="1"/>
  </cols>
  <sheetData>
    <row r="1" spans="1:30" ht="23" hidden="1" customHeight="1" thickBot="1" x14ac:dyDescent="0.35">
      <c r="A1" s="1" t="s">
        <v>0</v>
      </c>
      <c r="D1" s="193" t="s">
        <v>1</v>
      </c>
      <c r="E1" s="1" t="s">
        <v>2</v>
      </c>
      <c r="F1" s="1" t="s">
        <v>3</v>
      </c>
    </row>
    <row r="2" spans="1:30" ht="15.5" thickBot="1" x14ac:dyDescent="0.35">
      <c r="B2" s="4">
        <v>50</v>
      </c>
      <c r="C2" s="5" t="s">
        <v>4</v>
      </c>
      <c r="D2" s="312"/>
      <c r="E2" s="6"/>
      <c r="F2" s="6"/>
      <c r="G2" s="6"/>
      <c r="H2" s="7"/>
      <c r="I2" s="7"/>
      <c r="J2" s="7"/>
      <c r="K2" s="7"/>
      <c r="L2" s="7"/>
      <c r="N2" s="3"/>
      <c r="O2" s="1"/>
      <c r="V2" s="8">
        <f>'1571'!B2</f>
        <v>50</v>
      </c>
      <c r="W2" s="413" t="s">
        <v>4</v>
      </c>
      <c r="X2" s="414"/>
      <c r="Y2" s="415"/>
      <c r="Z2" s="415"/>
      <c r="AA2" s="415"/>
      <c r="AB2" s="415"/>
      <c r="AC2" s="415"/>
      <c r="AD2" s="9"/>
    </row>
    <row r="3" spans="1:30" ht="20" x14ac:dyDescent="0.4">
      <c r="B3" s="10" t="str">
        <f>"Revenue Estimate Worksheet for "&amp;B124</f>
        <v>Revenue Estimate Worksheet for South Tech Community High</v>
      </c>
      <c r="C3" s="11"/>
      <c r="D3" s="313"/>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314"/>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315"/>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315"/>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316"/>
      <c r="E7" s="23"/>
      <c r="F7" s="23"/>
      <c r="G7" s="24">
        <v>3752.3</v>
      </c>
      <c r="H7" s="24"/>
      <c r="I7" s="23" t="s">
        <v>11</v>
      </c>
      <c r="J7" s="23"/>
      <c r="K7" s="25">
        <v>1.0326</v>
      </c>
      <c r="L7" s="25"/>
      <c r="O7" s="1"/>
      <c r="V7" s="406" t="s">
        <v>10</v>
      </c>
      <c r="W7" s="406"/>
      <c r="X7" s="407">
        <f>'1571'!G7</f>
        <v>3752.3</v>
      </c>
      <c r="Y7" s="407"/>
      <c r="Z7" s="408" t="s">
        <v>11</v>
      </c>
      <c r="AA7" s="408"/>
      <c r="AB7" s="409">
        <f>+K7</f>
        <v>1.0326</v>
      </c>
      <c r="AC7" s="409"/>
      <c r="AD7" s="9"/>
    </row>
    <row r="8" spans="1:30" ht="51" customHeight="1" x14ac:dyDescent="0.3">
      <c r="B8" s="26" t="s">
        <v>12</v>
      </c>
      <c r="C8" s="26"/>
      <c r="D8" s="31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18"/>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319">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IF('1571'!K$84=1,'1571'!G10,0)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314">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IF('1571'!K$84=1,'1571'!G11,0)</f>
        <v>0</v>
      </c>
      <c r="Y11" s="396"/>
      <c r="Z11" s="397">
        <v>1</v>
      </c>
      <c r="AA11" s="397"/>
      <c r="AB11" s="54">
        <f t="shared" si="0"/>
        <v>0</v>
      </c>
      <c r="AC11" s="55">
        <f t="shared" si="1"/>
        <v>0</v>
      </c>
      <c r="AD11" s="9"/>
    </row>
    <row r="12" spans="1:30" x14ac:dyDescent="0.3">
      <c r="A12" s="1" t="s">
        <v>32</v>
      </c>
      <c r="B12" s="13" t="s">
        <v>33</v>
      </c>
      <c r="C12" s="13"/>
      <c r="D12" s="314">
        <v>0</v>
      </c>
      <c r="E12" s="13">
        <v>0</v>
      </c>
      <c r="F12" s="13">
        <v>0</v>
      </c>
      <c r="G12" s="46">
        <f t="shared" si="2"/>
        <v>0</v>
      </c>
      <c r="H12" s="47"/>
      <c r="I12" s="56">
        <v>1</v>
      </c>
      <c r="J12" s="56"/>
      <c r="K12" s="49">
        <f t="shared" si="3"/>
        <v>0</v>
      </c>
      <c r="L12" s="50">
        <f t="shared" si="4"/>
        <v>0</v>
      </c>
      <c r="N12" s="51">
        <v>5102</v>
      </c>
      <c r="O12" s="52">
        <v>102</v>
      </c>
      <c r="Q12" s="53"/>
      <c r="V12" s="357" t="s">
        <v>33</v>
      </c>
      <c r="W12" s="357"/>
      <c r="X12" s="396">
        <f>IF('1571'!K$84=1,'1571'!G12,0)</f>
        <v>0</v>
      </c>
      <c r="Y12" s="396"/>
      <c r="Z12" s="397">
        <v>1</v>
      </c>
      <c r="AA12" s="397"/>
      <c r="AB12" s="54">
        <f t="shared" si="0"/>
        <v>0</v>
      </c>
      <c r="AC12" s="55">
        <f t="shared" si="1"/>
        <v>0</v>
      </c>
      <c r="AD12" s="9"/>
    </row>
    <row r="13" spans="1:30" x14ac:dyDescent="0.3">
      <c r="A13" s="1" t="s">
        <v>34</v>
      </c>
      <c r="B13" s="13" t="s">
        <v>35</v>
      </c>
      <c r="C13" s="13"/>
      <c r="D13" s="314">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IF('1571'!K$84=1,'1571'!G13,0)</f>
        <v>0</v>
      </c>
      <c r="Y13" s="396"/>
      <c r="Z13" s="397">
        <v>1</v>
      </c>
      <c r="AA13" s="397"/>
      <c r="AB13" s="54">
        <f t="shared" si="0"/>
        <v>0</v>
      </c>
      <c r="AC13" s="55">
        <f t="shared" si="1"/>
        <v>0</v>
      </c>
      <c r="AD13" s="9"/>
    </row>
    <row r="14" spans="1:30" x14ac:dyDescent="0.3">
      <c r="A14" s="1" t="s">
        <v>37</v>
      </c>
      <c r="B14" s="13" t="s">
        <v>38</v>
      </c>
      <c r="C14" s="13"/>
      <c r="D14" s="314">
        <v>293.63</v>
      </c>
      <c r="E14" s="13">
        <v>0</v>
      </c>
      <c r="F14" s="13">
        <v>360.43</v>
      </c>
      <c r="G14" s="46">
        <f t="shared" si="2"/>
        <v>587.26</v>
      </c>
      <c r="H14" s="47"/>
      <c r="I14" s="56">
        <v>1.0109999999999999</v>
      </c>
      <c r="J14" s="56"/>
      <c r="K14" s="49">
        <f t="shared" si="3"/>
        <v>593.71990000000005</v>
      </c>
      <c r="L14" s="50">
        <f t="shared" si="4"/>
        <v>2300442</v>
      </c>
      <c r="N14" s="51">
        <v>5103</v>
      </c>
      <c r="O14" s="52">
        <v>103</v>
      </c>
      <c r="Q14" s="53"/>
      <c r="V14" s="357" t="s">
        <v>38</v>
      </c>
      <c r="W14" s="357"/>
      <c r="X14" s="396">
        <f>IF('1571'!K$84=1,'1571'!G14,0)</f>
        <v>0</v>
      </c>
      <c r="Y14" s="396"/>
      <c r="Z14" s="397">
        <v>1</v>
      </c>
      <c r="AA14" s="397"/>
      <c r="AB14" s="54">
        <f t="shared" si="0"/>
        <v>0</v>
      </c>
      <c r="AC14" s="55">
        <f t="shared" si="1"/>
        <v>0</v>
      </c>
      <c r="AD14" s="9"/>
    </row>
    <row r="15" spans="1:30" x14ac:dyDescent="0.3">
      <c r="A15" s="1" t="s">
        <v>39</v>
      </c>
      <c r="B15" s="13" t="s">
        <v>40</v>
      </c>
      <c r="C15" s="13"/>
      <c r="D15" s="314">
        <v>122.84</v>
      </c>
      <c r="E15" s="13">
        <v>0</v>
      </c>
      <c r="F15" s="13">
        <v>159.13</v>
      </c>
      <c r="G15" s="46">
        <f t="shared" si="2"/>
        <v>245.68</v>
      </c>
      <c r="H15" s="47"/>
      <c r="I15" s="56">
        <f>I14</f>
        <v>1.0109999999999999</v>
      </c>
      <c r="J15" s="56"/>
      <c r="K15" s="49">
        <f t="shared" si="3"/>
        <v>248.38249999999999</v>
      </c>
      <c r="L15" s="58">
        <f t="shared" si="4"/>
        <v>962389</v>
      </c>
      <c r="M15" s="1" t="str">
        <f>IF(ROUND(G15,2)=ROUND(SUM(G34:G36),2)," ","CHECK 2. PK-3 Lines Below")</f>
        <v xml:space="preserve"> </v>
      </c>
      <c r="N15" s="51">
        <v>5103</v>
      </c>
      <c r="O15" s="57" t="s">
        <v>41</v>
      </c>
      <c r="Q15" s="53"/>
      <c r="V15" s="357" t="s">
        <v>40</v>
      </c>
      <c r="W15" s="357"/>
      <c r="X15" s="396">
        <f>IF('1571'!K$84=1,'1571'!G15,0)</f>
        <v>0</v>
      </c>
      <c r="Y15" s="396"/>
      <c r="Z15" s="397">
        <v>1</v>
      </c>
      <c r="AA15" s="397"/>
      <c r="AB15" s="54">
        <f t="shared" si="0"/>
        <v>0</v>
      </c>
      <c r="AC15" s="59">
        <f t="shared" si="1"/>
        <v>0</v>
      </c>
      <c r="AD15" s="9"/>
    </row>
    <row r="16" spans="1:30" ht="15.5" x14ac:dyDescent="0.35">
      <c r="A16" s="1" t="s">
        <v>42</v>
      </c>
      <c r="B16" s="13" t="s">
        <v>43</v>
      </c>
      <c r="C16" s="13"/>
      <c r="D16" s="314">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IF('1571'!K$84=1,'1571'!G16,0)</f>
        <v>0</v>
      </c>
      <c r="Y16" s="396"/>
      <c r="Z16" s="397">
        <v>1</v>
      </c>
      <c r="AA16" s="397"/>
      <c r="AB16" s="54">
        <f t="shared" si="0"/>
        <v>0</v>
      </c>
      <c r="AC16" s="55">
        <f t="shared" si="1"/>
        <v>0</v>
      </c>
      <c r="AD16" s="9"/>
    </row>
    <row r="17" spans="1:30" ht="15.5" x14ac:dyDescent="0.35">
      <c r="A17" s="1" t="s">
        <v>44</v>
      </c>
      <c r="B17" s="13" t="s">
        <v>45</v>
      </c>
      <c r="C17" s="13"/>
      <c r="D17" s="314">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IF('1571'!K$84=1,'1571'!G17,0)</f>
        <v>0</v>
      </c>
      <c r="Y17" s="396"/>
      <c r="Z17" s="397">
        <v>1</v>
      </c>
      <c r="AA17" s="397"/>
      <c r="AB17" s="54">
        <f t="shared" si="0"/>
        <v>0</v>
      </c>
      <c r="AC17" s="55">
        <f t="shared" si="1"/>
        <v>0</v>
      </c>
      <c r="AD17" s="9"/>
    </row>
    <row r="18" spans="1:30" ht="15.5" x14ac:dyDescent="0.35">
      <c r="A18" s="1" t="s">
        <v>46</v>
      </c>
      <c r="B18" s="13" t="s">
        <v>47</v>
      </c>
      <c r="C18" s="13"/>
      <c r="D18" s="314">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IF('1571'!K$84=1,'1571'!G18,0)</f>
        <v>0</v>
      </c>
      <c r="Y18" s="396"/>
      <c r="Z18" s="397">
        <v>1</v>
      </c>
      <c r="AA18" s="397"/>
      <c r="AB18" s="54">
        <f t="shared" si="0"/>
        <v>0</v>
      </c>
      <c r="AC18" s="55">
        <f t="shared" si="1"/>
        <v>0</v>
      </c>
      <c r="AD18" s="9"/>
    </row>
    <row r="19" spans="1:30" ht="15" customHeight="1" x14ac:dyDescent="0.35">
      <c r="A19" s="1" t="s">
        <v>48</v>
      </c>
      <c r="B19" s="13" t="s">
        <v>49</v>
      </c>
      <c r="C19" s="13"/>
      <c r="D19" s="314">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IF('1571'!K$84=1,'1571'!G19,0)</f>
        <v>0</v>
      </c>
      <c r="Y19" s="396"/>
      <c r="Z19" s="397">
        <v>1</v>
      </c>
      <c r="AA19" s="397"/>
      <c r="AB19" s="54">
        <f t="shared" si="0"/>
        <v>0</v>
      </c>
      <c r="AC19" s="55">
        <f t="shared" si="1"/>
        <v>0</v>
      </c>
      <c r="AD19" s="9"/>
    </row>
    <row r="20" spans="1:30" ht="15" customHeight="1" x14ac:dyDescent="0.35">
      <c r="A20" s="1" t="s">
        <v>50</v>
      </c>
      <c r="B20" s="13" t="s">
        <v>51</v>
      </c>
      <c r="C20" s="13"/>
      <c r="D20" s="314">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IF('1571'!K$84=1,'1571'!G20,0)</f>
        <v>0</v>
      </c>
      <c r="Y20" s="396"/>
      <c r="Z20" s="397">
        <v>1</v>
      </c>
      <c r="AA20" s="397"/>
      <c r="AB20" s="54">
        <f t="shared" si="0"/>
        <v>0</v>
      </c>
      <c r="AC20" s="55">
        <f t="shared" si="1"/>
        <v>0</v>
      </c>
      <c r="AD20" s="9"/>
    </row>
    <row r="21" spans="1:30" ht="15" customHeight="1" x14ac:dyDescent="0.35">
      <c r="A21" s="1" t="s">
        <v>52</v>
      </c>
      <c r="B21" s="13" t="s">
        <v>53</v>
      </c>
      <c r="C21" s="13"/>
      <c r="D21" s="314">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IF('1571'!K$84=1,'1571'!G21,0)</f>
        <v>0</v>
      </c>
      <c r="Y21" s="396"/>
      <c r="Z21" s="397">
        <v>1</v>
      </c>
      <c r="AA21" s="397"/>
      <c r="AB21" s="54">
        <f t="shared" si="0"/>
        <v>0</v>
      </c>
      <c r="AC21" s="55">
        <f t="shared" si="1"/>
        <v>0</v>
      </c>
      <c r="AD21" s="9"/>
    </row>
    <row r="22" spans="1:30" ht="15.5" x14ac:dyDescent="0.35">
      <c r="A22" s="1" t="s">
        <v>54</v>
      </c>
      <c r="B22" s="13" t="s">
        <v>55</v>
      </c>
      <c r="C22" s="13"/>
      <c r="D22" s="314">
        <v>0</v>
      </c>
      <c r="E22" s="13">
        <v>0</v>
      </c>
      <c r="F22" s="13">
        <v>0</v>
      </c>
      <c r="G22" s="46">
        <f t="shared" si="2"/>
        <v>0</v>
      </c>
      <c r="H22" s="47"/>
      <c r="I22" s="56">
        <v>1.145</v>
      </c>
      <c r="J22" s="56"/>
      <c r="K22" s="49">
        <f t="shared" si="3"/>
        <v>0</v>
      </c>
      <c r="L22" s="50">
        <f t="shared" si="4"/>
        <v>0</v>
      </c>
      <c r="N22" s="51">
        <v>5101</v>
      </c>
      <c r="O22" s="52">
        <v>130</v>
      </c>
      <c r="Q22" s="53"/>
      <c r="V22" s="357" t="s">
        <v>55</v>
      </c>
      <c r="W22" s="357"/>
      <c r="X22" s="396">
        <f>IF('1571'!K$84=1,'1571'!G22,0)</f>
        <v>0</v>
      </c>
      <c r="Y22" s="396"/>
      <c r="Z22" s="397">
        <v>1</v>
      </c>
      <c r="AA22" s="397"/>
      <c r="AB22" s="54">
        <f t="shared" si="0"/>
        <v>0</v>
      </c>
      <c r="AC22" s="55">
        <f t="shared" si="1"/>
        <v>0</v>
      </c>
      <c r="AD22" s="9"/>
    </row>
    <row r="23" spans="1:30" ht="15.5" x14ac:dyDescent="0.35">
      <c r="A23" s="1" t="s">
        <v>56</v>
      </c>
      <c r="B23" s="13" t="s">
        <v>57</v>
      </c>
      <c r="C23" s="13"/>
      <c r="D23" s="314">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IF('1571'!K$84=1,'1571'!G23,0)</f>
        <v>0</v>
      </c>
      <c r="Y23" s="396"/>
      <c r="Z23" s="397">
        <v>1</v>
      </c>
      <c r="AA23" s="397"/>
      <c r="AB23" s="54">
        <f t="shared" si="0"/>
        <v>0</v>
      </c>
      <c r="AC23" s="55">
        <f t="shared" si="1"/>
        <v>0</v>
      </c>
      <c r="AD23" s="9"/>
    </row>
    <row r="24" spans="1:30" ht="15.5" x14ac:dyDescent="0.35">
      <c r="A24" s="1" t="s">
        <v>58</v>
      </c>
      <c r="B24" s="13" t="s">
        <v>59</v>
      </c>
      <c r="C24" s="13"/>
      <c r="D24" s="314">
        <v>2.68</v>
      </c>
      <c r="E24" s="13">
        <v>0</v>
      </c>
      <c r="F24" s="13">
        <v>2.91</v>
      </c>
      <c r="G24" s="46">
        <f t="shared" si="2"/>
        <v>5.36</v>
      </c>
      <c r="H24" s="47"/>
      <c r="I24" s="56">
        <f>I23</f>
        <v>1.145</v>
      </c>
      <c r="J24" s="56"/>
      <c r="K24" s="49">
        <f t="shared" si="3"/>
        <v>6.1372</v>
      </c>
      <c r="L24" s="50">
        <f t="shared" si="4"/>
        <v>23779</v>
      </c>
      <c r="N24" s="51">
        <v>5103</v>
      </c>
      <c r="O24" s="52">
        <v>130</v>
      </c>
      <c r="Q24" s="53"/>
      <c r="V24" s="357" t="s">
        <v>59</v>
      </c>
      <c r="W24" s="357"/>
      <c r="X24" s="396">
        <f>IF('1571'!K$84=1,'1571'!G24,0)</f>
        <v>0</v>
      </c>
      <c r="Y24" s="396"/>
      <c r="Z24" s="397">
        <v>1</v>
      </c>
      <c r="AA24" s="397"/>
      <c r="AB24" s="54">
        <f t="shared" si="0"/>
        <v>0</v>
      </c>
      <c r="AC24" s="55">
        <f t="shared" si="1"/>
        <v>0</v>
      </c>
      <c r="AD24" s="9"/>
    </row>
    <row r="25" spans="1:30" ht="16" thickBot="1" x14ac:dyDescent="0.4">
      <c r="A25" s="1" t="s">
        <v>60</v>
      </c>
      <c r="B25" s="13" t="s">
        <v>61</v>
      </c>
      <c r="C25" s="13"/>
      <c r="D25" s="314">
        <v>131.78</v>
      </c>
      <c r="E25" s="13">
        <v>0</v>
      </c>
      <c r="F25" s="13">
        <v>163.44999999999999</v>
      </c>
      <c r="G25" s="60">
        <f t="shared" si="2"/>
        <v>263.56</v>
      </c>
      <c r="H25" s="47"/>
      <c r="I25" s="56">
        <v>1.0109999999999999</v>
      </c>
      <c r="J25" s="56"/>
      <c r="K25" s="49">
        <f t="shared" si="3"/>
        <v>266.45920000000001</v>
      </c>
      <c r="L25" s="50">
        <f t="shared" si="4"/>
        <v>1032429</v>
      </c>
      <c r="N25" s="51">
        <v>5310</v>
      </c>
      <c r="O25" s="52">
        <v>300</v>
      </c>
      <c r="Q25" s="53"/>
      <c r="V25" s="357" t="s">
        <v>61</v>
      </c>
      <c r="W25" s="357"/>
      <c r="X25" s="396">
        <f>IF('1571'!K$84=1,'1571'!G25,0)</f>
        <v>0</v>
      </c>
      <c r="Y25" s="396"/>
      <c r="Z25" s="397">
        <v>1</v>
      </c>
      <c r="AA25" s="397"/>
      <c r="AB25" s="54">
        <f t="shared" si="0"/>
        <v>0</v>
      </c>
      <c r="AC25" s="55">
        <f t="shared" si="1"/>
        <v>0</v>
      </c>
      <c r="AD25" s="9"/>
    </row>
    <row r="26" spans="1:30" ht="20.25" customHeight="1" thickBot="1" x14ac:dyDescent="0.35">
      <c r="B26" s="61" t="s">
        <v>62</v>
      </c>
      <c r="C26" s="61"/>
      <c r="D26" s="320">
        <f t="shared" ref="D26:E26" si="5">SUM(D10:D25)</f>
        <v>550.93000000000006</v>
      </c>
      <c r="E26" s="62">
        <f t="shared" si="5"/>
        <v>0</v>
      </c>
      <c r="F26" s="62"/>
      <c r="G26" s="62">
        <f>SUM(G10:G25)</f>
        <v>1101.8600000000001</v>
      </c>
      <c r="H26" s="63"/>
      <c r="I26" s="63"/>
      <c r="J26" s="64"/>
      <c r="K26" s="65">
        <f>SUM(K10:K25)</f>
        <v>1114.6988000000001</v>
      </c>
      <c r="L26" s="66">
        <f>SUM(L10:L25)</f>
        <v>4319039</v>
      </c>
      <c r="N26" s="53"/>
      <c r="O26" s="67"/>
      <c r="P26" s="53"/>
      <c r="Q26" s="53"/>
      <c r="V26" s="398" t="s">
        <v>62</v>
      </c>
      <c r="W26" s="398"/>
      <c r="X26" s="387">
        <f>SUM(X10:X25)</f>
        <v>0</v>
      </c>
      <c r="Y26" s="387"/>
      <c r="Z26" s="399"/>
      <c r="AA26" s="400"/>
      <c r="AB26" s="68">
        <f>SUM(AB10:AB25)</f>
        <v>0</v>
      </c>
      <c r="AC26" s="69">
        <f>SUM(AC10:AC25)</f>
        <v>0</v>
      </c>
      <c r="AD26" s="9"/>
    </row>
    <row r="27" spans="1:30" ht="51.75" customHeight="1" x14ac:dyDescent="0.3">
      <c r="B27" s="61" t="s">
        <v>63</v>
      </c>
      <c r="C27" s="61"/>
      <c r="D27" s="321"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314">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314">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314">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314">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314">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314">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314">
        <v>70.989999999999995</v>
      </c>
      <c r="E34" s="13">
        <v>0</v>
      </c>
      <c r="F34" s="89">
        <v>70.989999999999995</v>
      </c>
      <c r="G34" s="46">
        <f t="shared" si="7"/>
        <v>141.97999999999999</v>
      </c>
      <c r="H34" s="79"/>
      <c r="I34" s="90" t="s">
        <v>78</v>
      </c>
      <c r="J34" s="51">
        <v>251</v>
      </c>
      <c r="K34" s="81">
        <v>835</v>
      </c>
      <c r="L34" s="82">
        <f t="shared" si="8"/>
        <v>118553</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314">
        <v>51.35</v>
      </c>
      <c r="E35" s="13">
        <v>0</v>
      </c>
      <c r="F35" s="89">
        <v>81</v>
      </c>
      <c r="G35" s="46">
        <f t="shared" si="7"/>
        <v>102.7</v>
      </c>
      <c r="H35" s="79"/>
      <c r="I35" s="90" t="s">
        <v>78</v>
      </c>
      <c r="J35" s="51">
        <v>252</v>
      </c>
      <c r="K35" s="81">
        <v>3168</v>
      </c>
      <c r="L35" s="82">
        <f t="shared" si="8"/>
        <v>325354</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314">
        <v>0.5</v>
      </c>
      <c r="E36" s="13">
        <v>0</v>
      </c>
      <c r="F36" s="89">
        <v>0.5</v>
      </c>
      <c r="G36" s="46">
        <f t="shared" si="7"/>
        <v>1</v>
      </c>
      <c r="H36" s="79"/>
      <c r="I36" s="90" t="s">
        <v>78</v>
      </c>
      <c r="J36" s="51">
        <v>253</v>
      </c>
      <c r="K36" s="81">
        <v>6685</v>
      </c>
      <c r="L36" s="93">
        <f t="shared" si="8"/>
        <v>6685</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320">
        <f>SUM(D28:D36)</f>
        <v>122.84</v>
      </c>
      <c r="E37" s="62">
        <f t="shared" ref="E37" si="10">SUM(E28:E36)</f>
        <v>0</v>
      </c>
      <c r="F37" s="62"/>
      <c r="G37" s="62">
        <f>SUM(G28:G36)</f>
        <v>245.68</v>
      </c>
      <c r="H37" s="63"/>
      <c r="I37" s="13" t="s">
        <v>82</v>
      </c>
      <c r="J37" s="13"/>
      <c r="K37" s="13"/>
      <c r="L37" s="50">
        <f>SUM(L28:L36)</f>
        <v>450592</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322"/>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323"/>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324"/>
      <c r="E40" s="101"/>
      <c r="F40" s="101"/>
      <c r="G40" s="102">
        <v>179393.64</v>
      </c>
      <c r="H40" s="102"/>
      <c r="I40" s="102"/>
      <c r="J40" s="102"/>
      <c r="K40" s="50">
        <f>ROUND(G39/G40,0)</f>
        <v>192</v>
      </c>
      <c r="L40" s="50">
        <f>ROUND(K40*$G$26,0)</f>
        <v>211557</v>
      </c>
      <c r="N40" s="103"/>
      <c r="O40" s="103"/>
      <c r="P40" s="103"/>
      <c r="Q40" s="103"/>
      <c r="V40" s="382" t="s">
        <v>86</v>
      </c>
      <c r="W40" s="382"/>
      <c r="X40" s="383">
        <f>+G40</f>
        <v>179393.64</v>
      </c>
      <c r="Y40" s="383"/>
      <c r="Z40" s="383"/>
      <c r="AA40" s="383"/>
      <c r="AB40" s="55">
        <f>ROUND(X39/X40,0)</f>
        <v>192</v>
      </c>
      <c r="AC40" s="55">
        <f>ROUND(AB40*$X$26,0)</f>
        <v>0</v>
      </c>
      <c r="AD40" s="9"/>
    </row>
    <row r="41" spans="1:30" ht="15.75" customHeight="1" x14ac:dyDescent="0.35">
      <c r="B41" s="104" t="s">
        <v>87</v>
      </c>
      <c r="C41" s="104"/>
      <c r="D41" s="325"/>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322"/>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326"/>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327"/>
      <c r="E44" s="61"/>
      <c r="F44" s="61"/>
      <c r="G44" s="61"/>
      <c r="H44" s="61"/>
      <c r="I44" s="61"/>
      <c r="J44" s="61"/>
      <c r="K44" s="61"/>
      <c r="L44" s="110">
        <f>SUM(L26,L37,L40)</f>
        <v>4981188</v>
      </c>
      <c r="O44" s="1"/>
      <c r="V44" s="376" t="s">
        <v>90</v>
      </c>
      <c r="W44" s="376"/>
      <c r="X44" s="376"/>
      <c r="Y44" s="376"/>
      <c r="Z44" s="376"/>
      <c r="AA44" s="376"/>
      <c r="AB44" s="376"/>
      <c r="AC44" s="111">
        <f>SUM(AC26,AC37,AC40)</f>
        <v>0</v>
      </c>
      <c r="AD44" s="9"/>
    </row>
    <row r="45" spans="1:30" ht="30.75" customHeight="1" x14ac:dyDescent="0.35">
      <c r="B45" s="96" t="s">
        <v>91</v>
      </c>
      <c r="C45" s="96"/>
      <c r="D45" s="322"/>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328"/>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329"/>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329"/>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1114.6988000000001</v>
      </c>
      <c r="D49" s="329"/>
      <c r="E49" s="121"/>
      <c r="F49" s="121"/>
      <c r="G49" s="122">
        <f>K7</f>
        <v>1.0326</v>
      </c>
      <c r="H49" s="122"/>
      <c r="I49" s="123">
        <v>900.39</v>
      </c>
      <c r="J49" s="124" t="s">
        <v>97</v>
      </c>
      <c r="K49" s="125">
        <f>ROUND(C49*G49*I49,0)</f>
        <v>1036383</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1114.6988000000001</v>
      </c>
      <c r="D50" s="330"/>
      <c r="E50" s="145"/>
      <c r="F50" s="145"/>
      <c r="G50" s="146" t="s">
        <v>99</v>
      </c>
      <c r="H50" s="146"/>
      <c r="I50" s="146"/>
      <c r="J50" s="146"/>
      <c r="K50" s="146"/>
      <c r="L50" s="50">
        <f>IF(B2=75,0,K49+K48+K47)</f>
        <v>1036383</v>
      </c>
      <c r="N50" s="3"/>
      <c r="O50" s="1"/>
      <c r="V50" s="147" t="s">
        <v>98</v>
      </c>
      <c r="W50" s="148">
        <f>SUM(W47:W49)</f>
        <v>0</v>
      </c>
      <c r="X50" s="370" t="s">
        <v>99</v>
      </c>
      <c r="Y50" s="371"/>
      <c r="Z50" s="371"/>
      <c r="AA50" s="371"/>
      <c r="AB50" s="371"/>
      <c r="AC50" s="55">
        <f>IF(V2=75,0,AB49+AB48+AB47)</f>
        <v>0</v>
      </c>
      <c r="AD50" s="9"/>
    </row>
    <row r="51" spans="2:30" ht="19.5" customHeight="1" x14ac:dyDescent="0.35">
      <c r="B51" s="149" t="s">
        <v>100</v>
      </c>
      <c r="C51" s="149"/>
      <c r="D51" s="331"/>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314"/>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314"/>
      <c r="E53" s="13"/>
      <c r="F53" s="13"/>
      <c r="G53" s="151">
        <f>K26</f>
        <v>1114.6988000000001</v>
      </c>
      <c r="H53" s="56" t="s">
        <v>103</v>
      </c>
      <c r="I53" s="56"/>
      <c r="J53" s="152">
        <v>193142.74</v>
      </c>
      <c r="K53" s="152"/>
      <c r="L53" s="152"/>
      <c r="N53" s="3"/>
      <c r="O53" s="1"/>
      <c r="V53" s="364" t="s">
        <v>102</v>
      </c>
      <c r="W53" s="364"/>
      <c r="X53" s="153">
        <f>AB26</f>
        <v>0</v>
      </c>
      <c r="Y53" s="365" t="s">
        <v>103</v>
      </c>
      <c r="Z53" s="365"/>
      <c r="AA53" s="366">
        <f>+J53</f>
        <v>193142.74</v>
      </c>
      <c r="AB53" s="366"/>
      <c r="AC53" s="366"/>
      <c r="AD53" s="9"/>
    </row>
    <row r="54" spans="2:30" x14ac:dyDescent="0.3">
      <c r="B54" s="13" t="s">
        <v>104</v>
      </c>
      <c r="C54" s="13"/>
      <c r="D54" s="314"/>
      <c r="E54" s="13"/>
      <c r="F54" s="13"/>
      <c r="G54" s="13"/>
      <c r="H54" s="13"/>
      <c r="I54" s="13"/>
      <c r="J54" s="13"/>
      <c r="K54" s="154">
        <f>ROUND(G53/J53,6)</f>
        <v>5.7710000000000001E-3</v>
      </c>
      <c r="L54" s="154"/>
      <c r="N54" s="67"/>
      <c r="O54" s="1"/>
      <c r="V54" s="364" t="s">
        <v>104</v>
      </c>
      <c r="W54" s="364"/>
      <c r="X54" s="364"/>
      <c r="Y54" s="364"/>
      <c r="Z54" s="364"/>
      <c r="AA54" s="364"/>
      <c r="AB54" s="367">
        <f>ROUND(X53/AA53,6)</f>
        <v>0</v>
      </c>
      <c r="AC54" s="367"/>
      <c r="AD54" s="9"/>
    </row>
    <row r="55" spans="2:30" ht="24" customHeight="1" x14ac:dyDescent="0.3">
      <c r="B55" s="13" t="s">
        <v>105</v>
      </c>
      <c r="C55" s="13"/>
      <c r="D55" s="314"/>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314"/>
      <c r="E56" s="13"/>
      <c r="F56" s="13"/>
      <c r="G56" s="155">
        <f>G26</f>
        <v>1101.8600000000001</v>
      </c>
      <c r="H56" s="56" t="s">
        <v>107</v>
      </c>
      <c r="I56" s="56"/>
      <c r="J56" s="152">
        <v>179393.64</v>
      </c>
      <c r="K56" s="152"/>
      <c r="L56" s="152"/>
      <c r="O56" s="1"/>
      <c r="V56" s="364" t="s">
        <v>106</v>
      </c>
      <c r="W56" s="364"/>
      <c r="X56" s="156">
        <f>X26</f>
        <v>0</v>
      </c>
      <c r="Y56" s="365" t="s">
        <v>107</v>
      </c>
      <c r="Z56" s="365"/>
      <c r="AA56" s="366">
        <f>+J56</f>
        <v>179393.64</v>
      </c>
      <c r="AB56" s="366"/>
      <c r="AC56" s="366"/>
      <c r="AD56" s="9"/>
    </row>
    <row r="57" spans="2:30" x14ac:dyDescent="0.3">
      <c r="B57" s="13" t="s">
        <v>108</v>
      </c>
      <c r="C57" s="13"/>
      <c r="D57" s="314"/>
      <c r="E57" s="13"/>
      <c r="F57" s="13"/>
      <c r="G57" s="13"/>
      <c r="H57" s="13"/>
      <c r="I57" s="13"/>
      <c r="J57" s="13"/>
      <c r="K57" s="154">
        <f>ROUND(G56/J56,6)</f>
        <v>6.1419999999999999E-3</v>
      </c>
      <c r="L57" s="154"/>
      <c r="O57" s="1"/>
      <c r="V57" s="364" t="s">
        <v>108</v>
      </c>
      <c r="W57" s="364"/>
      <c r="X57" s="364"/>
      <c r="Y57" s="364"/>
      <c r="Z57" s="364"/>
      <c r="AA57" s="364"/>
      <c r="AB57" s="367">
        <f>ROUND(X56/AA56,6)</f>
        <v>0</v>
      </c>
      <c r="AC57" s="367"/>
      <c r="AD57" s="9"/>
    </row>
    <row r="58" spans="2:30" ht="20.25" customHeight="1" x14ac:dyDescent="0.3">
      <c r="B58" s="157" t="s">
        <v>109</v>
      </c>
      <c r="C58" s="157"/>
      <c r="D58" s="332"/>
      <c r="E58" s="157"/>
      <c r="F58" s="157"/>
      <c r="G58" s="157"/>
      <c r="H58" s="157"/>
      <c r="I58" s="157"/>
      <c r="J58" s="157"/>
      <c r="K58" s="157"/>
      <c r="L58" s="157"/>
      <c r="N58" s="18"/>
      <c r="O58" s="18"/>
      <c r="V58" s="368" t="s">
        <v>110</v>
      </c>
      <c r="W58" s="368"/>
      <c r="X58" s="368"/>
      <c r="Y58" s="355">
        <f>X65+X64+X62+X61+X60</f>
        <v>4122856</v>
      </c>
      <c r="Z58" s="355"/>
      <c r="AA58" s="158" t="s">
        <v>111</v>
      </c>
      <c r="AB58" s="159">
        <f>AB54</f>
        <v>0</v>
      </c>
      <c r="AC58" s="55">
        <f>ROUND(Y58*AB58,0)</f>
        <v>0</v>
      </c>
      <c r="AD58" s="9"/>
    </row>
    <row r="59" spans="2:30" x14ac:dyDescent="0.3">
      <c r="B59" s="61" t="s">
        <v>110</v>
      </c>
      <c r="C59" s="61"/>
      <c r="D59" s="327"/>
      <c r="E59" s="61"/>
      <c r="F59" s="61"/>
      <c r="G59" s="61"/>
      <c r="H59" s="160" t="s">
        <v>22</v>
      </c>
      <c r="I59" s="125">
        <f>G66+G65+G63+G62+G61</f>
        <v>4122856</v>
      </c>
      <c r="J59" s="161" t="s">
        <v>111</v>
      </c>
      <c r="K59" s="162">
        <f>K54</f>
        <v>5.7710000000000001E-3</v>
      </c>
      <c r="L59" s="50">
        <f>ROUND(I59*K59,0)</f>
        <v>23793</v>
      </c>
      <c r="O59" s="1"/>
      <c r="P59" s="161"/>
      <c r="Q59" s="161"/>
      <c r="V59" s="361" t="s">
        <v>112</v>
      </c>
      <c r="W59" s="361"/>
      <c r="X59" s="361"/>
      <c r="Y59" s="361"/>
      <c r="Z59" s="361"/>
      <c r="AA59" s="361"/>
      <c r="AB59" s="361"/>
      <c r="AC59" s="361"/>
      <c r="AD59" s="9"/>
    </row>
    <row r="60" spans="2:30" x14ac:dyDescent="0.3">
      <c r="B60" s="61" t="s">
        <v>112</v>
      </c>
      <c r="C60" s="61"/>
      <c r="D60" s="327"/>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327"/>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327"/>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327"/>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327"/>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327"/>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327"/>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0</v>
      </c>
      <c r="AC66" s="55">
        <f>ROUND(Y66*AB66,0)</f>
        <v>0</v>
      </c>
      <c r="AD66" s="9"/>
    </row>
    <row r="67" spans="1:30" ht="20.25" customHeight="1" x14ac:dyDescent="0.3">
      <c r="B67" s="13" t="s">
        <v>119</v>
      </c>
      <c r="C67" s="13"/>
      <c r="D67" s="314"/>
      <c r="E67" s="13"/>
      <c r="F67" s="13"/>
      <c r="H67" s="160" t="s">
        <v>25</v>
      </c>
      <c r="I67" s="125">
        <v>96774526</v>
      </c>
      <c r="J67" s="161" t="s">
        <v>111</v>
      </c>
      <c r="K67" s="162">
        <f>K54</f>
        <v>5.7710000000000001E-3</v>
      </c>
      <c r="L67" s="50">
        <f>ROUND(I67*K67,0)</f>
        <v>558486</v>
      </c>
      <c r="O67" s="1"/>
      <c r="V67" s="354" t="s">
        <v>120</v>
      </c>
      <c r="W67" s="354"/>
      <c r="X67" s="354"/>
      <c r="Y67" s="354"/>
      <c r="Z67" s="354"/>
      <c r="AA67" s="354"/>
      <c r="AB67" s="354"/>
      <c r="AC67" s="354"/>
      <c r="AD67" s="9"/>
    </row>
    <row r="68" spans="1:30" ht="20.25" customHeight="1" x14ac:dyDescent="0.3">
      <c r="B68" s="13" t="s">
        <v>120</v>
      </c>
      <c r="C68" s="13"/>
      <c r="D68" s="314"/>
      <c r="E68" s="13"/>
      <c r="F68" s="13"/>
      <c r="H68" s="13"/>
      <c r="I68" s="13"/>
      <c r="J68" s="51"/>
      <c r="K68" s="13"/>
      <c r="L68" s="13"/>
      <c r="O68" s="1"/>
      <c r="V68" s="359" t="s">
        <v>121</v>
      </c>
      <c r="W68" s="359"/>
      <c r="X68" s="359"/>
      <c r="Y68" s="355">
        <f>+I69</f>
        <v>0</v>
      </c>
      <c r="Z68" s="355"/>
      <c r="AA68" s="158" t="s">
        <v>111</v>
      </c>
      <c r="AB68" s="159">
        <f>AB57</f>
        <v>0</v>
      </c>
      <c r="AC68" s="55">
        <f>ROUND(Y68*AB68,0)</f>
        <v>0</v>
      </c>
      <c r="AD68" s="9"/>
    </row>
    <row r="69" spans="1:30" ht="15" customHeight="1" x14ac:dyDescent="0.3">
      <c r="B69" s="166" t="s">
        <v>121</v>
      </c>
      <c r="C69" s="13"/>
      <c r="D69" s="314"/>
      <c r="E69" s="13"/>
      <c r="F69" s="13"/>
      <c r="H69" s="160" t="s">
        <v>23</v>
      </c>
      <c r="I69" s="125">
        <v>0</v>
      </c>
      <c r="J69" s="161" t="s">
        <v>111</v>
      </c>
      <c r="K69" s="162">
        <f>K57</f>
        <v>6.1419999999999999E-3</v>
      </c>
      <c r="L69" s="50">
        <f>ROUND(I69*K69,0)</f>
        <v>0</v>
      </c>
      <c r="O69" s="1"/>
      <c r="V69" s="354" t="s">
        <v>122</v>
      </c>
      <c r="W69" s="354"/>
      <c r="X69" s="354"/>
      <c r="Y69" s="360">
        <f>+I70</f>
        <v>0</v>
      </c>
      <c r="Z69" s="360"/>
      <c r="AA69" s="158" t="s">
        <v>111</v>
      </c>
      <c r="AB69" s="159">
        <f>AB54</f>
        <v>0</v>
      </c>
      <c r="AC69" s="55">
        <f>ROUND(Y69*AB69,0)</f>
        <v>0</v>
      </c>
      <c r="AD69" s="9"/>
    </row>
    <row r="70" spans="1:30" ht="20.25" customHeight="1" x14ac:dyDescent="0.3">
      <c r="B70" s="13" t="s">
        <v>122</v>
      </c>
      <c r="C70" s="13"/>
      <c r="D70" s="314"/>
      <c r="E70" s="13"/>
      <c r="F70" s="13"/>
      <c r="H70" s="160" t="s">
        <v>22</v>
      </c>
      <c r="I70" s="125">
        <v>0</v>
      </c>
      <c r="J70" s="161" t="s">
        <v>111</v>
      </c>
      <c r="K70" s="162">
        <f>K54</f>
        <v>5.7710000000000001E-3</v>
      </c>
      <c r="L70" s="50">
        <f>ROUND(I70*K70,0)</f>
        <v>0</v>
      </c>
      <c r="O70" s="1"/>
      <c r="V70" s="354" t="s">
        <v>123</v>
      </c>
      <c r="W70" s="354"/>
      <c r="X70" s="354"/>
      <c r="Y70" s="356">
        <f>+I71</f>
        <v>0</v>
      </c>
      <c r="Z70" s="356"/>
      <c r="AA70" s="158" t="s">
        <v>111</v>
      </c>
      <c r="AB70" s="159">
        <f>AB54</f>
        <v>0</v>
      </c>
      <c r="AC70" s="55">
        <f>ROUND(Y70*AB70,0)</f>
        <v>0</v>
      </c>
      <c r="AD70" s="9"/>
    </row>
    <row r="71" spans="1:30" ht="20.25" customHeight="1" x14ac:dyDescent="0.3">
      <c r="B71" s="13" t="s">
        <v>123</v>
      </c>
      <c r="C71" s="13"/>
      <c r="D71" s="314"/>
      <c r="E71" s="13"/>
      <c r="F71" s="13"/>
      <c r="H71" s="160" t="s">
        <v>22</v>
      </c>
      <c r="I71" s="125">
        <v>0</v>
      </c>
      <c r="J71" s="161" t="s">
        <v>111</v>
      </c>
      <c r="K71" s="162">
        <f>K54</f>
        <v>5.7710000000000001E-3</v>
      </c>
      <c r="L71" s="50">
        <f>ROUND(I71*K71,0)</f>
        <v>0</v>
      </c>
      <c r="O71" s="1"/>
      <c r="V71" s="354" t="s">
        <v>124</v>
      </c>
      <c r="W71" s="354"/>
      <c r="X71" s="354"/>
      <c r="Y71" s="356">
        <f>+I72</f>
        <v>14117224</v>
      </c>
      <c r="Z71" s="356"/>
      <c r="AA71" s="158" t="s">
        <v>111</v>
      </c>
      <c r="AB71" s="159">
        <f>AB57</f>
        <v>0</v>
      </c>
      <c r="AC71" s="55">
        <f>ROUND(Y71*AB71,0)</f>
        <v>0</v>
      </c>
      <c r="AD71" s="9"/>
    </row>
    <row r="72" spans="1:30" ht="21" customHeight="1" x14ac:dyDescent="0.35">
      <c r="B72" s="13" t="s">
        <v>124</v>
      </c>
      <c r="C72" s="13"/>
      <c r="D72" s="314"/>
      <c r="E72" s="13"/>
      <c r="F72" s="13"/>
      <c r="H72" s="160" t="s">
        <v>23</v>
      </c>
      <c r="I72" s="125">
        <v>14117224</v>
      </c>
      <c r="J72" s="161" t="s">
        <v>111</v>
      </c>
      <c r="K72" s="162">
        <f>K57</f>
        <v>6.1419999999999999E-3</v>
      </c>
      <c r="L72" s="50">
        <f>ROUND(I72*K72,0)</f>
        <v>86708</v>
      </c>
      <c r="O72" s="1"/>
      <c r="V72" s="357" t="s">
        <v>125</v>
      </c>
      <c r="W72" s="357"/>
      <c r="X72" s="357"/>
      <c r="Y72" s="357"/>
      <c r="Z72" s="357"/>
      <c r="AA72" s="357"/>
      <c r="AB72" s="357"/>
      <c r="AC72" s="59"/>
      <c r="AD72" s="9"/>
    </row>
    <row r="73" spans="1:30" ht="17.25" customHeight="1" x14ac:dyDescent="0.35">
      <c r="B73" s="13" t="s">
        <v>125</v>
      </c>
      <c r="C73" s="13"/>
      <c r="D73" s="314"/>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317" t="s">
        <v>13</v>
      </c>
      <c r="E74" s="27" t="s">
        <v>14</v>
      </c>
      <c r="F74" s="27"/>
      <c r="H74" s="160" t="s">
        <v>26</v>
      </c>
      <c r="I74" s="167"/>
      <c r="J74" s="160"/>
      <c r="K74" s="167"/>
      <c r="L74" s="108"/>
      <c r="O74" s="1"/>
      <c r="V74" s="358" t="s">
        <v>127</v>
      </c>
      <c r="W74" s="358"/>
      <c r="X74" s="168" t="s">
        <v>128</v>
      </c>
      <c r="Y74" s="169"/>
      <c r="Z74" s="170">
        <f>+I75</f>
        <v>746</v>
      </c>
      <c r="AA74" s="171" t="s">
        <v>129</v>
      </c>
      <c r="AB74" s="172">
        <f>+K75</f>
        <v>360</v>
      </c>
      <c r="AC74" s="55">
        <f>ROUND(AB74*Z74,0)</f>
        <v>268560</v>
      </c>
      <c r="AD74" s="9"/>
    </row>
    <row r="75" spans="1:30" ht="19.5" customHeight="1" x14ac:dyDescent="0.3">
      <c r="A75" s="1" t="s">
        <v>130</v>
      </c>
      <c r="B75" s="173" t="s">
        <v>127</v>
      </c>
      <c r="C75" s="174" t="s">
        <v>128</v>
      </c>
      <c r="D75" s="333">
        <v>746</v>
      </c>
      <c r="E75" s="173">
        <v>0</v>
      </c>
      <c r="F75" s="173">
        <v>0</v>
      </c>
      <c r="G75" s="175">
        <f>IF(E75=0,D75,E75)</f>
        <v>746</v>
      </c>
      <c r="H75" s="176"/>
      <c r="I75" s="177">
        <f>AVERAGE(G75,D75)</f>
        <v>746</v>
      </c>
      <c r="J75" s="178" t="s">
        <v>129</v>
      </c>
      <c r="K75" s="179">
        <v>360</v>
      </c>
      <c r="L75" s="50">
        <f>ROUND(K75*I75,0)</f>
        <v>268560</v>
      </c>
      <c r="N75" s="1">
        <v>7802</v>
      </c>
      <c r="O75" s="1">
        <v>0</v>
      </c>
      <c r="V75" s="358" t="s">
        <v>127</v>
      </c>
      <c r="W75" s="358"/>
      <c r="X75" s="168" t="s">
        <v>131</v>
      </c>
      <c r="Y75" s="180"/>
      <c r="Z75" s="181">
        <f>+I76</f>
        <v>3</v>
      </c>
      <c r="AA75" s="171" t="s">
        <v>129</v>
      </c>
      <c r="AB75" s="182">
        <f>+K76</f>
        <v>1355</v>
      </c>
      <c r="AC75" s="55">
        <f>ROUND(AB75*Z75,0)</f>
        <v>4065</v>
      </c>
      <c r="AD75" s="9"/>
    </row>
    <row r="76" spans="1:30" ht="19.5" customHeight="1" x14ac:dyDescent="0.3">
      <c r="A76" s="1" t="s">
        <v>132</v>
      </c>
      <c r="B76" s="173" t="s">
        <v>127</v>
      </c>
      <c r="C76" s="174" t="s">
        <v>131</v>
      </c>
      <c r="D76" s="333">
        <v>3</v>
      </c>
      <c r="E76" s="173">
        <v>0</v>
      </c>
      <c r="F76" s="173">
        <v>0</v>
      </c>
      <c r="G76" s="175">
        <f>IF(E76=0,D76,E76)</f>
        <v>3</v>
      </c>
      <c r="H76" s="176"/>
      <c r="I76" s="177">
        <f>AVERAGE(G76,D76)</f>
        <v>3</v>
      </c>
      <c r="J76" s="178" t="s">
        <v>129</v>
      </c>
      <c r="K76" s="183">
        <v>1355</v>
      </c>
      <c r="L76" s="50">
        <f>ROUND(K76*I76,0)</f>
        <v>4065</v>
      </c>
      <c r="N76" s="1">
        <v>7802</v>
      </c>
      <c r="O76" s="1">
        <v>110</v>
      </c>
      <c r="V76" s="354" t="s">
        <v>133</v>
      </c>
      <c r="W76" s="354"/>
      <c r="X76" s="354"/>
      <c r="Y76" s="355">
        <f>+I77</f>
        <v>32718286</v>
      </c>
      <c r="Z76" s="355"/>
      <c r="AA76" s="171" t="s">
        <v>129</v>
      </c>
      <c r="AB76" s="159">
        <f>AB54</f>
        <v>0</v>
      </c>
      <c r="AC76" s="55">
        <f>ROUND(Y76*AB76,0)</f>
        <v>0</v>
      </c>
      <c r="AD76" s="9"/>
    </row>
    <row r="77" spans="1:30" ht="26.25" customHeight="1" x14ac:dyDescent="0.3">
      <c r="B77" s="13" t="s">
        <v>133</v>
      </c>
      <c r="C77" s="13"/>
      <c r="D77" s="314"/>
      <c r="E77" s="13"/>
      <c r="F77" s="13"/>
      <c r="H77" s="160" t="s">
        <v>134</v>
      </c>
      <c r="I77" s="184">
        <v>32718286</v>
      </c>
      <c r="J77" s="161" t="s">
        <v>111</v>
      </c>
      <c r="K77" s="162">
        <f>K54</f>
        <v>5.7710000000000001E-3</v>
      </c>
      <c r="L77" s="50">
        <f>ROUND(I77*K77,0)</f>
        <v>188817</v>
      </c>
      <c r="O77" s="1"/>
      <c r="V77" s="354" t="str">
        <f>+B78</f>
        <v>15.  Additional Allocation (WFTE share)</v>
      </c>
      <c r="W77" s="354"/>
      <c r="X77" s="354"/>
      <c r="Y77" s="355">
        <f>+I78</f>
        <v>668680</v>
      </c>
      <c r="Z77" s="355"/>
      <c r="AA77" s="171" t="s">
        <v>129</v>
      </c>
      <c r="AB77" s="159">
        <f>AB54</f>
        <v>0</v>
      </c>
      <c r="AC77" s="55">
        <f>ROUND(Y77*AB77,0)</f>
        <v>0</v>
      </c>
      <c r="AD77" s="9"/>
    </row>
    <row r="78" spans="1:30" ht="26.25" customHeight="1" x14ac:dyDescent="0.3">
      <c r="B78" s="353" t="s">
        <v>135</v>
      </c>
      <c r="C78" s="353"/>
      <c r="D78" s="353"/>
      <c r="E78" s="13"/>
      <c r="F78" s="13"/>
      <c r="H78" s="160" t="s">
        <v>136</v>
      </c>
      <c r="I78" s="185">
        <v>668680</v>
      </c>
      <c r="J78" s="161" t="s">
        <v>111</v>
      </c>
      <c r="K78" s="162">
        <f>K54</f>
        <v>5.7710000000000001E-3</v>
      </c>
      <c r="L78" s="50">
        <f>ROUND(I78*K78,0)</f>
        <v>3859</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314"/>
      <c r="E81" s="13"/>
      <c r="F81" s="13"/>
      <c r="G81" s="13"/>
      <c r="H81" s="13"/>
      <c r="I81" s="13"/>
      <c r="J81" s="13"/>
      <c r="K81" s="13"/>
      <c r="L81" s="191"/>
      <c r="M81" s="193"/>
      <c r="N81" s="192"/>
      <c r="O81" s="1"/>
      <c r="Q81" s="160"/>
      <c r="V81" s="186" t="s">
        <v>140</v>
      </c>
      <c r="W81" s="186"/>
      <c r="X81" s="186"/>
      <c r="Y81" s="186"/>
      <c r="Z81" s="186"/>
      <c r="AA81" s="186"/>
      <c r="AB81" s="186"/>
      <c r="AC81" s="194">
        <f>SUM(AC44:AC80)</f>
        <v>272625</v>
      </c>
      <c r="AD81" s="195"/>
    </row>
    <row r="82" spans="1:30" ht="22.5" customHeight="1" thickTop="1" thickBot="1" x14ac:dyDescent="0.35">
      <c r="B82" s="13" t="s">
        <v>141</v>
      </c>
      <c r="C82" s="13"/>
      <c r="D82" s="314"/>
      <c r="E82" s="13"/>
      <c r="F82" s="13"/>
      <c r="G82" s="13"/>
      <c r="H82" s="13"/>
      <c r="I82" s="13"/>
      <c r="J82" s="13"/>
      <c r="K82" s="13"/>
      <c r="L82" s="196">
        <f>SUM(L44:L81)</f>
        <v>7151859</v>
      </c>
      <c r="M82" s="197"/>
      <c r="N82" s="198"/>
      <c r="O82" s="1"/>
      <c r="Q82" s="160"/>
      <c r="V82" s="186"/>
      <c r="W82" s="186"/>
      <c r="X82" s="186"/>
      <c r="Y82" s="186"/>
      <c r="Z82" s="186"/>
      <c r="AA82" s="186"/>
      <c r="AB82" s="186"/>
      <c r="AC82" s="199"/>
      <c r="AD82" s="195"/>
    </row>
    <row r="83" spans="1:30" ht="27.75" customHeight="1" thickTop="1" x14ac:dyDescent="0.3">
      <c r="B83" s="13" t="s">
        <v>142</v>
      </c>
      <c r="C83" s="13"/>
      <c r="D83" s="314"/>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314"/>
      <c r="E84" s="13"/>
      <c r="F84" s="13"/>
      <c r="G84" s="13"/>
      <c r="H84" s="13"/>
      <c r="I84" s="13"/>
      <c r="J84" s="13"/>
      <c r="K84" s="202" t="str">
        <f>IF(G26=0,"",IF((G11+G13+SUM(G15:G21))/G26&gt;0.75,1,""))</f>
        <v/>
      </c>
      <c r="L84" s="196">
        <f>'1571'!AC81</f>
        <v>272625</v>
      </c>
      <c r="M84" s="197"/>
      <c r="N84" s="198"/>
      <c r="O84" s="1"/>
      <c r="Q84" s="160"/>
      <c r="V84" s="203" t="s">
        <v>147</v>
      </c>
      <c r="W84" s="203"/>
      <c r="X84" s="203"/>
      <c r="Y84" s="203"/>
      <c r="Z84" s="203"/>
      <c r="AA84" s="203"/>
      <c r="AB84" s="203"/>
      <c r="AC84" s="203"/>
      <c r="AD84" s="9"/>
    </row>
    <row r="85" spans="1:30" ht="18.75" customHeight="1" thickTop="1" x14ac:dyDescent="0.3">
      <c r="B85" s="13"/>
      <c r="C85" s="13"/>
      <c r="D85" s="314"/>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314"/>
      <c r="E86" s="13"/>
      <c r="F86" s="13"/>
      <c r="G86" s="13"/>
      <c r="H86" s="13"/>
      <c r="I86" s="13"/>
      <c r="J86" s="204" t="s">
        <v>150</v>
      </c>
      <c r="K86" s="205">
        <f>IF(K84=1,L84,L82)</f>
        <v>7151859</v>
      </c>
      <c r="L86" s="82">
        <f>IF(G26=0,0,IF(G26&gt;250,-(((250/G26)*K86)*IF(M86="H",0.02,0.05)),IF(M86="H",-0.02*K86,-0.05*K86)))</f>
        <v>-81133.934891910045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314"/>
      <c r="E87" s="13"/>
      <c r="F87" s="13"/>
      <c r="G87" s="13"/>
      <c r="H87" s="13"/>
      <c r="I87" s="13"/>
      <c r="J87" s="13"/>
      <c r="K87" s="206"/>
      <c r="L87" s="200">
        <f>L82+L86</f>
        <v>7070725.0651080897</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314">
        <v>0</v>
      </c>
      <c r="E89" s="13">
        <v>0</v>
      </c>
      <c r="F89" s="13">
        <v>3691497</v>
      </c>
      <c r="G89" s="13"/>
      <c r="H89" s="13"/>
      <c r="I89" s="13"/>
      <c r="J89" s="13"/>
      <c r="K89" s="206"/>
      <c r="L89" s="82">
        <v>-4828095</v>
      </c>
      <c r="M89" s="197"/>
      <c r="N89" s="198"/>
      <c r="O89" s="1"/>
      <c r="Q89" s="160"/>
      <c r="V89" s="193">
        <v>2801</v>
      </c>
      <c r="W89" s="193"/>
      <c r="X89" s="193"/>
      <c r="Y89" s="193"/>
      <c r="Z89" s="193"/>
      <c r="AA89" s="193"/>
      <c r="AB89" s="193"/>
      <c r="AC89" s="193"/>
      <c r="AD89" s="207"/>
    </row>
    <row r="90" spans="1:30" ht="18.75" customHeight="1" x14ac:dyDescent="0.3">
      <c r="B90" s="13" t="s">
        <v>155</v>
      </c>
      <c r="C90" s="13"/>
      <c r="D90" s="314"/>
      <c r="E90" s="13"/>
      <c r="F90" s="13"/>
      <c r="G90" s="13"/>
      <c r="H90" s="13"/>
      <c r="I90" s="13"/>
      <c r="J90" s="13"/>
      <c r="K90" s="206"/>
      <c r="L90" s="200">
        <f>L87+L89</f>
        <v>2242630.0651080897</v>
      </c>
      <c r="M90" s="197"/>
      <c r="N90" s="198"/>
      <c r="O90" s="1"/>
      <c r="Q90" s="160"/>
      <c r="V90" s="193">
        <v>2911</v>
      </c>
      <c r="W90" s="209"/>
      <c r="X90" s="209"/>
      <c r="Y90" s="209"/>
      <c r="Z90" s="209"/>
      <c r="AA90" s="209"/>
      <c r="AB90" s="209"/>
      <c r="AC90" s="209"/>
      <c r="AD90" s="207"/>
    </row>
    <row r="91" spans="1:30" ht="18.75" customHeight="1" x14ac:dyDescent="0.3">
      <c r="B91" s="13" t="s">
        <v>156</v>
      </c>
      <c r="C91" s="13"/>
      <c r="D91" s="314"/>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314"/>
      <c r="E92" s="13"/>
      <c r="F92" s="13"/>
      <c r="G92" s="13"/>
      <c r="H92" s="13"/>
      <c r="I92" s="13"/>
      <c r="J92" s="13"/>
      <c r="K92" s="206"/>
      <c r="L92" s="210">
        <f>L90/L91</f>
        <v>560657.51627702243</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314"/>
      <c r="E94" s="13"/>
      <c r="G94" s="13"/>
      <c r="H94" s="13"/>
      <c r="I94" s="13"/>
      <c r="J94" s="13"/>
      <c r="L94" s="215">
        <f>IF(M86="H",(K86*0.02)+L86,(K86*0.05)+L86)</f>
        <v>276459.01510808995</v>
      </c>
      <c r="M94" s="197"/>
      <c r="V94" s="216"/>
      <c r="W94" s="216"/>
      <c r="X94" s="216"/>
      <c r="Y94" s="216"/>
      <c r="Z94" s="216"/>
      <c r="AA94" s="216"/>
      <c r="AB94" s="216"/>
      <c r="AC94" s="216"/>
      <c r="AD94" s="207"/>
    </row>
    <row r="95" spans="1:30" ht="21.75" customHeight="1" thickTop="1" x14ac:dyDescent="0.3">
      <c r="B95" s="217" t="s">
        <v>159</v>
      </c>
      <c r="C95" s="217"/>
      <c r="D95" s="334"/>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222</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223</v>
      </c>
      <c r="C123" s="219" t="s">
        <v>200</v>
      </c>
    </row>
    <row r="124" spans="2:3" ht="15.5" hidden="1" x14ac:dyDescent="0.35">
      <c r="B124" s="223" t="s">
        <v>224</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0</v>
      </c>
      <c r="C135" s="225"/>
    </row>
    <row r="136" spans="2:3" ht="15.5" hidden="1" x14ac:dyDescent="0.35">
      <c r="B136" s="226">
        <f>NvsEndTime</f>
        <v>41646.468993055598</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5" width="8.90625" style="1"/>
    <col min="26" max="26" width="13.08984375" style="1" bestFit="1" customWidth="1"/>
    <col min="27" max="27" width="8.90625" style="1"/>
    <col min="28" max="28" width="13.08984375" style="1" bestFit="1" customWidth="1"/>
    <col min="29" max="29" width="16.36328125" style="1" bestFit="1" customWidth="1"/>
    <col min="30"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'2521'!B2</f>
        <v>50</v>
      </c>
      <c r="W2" s="413" t="s">
        <v>4</v>
      </c>
      <c r="X2" s="414"/>
      <c r="Y2" s="415"/>
      <c r="Z2" s="415"/>
      <c r="AA2" s="415"/>
      <c r="AB2" s="415"/>
      <c r="AC2" s="415"/>
      <c r="AD2" s="9"/>
    </row>
    <row r="3" spans="1:30" ht="20" x14ac:dyDescent="0.4">
      <c r="B3" s="10" t="str">
        <f>"Revenue Estimate Worksheet for "&amp;B124</f>
        <v>Revenue Estimate Worksheet for Ed Venture Charter School</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'2521'!G7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IF('2521'!K$84=1,'2521'!G10,0)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IF('2521'!K$84=1,'2521'!G11,0)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IF('2521'!K$84=1,'2521'!G12,0)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IF('2521'!K$84=1,'2521'!G13,0)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IF('2521'!K$84=1,'2521'!G14,0)</f>
        <v>0</v>
      </c>
      <c r="Y14" s="396"/>
      <c r="Z14" s="397">
        <v>1</v>
      </c>
      <c r="AA14" s="397"/>
      <c r="AB14" s="54">
        <f t="shared" si="0"/>
        <v>0</v>
      </c>
      <c r="AC14" s="55">
        <f t="shared" si="1"/>
        <v>0</v>
      </c>
      <c r="AD14" s="9"/>
    </row>
    <row r="15" spans="1:30" x14ac:dyDescent="0.3">
      <c r="A15" s="1" t="s">
        <v>39</v>
      </c>
      <c r="B15" s="13" t="s">
        <v>40</v>
      </c>
      <c r="C15" s="13"/>
      <c r="D15" s="13">
        <v>46</v>
      </c>
      <c r="E15" s="13">
        <v>0</v>
      </c>
      <c r="F15" s="13">
        <v>49.85</v>
      </c>
      <c r="G15" s="46">
        <f t="shared" si="2"/>
        <v>92</v>
      </c>
      <c r="H15" s="47"/>
      <c r="I15" s="56">
        <f>I14</f>
        <v>1.0109999999999999</v>
      </c>
      <c r="J15" s="56"/>
      <c r="K15" s="49">
        <f t="shared" si="3"/>
        <v>93.012</v>
      </c>
      <c r="L15" s="58">
        <f t="shared" si="4"/>
        <v>360387</v>
      </c>
      <c r="M15" s="1" t="str">
        <f>IF(ROUND(G15,2)=ROUND(SUM(G34:G36),2)," ","CHECK 2. PK-3 Lines Below")</f>
        <v xml:space="preserve"> </v>
      </c>
      <c r="N15" s="51">
        <v>5103</v>
      </c>
      <c r="O15" s="57" t="s">
        <v>41</v>
      </c>
      <c r="Q15" s="53"/>
      <c r="V15" s="357" t="s">
        <v>40</v>
      </c>
      <c r="W15" s="357"/>
      <c r="X15" s="396">
        <f>IF('2521'!K$84=1,'2521'!G15,0)</f>
        <v>92</v>
      </c>
      <c r="Y15" s="396"/>
      <c r="Z15" s="397">
        <v>1</v>
      </c>
      <c r="AA15" s="397"/>
      <c r="AB15" s="54">
        <f t="shared" si="0"/>
        <v>92</v>
      </c>
      <c r="AC15" s="59">
        <f t="shared" si="1"/>
        <v>356465</v>
      </c>
      <c r="AD15" s="9"/>
    </row>
    <row r="16" spans="1:30" ht="15.5" x14ac:dyDescent="0.3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7" t="s">
        <v>43</v>
      </c>
      <c r="W16" s="357"/>
      <c r="X16" s="396">
        <f>IF('2521'!K$84=1,'2521'!G16,0)</f>
        <v>0</v>
      </c>
      <c r="Y16" s="396"/>
      <c r="Z16" s="397">
        <v>1</v>
      </c>
      <c r="AA16" s="397"/>
      <c r="AB16" s="54">
        <f t="shared" si="0"/>
        <v>0</v>
      </c>
      <c r="AC16" s="55">
        <f t="shared" si="1"/>
        <v>0</v>
      </c>
      <c r="AD16" s="9"/>
    </row>
    <row r="17" spans="1:30" ht="15.5" x14ac:dyDescent="0.3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7" t="s">
        <v>45</v>
      </c>
      <c r="W17" s="357"/>
      <c r="X17" s="396">
        <f>IF('2521'!K$84=1,'2521'!G17,0)</f>
        <v>0</v>
      </c>
      <c r="Y17" s="396"/>
      <c r="Z17" s="397">
        <v>1</v>
      </c>
      <c r="AA17" s="397"/>
      <c r="AB17" s="54">
        <f t="shared" si="0"/>
        <v>0</v>
      </c>
      <c r="AC17" s="55">
        <f t="shared" si="1"/>
        <v>0</v>
      </c>
      <c r="AD17" s="9"/>
    </row>
    <row r="18" spans="1:30" ht="15.5" x14ac:dyDescent="0.35">
      <c r="A18" s="1" t="s">
        <v>46</v>
      </c>
      <c r="B18" s="13" t="s">
        <v>47</v>
      </c>
      <c r="C18" s="13"/>
      <c r="D18" s="13">
        <v>11.5</v>
      </c>
      <c r="E18" s="13">
        <v>0</v>
      </c>
      <c r="F18" s="13">
        <v>11.59</v>
      </c>
      <c r="G18" s="46">
        <f t="shared" si="2"/>
        <v>23</v>
      </c>
      <c r="H18" s="47"/>
      <c r="I18" s="56">
        <f>I17</f>
        <v>3.5579999999999998</v>
      </c>
      <c r="J18" s="56"/>
      <c r="K18" s="49">
        <f t="shared" si="3"/>
        <v>81.834000000000003</v>
      </c>
      <c r="L18" s="50">
        <f t="shared" si="4"/>
        <v>317076</v>
      </c>
      <c r="N18" s="51">
        <v>5103</v>
      </c>
      <c r="O18" s="53">
        <v>254</v>
      </c>
      <c r="Q18" s="53"/>
      <c r="V18" s="357" t="s">
        <v>47</v>
      </c>
      <c r="W18" s="357"/>
      <c r="X18" s="396">
        <f>IF('2521'!K$84=1,'2521'!G18,0)</f>
        <v>23</v>
      </c>
      <c r="Y18" s="396"/>
      <c r="Z18" s="397">
        <v>1</v>
      </c>
      <c r="AA18" s="397"/>
      <c r="AB18" s="54">
        <f t="shared" si="0"/>
        <v>23</v>
      </c>
      <c r="AC18" s="55">
        <f t="shared" si="1"/>
        <v>89116</v>
      </c>
      <c r="AD18" s="9"/>
    </row>
    <row r="19" spans="1:30" ht="15" customHeight="1" x14ac:dyDescent="0.3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7" t="s">
        <v>49</v>
      </c>
      <c r="W19" s="357"/>
      <c r="X19" s="396">
        <f>IF('2521'!K$84=1,'2521'!G19,0)</f>
        <v>0</v>
      </c>
      <c r="Y19" s="396"/>
      <c r="Z19" s="397">
        <v>1</v>
      </c>
      <c r="AA19" s="397"/>
      <c r="AB19" s="54">
        <f t="shared" si="0"/>
        <v>0</v>
      </c>
      <c r="AC19" s="55">
        <f t="shared" si="1"/>
        <v>0</v>
      </c>
      <c r="AD19" s="9"/>
    </row>
    <row r="20" spans="1:30" ht="15" customHeight="1" x14ac:dyDescent="0.3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7" t="s">
        <v>51</v>
      </c>
      <c r="W20" s="357"/>
      <c r="X20" s="396">
        <f>IF('2521'!K$84=1,'2521'!G20,0)</f>
        <v>0</v>
      </c>
      <c r="Y20" s="396"/>
      <c r="Z20" s="397">
        <v>1</v>
      </c>
      <c r="AA20" s="397"/>
      <c r="AB20" s="54">
        <f t="shared" si="0"/>
        <v>0</v>
      </c>
      <c r="AC20" s="55">
        <f t="shared" si="1"/>
        <v>0</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IF('2521'!K$84=1,'2521'!G21,0)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IF('2521'!K$84=1,'2521'!G22,0)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IF('2521'!K$84=1,'2521'!G23,0)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IF('2521'!K$84=1,'2521'!G24,0)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IF('2521'!K$84=1,'2521'!G25,0)</f>
        <v>0</v>
      </c>
      <c r="Y25" s="396"/>
      <c r="Z25" s="397">
        <v>1</v>
      </c>
      <c r="AA25" s="397"/>
      <c r="AB25" s="54">
        <f t="shared" si="0"/>
        <v>0</v>
      </c>
      <c r="AC25" s="55">
        <f t="shared" si="1"/>
        <v>0</v>
      </c>
      <c r="AD25" s="9"/>
    </row>
    <row r="26" spans="1:30" ht="20.25" customHeight="1" thickBot="1" x14ac:dyDescent="0.35">
      <c r="B26" s="61" t="s">
        <v>62</v>
      </c>
      <c r="C26" s="61"/>
      <c r="D26" s="62">
        <f t="shared" ref="D26:E26" si="5">SUM(D10:D25)</f>
        <v>57.5</v>
      </c>
      <c r="E26" s="62">
        <f t="shared" si="5"/>
        <v>0</v>
      </c>
      <c r="F26" s="62"/>
      <c r="G26" s="62">
        <f>SUM(G10:G25)</f>
        <v>115</v>
      </c>
      <c r="H26" s="63"/>
      <c r="I26" s="63"/>
      <c r="J26" s="64"/>
      <c r="K26" s="65">
        <f>SUM(K10:K25)</f>
        <v>174.846</v>
      </c>
      <c r="L26" s="66">
        <f>SUM(L10:L25)</f>
        <v>677463</v>
      </c>
      <c r="N26" s="53"/>
      <c r="O26" s="67"/>
      <c r="P26" s="53"/>
      <c r="Q26" s="53"/>
      <c r="V26" s="398" t="s">
        <v>62</v>
      </c>
      <c r="W26" s="398"/>
      <c r="X26" s="387">
        <f>SUM(X10:X25)</f>
        <v>115</v>
      </c>
      <c r="Y26" s="387"/>
      <c r="Z26" s="399"/>
      <c r="AA26" s="400"/>
      <c r="AB26" s="68">
        <f>SUM(AB10:AB25)</f>
        <v>115</v>
      </c>
      <c r="AC26" s="69">
        <f>SUM(AC10:AC25)</f>
        <v>445581</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1.5</v>
      </c>
      <c r="E34" s="13">
        <v>0</v>
      </c>
      <c r="F34" s="89">
        <v>1.5</v>
      </c>
      <c r="G34" s="46">
        <f t="shared" si="7"/>
        <v>3</v>
      </c>
      <c r="H34" s="79"/>
      <c r="I34" s="90" t="s">
        <v>78</v>
      </c>
      <c r="J34" s="51">
        <v>251</v>
      </c>
      <c r="K34" s="81">
        <v>835</v>
      </c>
      <c r="L34" s="82">
        <f t="shared" si="8"/>
        <v>2505</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6.5</v>
      </c>
      <c r="E35" s="13">
        <v>0</v>
      </c>
      <c r="F35" s="89">
        <v>6.5</v>
      </c>
      <c r="G35" s="46">
        <f t="shared" si="7"/>
        <v>13</v>
      </c>
      <c r="H35" s="79"/>
      <c r="I35" s="90" t="s">
        <v>78</v>
      </c>
      <c r="J35" s="51">
        <v>252</v>
      </c>
      <c r="K35" s="81">
        <v>3168</v>
      </c>
      <c r="L35" s="82">
        <f t="shared" si="8"/>
        <v>41184</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38</v>
      </c>
      <c r="E36" s="13">
        <v>0</v>
      </c>
      <c r="F36" s="89">
        <v>40.5</v>
      </c>
      <c r="G36" s="46">
        <f t="shared" si="7"/>
        <v>76</v>
      </c>
      <c r="H36" s="79"/>
      <c r="I36" s="90" t="s">
        <v>78</v>
      </c>
      <c r="J36" s="51">
        <v>253</v>
      </c>
      <c r="K36" s="81">
        <v>6685</v>
      </c>
      <c r="L36" s="93">
        <f t="shared" si="8"/>
        <v>508060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46</v>
      </c>
      <c r="E37" s="62">
        <f t="shared" si="10"/>
        <v>0</v>
      </c>
      <c r="F37" s="62"/>
      <c r="G37" s="62">
        <f>SUM(G28:G36)</f>
        <v>92</v>
      </c>
      <c r="H37" s="63"/>
      <c r="I37" s="13" t="s">
        <v>82</v>
      </c>
      <c r="J37" s="13"/>
      <c r="K37" s="13"/>
      <c r="L37" s="50">
        <f>SUM(L28:L36)</f>
        <v>551749</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22080</v>
      </c>
      <c r="N40" s="103"/>
      <c r="O40" s="103"/>
      <c r="P40" s="103"/>
      <c r="Q40" s="103"/>
      <c r="V40" s="382" t="s">
        <v>86</v>
      </c>
      <c r="W40" s="382"/>
      <c r="X40" s="383">
        <f>+G40</f>
        <v>179393.64</v>
      </c>
      <c r="Y40" s="383"/>
      <c r="Z40" s="383"/>
      <c r="AA40" s="383"/>
      <c r="AB40" s="55">
        <f>ROUND(X39/X40,0)</f>
        <v>192</v>
      </c>
      <c r="AC40" s="55">
        <f>ROUND(AB40*$X$26,0)</f>
        <v>22080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1251292</v>
      </c>
      <c r="O44" s="1"/>
      <c r="V44" s="376" t="s">
        <v>90</v>
      </c>
      <c r="W44" s="376"/>
      <c r="X44" s="376"/>
      <c r="Y44" s="376"/>
      <c r="Z44" s="376"/>
      <c r="AA44" s="376"/>
      <c r="AB44" s="376"/>
      <c r="AC44" s="111">
        <f>SUM(AC26,AC37,AC40)</f>
        <v>467661</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9">
        <f>AB7</f>
        <v>1.0326</v>
      </c>
      <c r="Y47" s="369"/>
      <c r="Z47" s="128">
        <f>+I47</f>
        <v>1316.85</v>
      </c>
      <c r="AA47" s="129" t="s">
        <v>97</v>
      </c>
      <c r="AB47" s="130">
        <f>ROUND(W47*X47*Z47,0)</f>
        <v>0</v>
      </c>
      <c r="AC47" s="131"/>
      <c r="AD47" s="9"/>
    </row>
    <row r="48" spans="1:30" ht="18" customHeight="1" x14ac:dyDescent="0.3">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9">
        <f>AB7</f>
        <v>1.0326</v>
      </c>
      <c r="Y48" s="369"/>
      <c r="Z48" s="128">
        <f>+I48</f>
        <v>898.23</v>
      </c>
      <c r="AA48" s="129" t="s">
        <v>97</v>
      </c>
      <c r="AB48" s="130">
        <f>ROUND(W48*X48*Z48,0)</f>
        <v>0</v>
      </c>
      <c r="AC48" s="134"/>
      <c r="AD48" s="9"/>
    </row>
    <row r="49" spans="2:30" ht="19.5" customHeight="1" thickBot="1" x14ac:dyDescent="0.4">
      <c r="B49" s="135" t="s">
        <v>78</v>
      </c>
      <c r="C49" s="136">
        <f>K14+K15+K18+K21+K24+K25</f>
        <v>174.846</v>
      </c>
      <c r="D49" s="121"/>
      <c r="E49" s="121"/>
      <c r="F49" s="121"/>
      <c r="G49" s="122">
        <f>K7</f>
        <v>1.0326</v>
      </c>
      <c r="H49" s="122"/>
      <c r="I49" s="123">
        <v>900.39</v>
      </c>
      <c r="J49" s="124" t="s">
        <v>97</v>
      </c>
      <c r="K49" s="125">
        <f>ROUND(C49*G49*I49,0)</f>
        <v>162562</v>
      </c>
      <c r="L49" s="61"/>
      <c r="M49" s="108"/>
      <c r="N49" s="137"/>
      <c r="O49" s="138"/>
      <c r="P49" s="67"/>
      <c r="Q49" s="139"/>
      <c r="V49" s="140" t="s">
        <v>78</v>
      </c>
      <c r="W49" s="141">
        <f>AB14+AB15+AB18+AB21+AB24+AB25</f>
        <v>115</v>
      </c>
      <c r="X49" s="369">
        <f>AB7</f>
        <v>1.0326</v>
      </c>
      <c r="Y49" s="369"/>
      <c r="Z49" s="128">
        <f>+I49</f>
        <v>900.39</v>
      </c>
      <c r="AA49" s="129" t="s">
        <v>97</v>
      </c>
      <c r="AB49" s="130">
        <f>ROUND(W49*X49*Z49,0)</f>
        <v>106920</v>
      </c>
      <c r="AC49" s="134"/>
      <c r="AD49" s="109"/>
    </row>
    <row r="50" spans="2:30" ht="24" customHeight="1" thickBot="1" x14ac:dyDescent="0.35">
      <c r="B50" s="142" t="s">
        <v>98</v>
      </c>
      <c r="C50" s="143">
        <f>SUM(C47:C49)</f>
        <v>174.846</v>
      </c>
      <c r="D50" s="144"/>
      <c r="E50" s="145"/>
      <c r="F50" s="145"/>
      <c r="G50" s="146" t="s">
        <v>99</v>
      </c>
      <c r="H50" s="146"/>
      <c r="I50" s="146"/>
      <c r="J50" s="146"/>
      <c r="K50" s="146"/>
      <c r="L50" s="50">
        <f>IF(B2=75,0,K49+K48+K47)</f>
        <v>162562</v>
      </c>
      <c r="N50" s="3"/>
      <c r="O50" s="1"/>
      <c r="V50" s="147" t="s">
        <v>98</v>
      </c>
      <c r="W50" s="148">
        <f>SUM(W47:W49)</f>
        <v>115</v>
      </c>
      <c r="X50" s="370" t="s">
        <v>99</v>
      </c>
      <c r="Y50" s="371"/>
      <c r="Z50" s="371"/>
      <c r="AA50" s="371"/>
      <c r="AB50" s="371"/>
      <c r="AC50" s="55">
        <f>IF(V2=75,0,AB49+AB48+AB47)</f>
        <v>106920</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174.846</v>
      </c>
      <c r="H53" s="56" t="s">
        <v>103</v>
      </c>
      <c r="I53" s="56"/>
      <c r="J53" s="152">
        <v>193142.74</v>
      </c>
      <c r="K53" s="152"/>
      <c r="L53" s="152"/>
      <c r="N53" s="3"/>
      <c r="O53" s="1"/>
      <c r="V53" s="364" t="s">
        <v>102</v>
      </c>
      <c r="W53" s="364"/>
      <c r="X53" s="153">
        <f>AB26</f>
        <v>115</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9.0499999999999999E-4</v>
      </c>
      <c r="L54" s="154"/>
      <c r="N54" s="67"/>
      <c r="O54" s="1"/>
      <c r="V54" s="364" t="s">
        <v>104</v>
      </c>
      <c r="W54" s="364"/>
      <c r="X54" s="364"/>
      <c r="Y54" s="364"/>
      <c r="Z54" s="364"/>
      <c r="AA54" s="364"/>
      <c r="AB54" s="367">
        <f>ROUND(X53/AA53,6)</f>
        <v>5.9500000000000004E-4</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115</v>
      </c>
      <c r="H56" s="56" t="s">
        <v>107</v>
      </c>
      <c r="I56" s="56"/>
      <c r="J56" s="152">
        <v>179393.64</v>
      </c>
      <c r="K56" s="152"/>
      <c r="L56" s="152"/>
      <c r="O56" s="1"/>
      <c r="V56" s="364" t="s">
        <v>106</v>
      </c>
      <c r="W56" s="364"/>
      <c r="X56" s="156">
        <f>X26</f>
        <v>115</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6.4099999999999997E-4</v>
      </c>
      <c r="L57" s="154"/>
      <c r="O57" s="1"/>
      <c r="V57" s="364" t="s">
        <v>108</v>
      </c>
      <c r="W57" s="364"/>
      <c r="X57" s="364"/>
      <c r="Y57" s="364"/>
      <c r="Z57" s="364"/>
      <c r="AA57" s="364"/>
      <c r="AB57" s="367">
        <f>ROUND(X56/AA56,6)</f>
        <v>6.4099999999999997E-4</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5.9500000000000004E-4</v>
      </c>
      <c r="AC58" s="55">
        <f>ROUND(Y58*AB58,0)</f>
        <v>2453</v>
      </c>
      <c r="AD58" s="9"/>
    </row>
    <row r="59" spans="2:30" x14ac:dyDescent="0.3">
      <c r="B59" s="61" t="s">
        <v>110</v>
      </c>
      <c r="C59" s="61"/>
      <c r="D59" s="61"/>
      <c r="E59" s="61"/>
      <c r="F59" s="61"/>
      <c r="G59" s="61"/>
      <c r="H59" s="160" t="s">
        <v>22</v>
      </c>
      <c r="I59" s="125">
        <f>G66+G65+G63+G62+G61</f>
        <v>4122856</v>
      </c>
      <c r="J59" s="161" t="s">
        <v>111</v>
      </c>
      <c r="K59" s="162">
        <f>K54</f>
        <v>9.0499999999999999E-4</v>
      </c>
      <c r="L59" s="50">
        <f>ROUND(I59*K59,0)</f>
        <v>3731</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5.9500000000000004E-4</v>
      </c>
      <c r="AC66" s="55">
        <f>ROUND(Y66*AB66,0)</f>
        <v>57581</v>
      </c>
      <c r="AD66" s="9"/>
    </row>
    <row r="67" spans="1:30" ht="20.25" customHeight="1" x14ac:dyDescent="0.3">
      <c r="B67" s="13" t="s">
        <v>119</v>
      </c>
      <c r="C67" s="13"/>
      <c r="D67" s="13"/>
      <c r="E67" s="13"/>
      <c r="F67" s="13"/>
      <c r="H67" s="160" t="s">
        <v>25</v>
      </c>
      <c r="I67" s="125">
        <v>96774526</v>
      </c>
      <c r="J67" s="161" t="s">
        <v>111</v>
      </c>
      <c r="K67" s="162">
        <f>K54</f>
        <v>9.0499999999999999E-4</v>
      </c>
      <c r="L67" s="50">
        <f>ROUND(I67*K67,0)</f>
        <v>87581</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6.4099999999999997E-4</v>
      </c>
      <c r="AC68" s="55">
        <f>ROUND(Y68*AB68,0)</f>
        <v>0</v>
      </c>
      <c r="AD68" s="9"/>
    </row>
    <row r="69" spans="1:30" ht="15" customHeight="1" x14ac:dyDescent="0.3">
      <c r="B69" s="166" t="s">
        <v>121</v>
      </c>
      <c r="C69" s="13"/>
      <c r="D69" s="13"/>
      <c r="E69" s="13"/>
      <c r="F69" s="13"/>
      <c r="H69" s="160" t="s">
        <v>23</v>
      </c>
      <c r="I69" s="125">
        <v>0</v>
      </c>
      <c r="J69" s="161" t="s">
        <v>111</v>
      </c>
      <c r="K69" s="162">
        <f>K57</f>
        <v>6.4099999999999997E-4</v>
      </c>
      <c r="L69" s="50">
        <f>ROUND(I69*K69,0)</f>
        <v>0</v>
      </c>
      <c r="O69" s="1"/>
      <c r="V69" s="354" t="s">
        <v>122</v>
      </c>
      <c r="W69" s="354"/>
      <c r="X69" s="354"/>
      <c r="Y69" s="360">
        <f>+I70</f>
        <v>0</v>
      </c>
      <c r="Z69" s="360"/>
      <c r="AA69" s="158" t="s">
        <v>111</v>
      </c>
      <c r="AB69" s="159">
        <f>AB54</f>
        <v>5.9500000000000004E-4</v>
      </c>
      <c r="AC69" s="55">
        <f>ROUND(Y69*AB69,0)</f>
        <v>0</v>
      </c>
      <c r="AD69" s="9"/>
    </row>
    <row r="70" spans="1:30" ht="20.25" customHeight="1" x14ac:dyDescent="0.3">
      <c r="B70" s="13" t="s">
        <v>122</v>
      </c>
      <c r="C70" s="13"/>
      <c r="D70" s="13"/>
      <c r="E70" s="13"/>
      <c r="F70" s="13"/>
      <c r="H70" s="160" t="s">
        <v>22</v>
      </c>
      <c r="I70" s="125">
        <v>0</v>
      </c>
      <c r="J70" s="161" t="s">
        <v>111</v>
      </c>
      <c r="K70" s="162">
        <f>K54</f>
        <v>9.0499999999999999E-4</v>
      </c>
      <c r="L70" s="50">
        <f>ROUND(I70*K70,0)</f>
        <v>0</v>
      </c>
      <c r="O70" s="1"/>
      <c r="V70" s="354" t="s">
        <v>123</v>
      </c>
      <c r="W70" s="354"/>
      <c r="X70" s="354"/>
      <c r="Y70" s="356">
        <f>+I71</f>
        <v>0</v>
      </c>
      <c r="Z70" s="356"/>
      <c r="AA70" s="158" t="s">
        <v>111</v>
      </c>
      <c r="AB70" s="159">
        <f>AB54</f>
        <v>5.9500000000000004E-4</v>
      </c>
      <c r="AC70" s="55">
        <f>ROUND(Y70*AB70,0)</f>
        <v>0</v>
      </c>
      <c r="AD70" s="9"/>
    </row>
    <row r="71" spans="1:30" ht="20.25" customHeight="1" x14ac:dyDescent="0.3">
      <c r="B71" s="13" t="s">
        <v>123</v>
      </c>
      <c r="C71" s="13"/>
      <c r="D71" s="13"/>
      <c r="E71" s="13"/>
      <c r="F71" s="13"/>
      <c r="H71" s="160" t="s">
        <v>22</v>
      </c>
      <c r="I71" s="125">
        <v>0</v>
      </c>
      <c r="J71" s="161" t="s">
        <v>111</v>
      </c>
      <c r="K71" s="162">
        <f>K54</f>
        <v>9.0499999999999999E-4</v>
      </c>
      <c r="L71" s="50">
        <f>ROUND(I71*K71,0)</f>
        <v>0</v>
      </c>
      <c r="O71" s="1"/>
      <c r="V71" s="354" t="s">
        <v>124</v>
      </c>
      <c r="W71" s="354"/>
      <c r="X71" s="354"/>
      <c r="Y71" s="356">
        <f>+I72</f>
        <v>14117224</v>
      </c>
      <c r="Z71" s="356"/>
      <c r="AA71" s="158" t="s">
        <v>111</v>
      </c>
      <c r="AB71" s="159">
        <f>AB57</f>
        <v>6.4099999999999997E-4</v>
      </c>
      <c r="AC71" s="55">
        <f>ROUND(Y71*AB71,0)</f>
        <v>9049</v>
      </c>
      <c r="AD71" s="9"/>
    </row>
    <row r="72" spans="1:30" ht="21" customHeight="1" x14ac:dyDescent="0.35">
      <c r="B72" s="13" t="s">
        <v>124</v>
      </c>
      <c r="C72" s="13"/>
      <c r="D72" s="13"/>
      <c r="E72" s="13"/>
      <c r="F72" s="13"/>
      <c r="H72" s="160" t="s">
        <v>23</v>
      </c>
      <c r="I72" s="125">
        <v>14117224</v>
      </c>
      <c r="J72" s="161" t="s">
        <v>111</v>
      </c>
      <c r="K72" s="162">
        <f>K57</f>
        <v>6.4099999999999997E-4</v>
      </c>
      <c r="L72" s="50">
        <f>ROUND(I72*K72,0)</f>
        <v>9049</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93</v>
      </c>
      <c r="AA74" s="171" t="s">
        <v>129</v>
      </c>
      <c r="AB74" s="172">
        <f>+K75</f>
        <v>360</v>
      </c>
      <c r="AC74" s="55">
        <f>ROUND(AB74*Z74,0)</f>
        <v>33480</v>
      </c>
      <c r="AD74" s="9"/>
    </row>
    <row r="75" spans="1:30" ht="19.5" customHeight="1" x14ac:dyDescent="0.3">
      <c r="A75" s="1" t="s">
        <v>130</v>
      </c>
      <c r="B75" s="173" t="s">
        <v>127</v>
      </c>
      <c r="C75" s="174" t="s">
        <v>128</v>
      </c>
      <c r="D75" s="173">
        <v>93</v>
      </c>
      <c r="E75" s="173">
        <v>0</v>
      </c>
      <c r="F75" s="173">
        <v>0</v>
      </c>
      <c r="G75" s="175">
        <f>IF(E75=0,D75,E75)</f>
        <v>93</v>
      </c>
      <c r="H75" s="176"/>
      <c r="I75" s="177">
        <f>AVERAGE(G75,D75)</f>
        <v>93</v>
      </c>
      <c r="J75" s="178" t="s">
        <v>129</v>
      </c>
      <c r="K75" s="179">
        <v>360</v>
      </c>
      <c r="L75" s="50">
        <f>ROUND(K75*I75,0)</f>
        <v>33480</v>
      </c>
      <c r="N75" s="1">
        <v>7802</v>
      </c>
      <c r="O75" s="1">
        <v>0</v>
      </c>
      <c r="V75" s="358" t="s">
        <v>127</v>
      </c>
      <c r="W75" s="358"/>
      <c r="X75" s="168" t="s">
        <v>131</v>
      </c>
      <c r="Y75" s="180"/>
      <c r="Z75" s="181">
        <f>+I76</f>
        <v>7</v>
      </c>
      <c r="AA75" s="171" t="s">
        <v>129</v>
      </c>
      <c r="AB75" s="182">
        <f>+K76</f>
        <v>1355</v>
      </c>
      <c r="AC75" s="55">
        <f>ROUND(AB75*Z75,0)</f>
        <v>9485</v>
      </c>
      <c r="AD75" s="9"/>
    </row>
    <row r="76" spans="1:30" ht="19.5" customHeight="1" x14ac:dyDescent="0.3">
      <c r="A76" s="1" t="s">
        <v>132</v>
      </c>
      <c r="B76" s="173" t="s">
        <v>127</v>
      </c>
      <c r="C76" s="174" t="s">
        <v>131</v>
      </c>
      <c r="D76" s="173">
        <v>7</v>
      </c>
      <c r="E76" s="173">
        <v>0</v>
      </c>
      <c r="F76" s="173">
        <v>0</v>
      </c>
      <c r="G76" s="175">
        <f>IF(E76=0,D76,E76)</f>
        <v>7</v>
      </c>
      <c r="H76" s="176"/>
      <c r="I76" s="177">
        <f>AVERAGE(G76,D76)</f>
        <v>7</v>
      </c>
      <c r="J76" s="178" t="s">
        <v>129</v>
      </c>
      <c r="K76" s="183">
        <v>1355</v>
      </c>
      <c r="L76" s="50">
        <f>ROUND(K76*I76,0)</f>
        <v>9485</v>
      </c>
      <c r="N76" s="1">
        <v>7802</v>
      </c>
      <c r="O76" s="1">
        <v>110</v>
      </c>
      <c r="V76" s="354" t="s">
        <v>133</v>
      </c>
      <c r="W76" s="354"/>
      <c r="X76" s="354"/>
      <c r="Y76" s="355">
        <f>+I77</f>
        <v>32718286</v>
      </c>
      <c r="Z76" s="355"/>
      <c r="AA76" s="171" t="s">
        <v>129</v>
      </c>
      <c r="AB76" s="159">
        <f>AB54</f>
        <v>5.9500000000000004E-4</v>
      </c>
      <c r="AC76" s="55">
        <f>ROUND(Y76*AB76,0)</f>
        <v>19467</v>
      </c>
      <c r="AD76" s="9"/>
    </row>
    <row r="77" spans="1:30" ht="26.25" customHeight="1" x14ac:dyDescent="0.3">
      <c r="B77" s="13" t="s">
        <v>133</v>
      </c>
      <c r="C77" s="13"/>
      <c r="D77" s="13"/>
      <c r="E77" s="13"/>
      <c r="F77" s="13"/>
      <c r="H77" s="160" t="s">
        <v>134</v>
      </c>
      <c r="I77" s="184">
        <v>32718286</v>
      </c>
      <c r="J77" s="161" t="s">
        <v>111</v>
      </c>
      <c r="K77" s="162">
        <f>K54</f>
        <v>9.0499999999999999E-4</v>
      </c>
      <c r="L77" s="50">
        <f>ROUND(I77*K77,0)</f>
        <v>29610</v>
      </c>
      <c r="O77" s="1"/>
      <c r="V77" s="354" t="str">
        <f>+B78</f>
        <v>15.  Additional Allocation (WFTE share)</v>
      </c>
      <c r="W77" s="354"/>
      <c r="X77" s="354"/>
      <c r="Y77" s="355">
        <f>+I78</f>
        <v>668680</v>
      </c>
      <c r="Z77" s="355"/>
      <c r="AA77" s="171" t="s">
        <v>129</v>
      </c>
      <c r="AB77" s="159">
        <f>AB54</f>
        <v>5.9500000000000004E-4</v>
      </c>
      <c r="AC77" s="55">
        <f>ROUND(Y77*AB77,0)</f>
        <v>398</v>
      </c>
      <c r="AD77" s="9"/>
    </row>
    <row r="78" spans="1:30" ht="26.25" customHeight="1" x14ac:dyDescent="0.3">
      <c r="B78" s="353" t="s">
        <v>135</v>
      </c>
      <c r="C78" s="353"/>
      <c r="D78" s="353"/>
      <c r="E78" s="13"/>
      <c r="F78" s="13"/>
      <c r="H78" s="160" t="s">
        <v>136</v>
      </c>
      <c r="I78" s="185">
        <v>668680</v>
      </c>
      <c r="J78" s="161" t="s">
        <v>111</v>
      </c>
      <c r="K78" s="162">
        <f>K54</f>
        <v>9.0499999999999999E-4</v>
      </c>
      <c r="L78" s="50">
        <f>ROUND(I78*K78,0)</f>
        <v>605</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706494</v>
      </c>
      <c r="AD81" s="195"/>
    </row>
    <row r="82" spans="1:30" ht="22.5" customHeight="1" thickTop="1" thickBot="1" x14ac:dyDescent="0.35">
      <c r="B82" s="13" t="s">
        <v>141</v>
      </c>
      <c r="C82" s="13"/>
      <c r="D82" s="13"/>
      <c r="E82" s="13"/>
      <c r="F82" s="13"/>
      <c r="G82" s="13"/>
      <c r="H82" s="13"/>
      <c r="I82" s="13"/>
      <c r="J82" s="13"/>
      <c r="K82" s="13"/>
      <c r="L82" s="196">
        <f>SUM(L44:L81)</f>
        <v>1587395</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'2521'!AC81</f>
        <v>706494</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706494</v>
      </c>
      <c r="L86" s="82">
        <f>IF(G26=0,0,IF(G26&gt;250,-(((250/G26)*K86)*IF(M86="H",0.02,0.05)),IF(M86="H",-0.02*K86,-0.05*K86)))</f>
        <v>-35324.700000000004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1552070.3</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788504</v>
      </c>
      <c r="G89" s="13"/>
      <c r="H89" s="13"/>
      <c r="I89" s="13"/>
      <c r="J89" s="13"/>
      <c r="K89" s="206"/>
      <c r="L89" s="82">
        <v>-1042707</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509363.30000000005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127340.82500000001</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225</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226</v>
      </c>
      <c r="C123" s="219" t="s">
        <v>200</v>
      </c>
    </row>
    <row r="124" spans="2:3" ht="15.5" hidden="1" x14ac:dyDescent="0.35">
      <c r="B124" s="223" t="s">
        <v>227</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41646.469004629602</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51"/>
  <sheetViews>
    <sheetView topLeftCell="B80" zoomScale="90" zoomScaleNormal="90" workbookViewId="0">
      <selection activeCell="L90" sqref="L90"/>
    </sheetView>
  </sheetViews>
  <sheetFormatPr defaultColWidth="8.90625" defaultRowHeight="15" x14ac:dyDescent="0.3"/>
  <cols>
    <col min="1" max="1" width="11.36328125" style="1" hidden="1" customWidth="1"/>
    <col min="2" max="2" width="10.36328125" style="2" customWidth="1"/>
    <col min="3" max="3" width="29" style="1" customWidth="1"/>
    <col min="4" max="5" width="12.36328125" style="1" customWidth="1"/>
    <col min="6" max="6" width="12.36328125" style="1" hidden="1" customWidth="1"/>
    <col min="7" max="7" width="15.36328125" style="1" customWidth="1"/>
    <col min="8" max="8" width="6.6328125" style="1" customWidth="1"/>
    <col min="9" max="9" width="12.54296875" style="1" customWidth="1"/>
    <col min="10" max="10" width="12.90625" style="1" customWidth="1"/>
    <col min="11" max="11" width="13" style="1" customWidth="1"/>
    <col min="12" max="12" width="21.453125" style="1" customWidth="1"/>
    <col min="13" max="13" width="12.54296875" style="1" customWidth="1"/>
    <col min="14" max="14" width="10.54296875" style="1" hidden="1" customWidth="1"/>
    <col min="15" max="15" width="10.54296875" style="3" hidden="1" customWidth="1"/>
    <col min="16" max="16" width="35" style="1" hidden="1" customWidth="1"/>
    <col min="17" max="17" width="7.36328125" style="1" customWidth="1"/>
    <col min="18" max="18" width="8.90625" style="1"/>
    <col min="19" max="21" width="0" style="1" hidden="1" customWidth="1"/>
    <col min="22" max="23" width="8.90625" style="1"/>
    <col min="24" max="24" width="12.6328125" style="1" customWidth="1"/>
    <col min="25" max="27" width="8.90625" style="1"/>
    <col min="28" max="28" width="13.08984375" style="1" bestFit="1" customWidth="1"/>
    <col min="29" max="29" width="15.90625" style="1" bestFit="1" customWidth="1"/>
    <col min="30" max="16384" width="8.90625" style="1"/>
  </cols>
  <sheetData>
    <row r="1" spans="1:30" ht="23" hidden="1" customHeight="1" thickBot="1" x14ac:dyDescent="0.35">
      <c r="A1" s="1" t="s">
        <v>0</v>
      </c>
      <c r="D1" s="1" t="s">
        <v>1</v>
      </c>
      <c r="E1" s="1" t="s">
        <v>2</v>
      </c>
      <c r="F1" s="1" t="s">
        <v>3</v>
      </c>
    </row>
    <row r="2" spans="1:30" ht="15.5" thickBot="1" x14ac:dyDescent="0.35">
      <c r="B2" s="4">
        <v>50</v>
      </c>
      <c r="C2" s="5" t="s">
        <v>4</v>
      </c>
      <c r="D2" s="6"/>
      <c r="E2" s="6"/>
      <c r="F2" s="6"/>
      <c r="G2" s="6"/>
      <c r="H2" s="7"/>
      <c r="I2" s="7"/>
      <c r="J2" s="7"/>
      <c r="K2" s="7"/>
      <c r="L2" s="7"/>
      <c r="N2" s="3"/>
      <c r="O2" s="1"/>
      <c r="V2" s="8">
        <f>'2531'!B2</f>
        <v>50</v>
      </c>
      <c r="W2" s="413" t="s">
        <v>4</v>
      </c>
      <c r="X2" s="414"/>
      <c r="Y2" s="415"/>
      <c r="Z2" s="415"/>
      <c r="AA2" s="415"/>
      <c r="AB2" s="415"/>
      <c r="AC2" s="415"/>
      <c r="AD2" s="9"/>
    </row>
    <row r="3" spans="1:30" ht="20" x14ac:dyDescent="0.4">
      <c r="B3" s="10" t="str">
        <f>"Revenue Estimate Worksheet for "&amp;B124</f>
        <v>Revenue Estimate Worksheet for Potentials Charter School</v>
      </c>
      <c r="C3" s="11"/>
      <c r="D3" s="11"/>
      <c r="E3" s="11"/>
      <c r="F3" s="11"/>
      <c r="G3" s="11"/>
      <c r="H3" s="11"/>
      <c r="I3" s="11"/>
      <c r="J3" s="11"/>
      <c r="K3" s="11"/>
      <c r="L3" s="11"/>
      <c r="M3" s="10"/>
      <c r="N3" s="10"/>
      <c r="O3" s="10"/>
      <c r="P3" s="10"/>
      <c r="Q3" s="10"/>
      <c r="V3" s="416" t="s">
        <v>5</v>
      </c>
      <c r="W3" s="416"/>
      <c r="X3" s="416"/>
      <c r="Y3" s="416"/>
      <c r="Z3" s="416"/>
      <c r="AA3" s="416"/>
      <c r="AB3" s="416"/>
      <c r="AC3" s="416"/>
      <c r="AD3" s="12"/>
    </row>
    <row r="4" spans="1:30" ht="17.5" x14ac:dyDescent="0.35">
      <c r="B4" s="2" t="s">
        <v>6</v>
      </c>
      <c r="C4" s="13"/>
      <c r="D4" s="13"/>
      <c r="E4" s="13"/>
      <c r="F4" s="13"/>
      <c r="G4" s="13"/>
      <c r="H4" s="13"/>
      <c r="I4" s="13"/>
      <c r="J4" s="13"/>
      <c r="K4" s="13"/>
      <c r="L4" s="13"/>
      <c r="M4" s="14"/>
      <c r="N4" s="14"/>
      <c r="O4" s="14"/>
      <c r="P4" s="14"/>
      <c r="Q4" s="14"/>
      <c r="V4" s="417" t="str">
        <f>+Based_on_the_Second_Calculation_of_the_FEFP_2010_11</f>
        <v>Based on the Third Calculation of the FEFP 2013-14</v>
      </c>
      <c r="W4" s="417"/>
      <c r="X4" s="417"/>
      <c r="Y4" s="417"/>
      <c r="Z4" s="417"/>
      <c r="AA4" s="417"/>
      <c r="AB4" s="417"/>
      <c r="AC4" s="417"/>
      <c r="AD4" s="15"/>
    </row>
    <row r="5" spans="1:30" ht="18.75" customHeight="1" x14ac:dyDescent="0.3">
      <c r="B5" s="16" t="s">
        <v>7</v>
      </c>
      <c r="C5" s="16"/>
      <c r="D5" s="16"/>
      <c r="E5" s="16"/>
      <c r="F5" s="16"/>
      <c r="G5" s="17" t="s">
        <v>8</v>
      </c>
      <c r="H5" s="17"/>
      <c r="I5" s="17"/>
      <c r="J5" s="17"/>
      <c r="K5" s="17"/>
      <c r="L5" s="17"/>
      <c r="M5" s="18"/>
      <c r="N5" s="18"/>
      <c r="O5" s="18"/>
      <c r="P5" s="18"/>
      <c r="Q5" s="18"/>
      <c r="V5" s="418" t="s">
        <v>7</v>
      </c>
      <c r="W5" s="418"/>
      <c r="X5" s="419" t="s">
        <v>8</v>
      </c>
      <c r="Y5" s="419"/>
      <c r="Z5" s="19"/>
      <c r="AA5" s="19"/>
      <c r="AB5" s="19"/>
      <c r="AC5" s="19"/>
      <c r="AD5" s="20"/>
    </row>
    <row r="6" spans="1:30" ht="21" customHeight="1" x14ac:dyDescent="0.3">
      <c r="B6" s="16" t="s">
        <v>9</v>
      </c>
      <c r="C6" s="16"/>
      <c r="D6" s="16"/>
      <c r="E6" s="16"/>
      <c r="F6" s="16"/>
      <c r="G6" s="16"/>
      <c r="H6" s="16"/>
      <c r="I6" s="16"/>
      <c r="J6" s="16"/>
      <c r="K6" s="16"/>
      <c r="L6" s="16"/>
      <c r="M6" s="21"/>
      <c r="N6" s="21"/>
      <c r="O6" s="18"/>
      <c r="P6" s="18"/>
      <c r="Q6" s="18"/>
      <c r="V6" s="420" t="s">
        <v>9</v>
      </c>
      <c r="W6" s="420"/>
      <c r="X6" s="420"/>
      <c r="Y6" s="420"/>
      <c r="Z6" s="420"/>
      <c r="AA6" s="420"/>
      <c r="AB6" s="420"/>
      <c r="AC6" s="420"/>
      <c r="AD6" s="22"/>
    </row>
    <row r="7" spans="1:30" ht="18" customHeight="1" x14ac:dyDescent="0.35">
      <c r="B7" s="23" t="s">
        <v>10</v>
      </c>
      <c r="C7" s="23"/>
      <c r="D7" s="23"/>
      <c r="E7" s="23"/>
      <c r="F7" s="23"/>
      <c r="G7" s="24">
        <v>3752.3</v>
      </c>
      <c r="H7" s="24"/>
      <c r="I7" s="23" t="s">
        <v>11</v>
      </c>
      <c r="J7" s="23"/>
      <c r="K7" s="25">
        <v>1.0326</v>
      </c>
      <c r="L7" s="25"/>
      <c r="O7" s="1"/>
      <c r="V7" s="406" t="s">
        <v>10</v>
      </c>
      <c r="W7" s="406"/>
      <c r="X7" s="407">
        <f>'2531'!G7</f>
        <v>3752.3</v>
      </c>
      <c r="Y7" s="407"/>
      <c r="Z7" s="408" t="s">
        <v>11</v>
      </c>
      <c r="AA7" s="408"/>
      <c r="AB7" s="409">
        <f>+K7</f>
        <v>1.0326</v>
      </c>
      <c r="AC7" s="409"/>
      <c r="AD7" s="9"/>
    </row>
    <row r="8" spans="1:30" ht="51" customHeight="1" x14ac:dyDescent="0.3">
      <c r="B8" s="26" t="s">
        <v>12</v>
      </c>
      <c r="C8" s="26"/>
      <c r="D8" s="27" t="s">
        <v>13</v>
      </c>
      <c r="E8" s="27" t="s">
        <v>14</v>
      </c>
      <c r="F8" s="27"/>
      <c r="G8" s="28" t="s">
        <v>15</v>
      </c>
      <c r="H8" s="29"/>
      <c r="I8" s="30" t="s">
        <v>16</v>
      </c>
      <c r="J8" s="31"/>
      <c r="K8" s="32" t="s">
        <v>17</v>
      </c>
      <c r="L8" s="33" t="s">
        <v>18</v>
      </c>
      <c r="N8" s="1" t="s">
        <v>19</v>
      </c>
      <c r="O8" s="1" t="s">
        <v>20</v>
      </c>
      <c r="V8" s="410" t="s">
        <v>12</v>
      </c>
      <c r="W8" s="410"/>
      <c r="X8" s="411" t="s">
        <v>15</v>
      </c>
      <c r="Y8" s="411"/>
      <c r="Z8" s="412" t="s">
        <v>16</v>
      </c>
      <c r="AA8" s="412"/>
      <c r="AB8" s="34" t="s">
        <v>17</v>
      </c>
      <c r="AC8" s="35" t="s">
        <v>21</v>
      </c>
      <c r="AD8" s="9"/>
    </row>
    <row r="9" spans="1:30" ht="14.25" customHeight="1" x14ac:dyDescent="0.3">
      <c r="B9" s="36" t="s">
        <v>22</v>
      </c>
      <c r="C9" s="36"/>
      <c r="D9" s="36"/>
      <c r="E9" s="36"/>
      <c r="F9" s="36"/>
      <c r="G9" s="37" t="s">
        <v>23</v>
      </c>
      <c r="H9" s="38"/>
      <c r="I9" s="39" t="s">
        <v>24</v>
      </c>
      <c r="J9" s="40"/>
      <c r="K9" s="41" t="s">
        <v>25</v>
      </c>
      <c r="L9" s="42" t="s">
        <v>26</v>
      </c>
      <c r="O9" s="1"/>
      <c r="V9" s="401" t="s">
        <v>22</v>
      </c>
      <c r="W9" s="401"/>
      <c r="X9" s="402" t="s">
        <v>23</v>
      </c>
      <c r="Y9" s="402"/>
      <c r="Z9" s="403" t="s">
        <v>24</v>
      </c>
      <c r="AA9" s="403"/>
      <c r="AB9" s="43" t="s">
        <v>25</v>
      </c>
      <c r="AC9" s="44" t="s">
        <v>26</v>
      </c>
      <c r="AD9" s="9"/>
    </row>
    <row r="10" spans="1:30" x14ac:dyDescent="0.3">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4" t="s">
        <v>28</v>
      </c>
      <c r="W10" s="404"/>
      <c r="X10" s="396">
        <f>IF('2531'!K$84=1,'2531'!G10,0)</f>
        <v>0</v>
      </c>
      <c r="Y10" s="396"/>
      <c r="Z10" s="405">
        <v>1</v>
      </c>
      <c r="AA10" s="405"/>
      <c r="AB10" s="54">
        <f t="shared" ref="AB10:AB25" si="0">ROUND(X10*Z10,4)</f>
        <v>0</v>
      </c>
      <c r="AC10" s="55">
        <f t="shared" ref="AC10:AC25" si="1">ROUND(ROUND(AB10*$X$7,4)*($AB$7),0)</f>
        <v>0</v>
      </c>
      <c r="AD10" s="9">
        <v>1</v>
      </c>
    </row>
    <row r="11" spans="1:30" x14ac:dyDescent="0.3">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7" t="s">
        <v>30</v>
      </c>
      <c r="W11" s="357"/>
      <c r="X11" s="396">
        <f>IF('2531'!K$84=1,'2531'!G11,0)</f>
        <v>0</v>
      </c>
      <c r="Y11" s="396"/>
      <c r="Z11" s="397">
        <v>1</v>
      </c>
      <c r="AA11" s="397"/>
      <c r="AB11" s="54">
        <f t="shared" si="0"/>
        <v>0</v>
      </c>
      <c r="AC11" s="55">
        <f t="shared" si="1"/>
        <v>0</v>
      </c>
      <c r="AD11" s="9"/>
    </row>
    <row r="12" spans="1:30" x14ac:dyDescent="0.3">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7" t="s">
        <v>33</v>
      </c>
      <c r="W12" s="357"/>
      <c r="X12" s="396">
        <f>IF('2531'!K$84=1,'2531'!G12,0)</f>
        <v>0</v>
      </c>
      <c r="Y12" s="396"/>
      <c r="Z12" s="397">
        <v>1</v>
      </c>
      <c r="AA12" s="397"/>
      <c r="AB12" s="54">
        <f t="shared" si="0"/>
        <v>0</v>
      </c>
      <c r="AC12" s="55">
        <f t="shared" si="1"/>
        <v>0</v>
      </c>
      <c r="AD12" s="9"/>
    </row>
    <row r="13" spans="1:30" x14ac:dyDescent="0.3">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7" t="s">
        <v>35</v>
      </c>
      <c r="W13" s="357"/>
      <c r="X13" s="396">
        <f>IF('2531'!K$84=1,'2531'!G13,0)</f>
        <v>0</v>
      </c>
      <c r="Y13" s="396"/>
      <c r="Z13" s="397">
        <v>1</v>
      </c>
      <c r="AA13" s="397"/>
      <c r="AB13" s="54">
        <f t="shared" si="0"/>
        <v>0</v>
      </c>
      <c r="AC13" s="55">
        <f t="shared" si="1"/>
        <v>0</v>
      </c>
      <c r="AD13" s="9"/>
    </row>
    <row r="14" spans="1:30" x14ac:dyDescent="0.3">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7" t="s">
        <v>38</v>
      </c>
      <c r="W14" s="357"/>
      <c r="X14" s="396">
        <f>IF('2531'!K$84=1,'2531'!G14,0)</f>
        <v>0</v>
      </c>
      <c r="Y14" s="396"/>
      <c r="Z14" s="397">
        <v>1</v>
      </c>
      <c r="AA14" s="397"/>
      <c r="AB14" s="54">
        <f t="shared" si="0"/>
        <v>0</v>
      </c>
      <c r="AC14" s="55">
        <f t="shared" si="1"/>
        <v>0</v>
      </c>
      <c r="AD14" s="9"/>
    </row>
    <row r="15" spans="1:30" x14ac:dyDescent="0.3">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7" t="s">
        <v>40</v>
      </c>
      <c r="W15" s="357"/>
      <c r="X15" s="396">
        <f>IF('2531'!K$84=1,'2531'!G15,0)</f>
        <v>0</v>
      </c>
      <c r="Y15" s="396"/>
      <c r="Z15" s="397">
        <v>1</v>
      </c>
      <c r="AA15" s="397"/>
      <c r="AB15" s="54">
        <f t="shared" si="0"/>
        <v>0</v>
      </c>
      <c r="AC15" s="59">
        <f t="shared" si="1"/>
        <v>0</v>
      </c>
      <c r="AD15" s="9"/>
    </row>
    <row r="16" spans="1:30" ht="15.5" x14ac:dyDescent="0.35">
      <c r="A16" s="1" t="s">
        <v>42</v>
      </c>
      <c r="B16" s="13" t="s">
        <v>43</v>
      </c>
      <c r="C16" s="13"/>
      <c r="D16" s="13">
        <v>2</v>
      </c>
      <c r="E16" s="13">
        <v>0</v>
      </c>
      <c r="F16" s="13">
        <v>2.75</v>
      </c>
      <c r="G16" s="46">
        <f t="shared" si="2"/>
        <v>4</v>
      </c>
      <c r="H16" s="47"/>
      <c r="I16" s="56">
        <v>3.5579999999999998</v>
      </c>
      <c r="J16" s="56"/>
      <c r="K16" s="49">
        <f t="shared" si="3"/>
        <v>14.231999999999999</v>
      </c>
      <c r="L16" s="50">
        <f t="shared" si="4"/>
        <v>55144</v>
      </c>
      <c r="N16" s="51">
        <v>5101</v>
      </c>
      <c r="O16" s="1">
        <v>254</v>
      </c>
      <c r="Q16" s="53"/>
      <c r="V16" s="357" t="s">
        <v>43</v>
      </c>
      <c r="W16" s="357"/>
      <c r="X16" s="396">
        <f>IF('2531'!K$84=1,'2531'!G16,0)</f>
        <v>4</v>
      </c>
      <c r="Y16" s="396"/>
      <c r="Z16" s="397">
        <v>1</v>
      </c>
      <c r="AA16" s="397"/>
      <c r="AB16" s="54">
        <f t="shared" si="0"/>
        <v>4</v>
      </c>
      <c r="AC16" s="55">
        <f t="shared" si="1"/>
        <v>15498</v>
      </c>
      <c r="AD16" s="9"/>
    </row>
    <row r="17" spans="1:30" ht="15.5" x14ac:dyDescent="0.35">
      <c r="A17" s="1" t="s">
        <v>44</v>
      </c>
      <c r="B17" s="13" t="s">
        <v>45</v>
      </c>
      <c r="C17" s="13"/>
      <c r="D17" s="13">
        <v>0</v>
      </c>
      <c r="E17" s="13">
        <v>0</v>
      </c>
      <c r="F17" s="13">
        <v>2.75</v>
      </c>
      <c r="G17" s="46">
        <f t="shared" si="2"/>
        <v>0</v>
      </c>
      <c r="H17" s="47"/>
      <c r="I17" s="56">
        <f>I16</f>
        <v>3.5579999999999998</v>
      </c>
      <c r="J17" s="56"/>
      <c r="K17" s="49">
        <f t="shared" si="3"/>
        <v>0</v>
      </c>
      <c r="L17" s="50">
        <f t="shared" si="4"/>
        <v>0</v>
      </c>
      <c r="N17" s="51">
        <v>5102</v>
      </c>
      <c r="O17" s="53">
        <v>254</v>
      </c>
      <c r="Q17" s="53"/>
      <c r="V17" s="357" t="s">
        <v>45</v>
      </c>
      <c r="W17" s="357"/>
      <c r="X17" s="396">
        <f>IF('2531'!K$84=1,'2531'!G17,0)</f>
        <v>0</v>
      </c>
      <c r="Y17" s="396"/>
      <c r="Z17" s="397">
        <v>1</v>
      </c>
      <c r="AA17" s="397"/>
      <c r="AB17" s="54">
        <f t="shared" si="0"/>
        <v>0</v>
      </c>
      <c r="AC17" s="55">
        <f t="shared" si="1"/>
        <v>0</v>
      </c>
      <c r="AD17" s="9"/>
    </row>
    <row r="18" spans="1:30" ht="15.5" x14ac:dyDescent="0.3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7" t="s">
        <v>47</v>
      </c>
      <c r="W18" s="357"/>
      <c r="X18" s="396">
        <f>IF('2531'!K$84=1,'2531'!G18,0)</f>
        <v>0</v>
      </c>
      <c r="Y18" s="396"/>
      <c r="Z18" s="397">
        <v>1</v>
      </c>
      <c r="AA18" s="397"/>
      <c r="AB18" s="54">
        <f t="shared" si="0"/>
        <v>0</v>
      </c>
      <c r="AC18" s="55">
        <f t="shared" si="1"/>
        <v>0</v>
      </c>
      <c r="AD18" s="9"/>
    </row>
    <row r="19" spans="1:30" ht="15" customHeight="1" x14ac:dyDescent="0.35">
      <c r="A19" s="1" t="s">
        <v>48</v>
      </c>
      <c r="B19" s="13" t="s">
        <v>49</v>
      </c>
      <c r="C19" s="13"/>
      <c r="D19" s="13">
        <v>8</v>
      </c>
      <c r="E19" s="13">
        <v>0</v>
      </c>
      <c r="F19" s="13">
        <v>13.05</v>
      </c>
      <c r="G19" s="46">
        <f t="shared" si="2"/>
        <v>16</v>
      </c>
      <c r="H19" s="47"/>
      <c r="I19" s="56">
        <v>5.0890000000000004</v>
      </c>
      <c r="J19" s="56"/>
      <c r="K19" s="49">
        <f t="shared" si="3"/>
        <v>81.424000000000007</v>
      </c>
      <c r="L19" s="50">
        <f t="shared" si="4"/>
        <v>315487</v>
      </c>
      <c r="N19" s="51">
        <v>5101</v>
      </c>
      <c r="O19" s="1">
        <v>255</v>
      </c>
      <c r="Q19" s="53"/>
      <c r="V19" s="357" t="s">
        <v>49</v>
      </c>
      <c r="W19" s="357"/>
      <c r="X19" s="396">
        <f>IF('2531'!K$84=1,'2531'!G19,0)</f>
        <v>16</v>
      </c>
      <c r="Y19" s="396"/>
      <c r="Z19" s="397">
        <v>1</v>
      </c>
      <c r="AA19" s="397"/>
      <c r="AB19" s="54">
        <f t="shared" si="0"/>
        <v>16</v>
      </c>
      <c r="AC19" s="55">
        <f t="shared" si="1"/>
        <v>61994</v>
      </c>
      <c r="AD19" s="9"/>
    </row>
    <row r="20" spans="1:30" ht="15" customHeight="1" x14ac:dyDescent="0.35">
      <c r="A20" s="1" t="s">
        <v>50</v>
      </c>
      <c r="B20" s="13" t="s">
        <v>51</v>
      </c>
      <c r="C20" s="13"/>
      <c r="D20" s="13">
        <v>2.5</v>
      </c>
      <c r="E20" s="13">
        <v>0</v>
      </c>
      <c r="F20" s="13">
        <v>13.05</v>
      </c>
      <c r="G20" s="46">
        <f t="shared" si="2"/>
        <v>5</v>
      </c>
      <c r="H20" s="47"/>
      <c r="I20" s="56">
        <f>I19</f>
        <v>5.0890000000000004</v>
      </c>
      <c r="J20" s="56"/>
      <c r="K20" s="49">
        <f t="shared" si="3"/>
        <v>25.445</v>
      </c>
      <c r="L20" s="50">
        <f t="shared" si="4"/>
        <v>98590</v>
      </c>
      <c r="N20" s="51">
        <v>5102</v>
      </c>
      <c r="O20" s="53">
        <v>255</v>
      </c>
      <c r="Q20" s="53"/>
      <c r="V20" s="357" t="s">
        <v>51</v>
      </c>
      <c r="W20" s="357"/>
      <c r="X20" s="396">
        <f>IF('2531'!K$84=1,'2531'!G20,0)</f>
        <v>5</v>
      </c>
      <c r="Y20" s="396"/>
      <c r="Z20" s="397">
        <v>1</v>
      </c>
      <c r="AA20" s="397"/>
      <c r="AB20" s="54">
        <f t="shared" si="0"/>
        <v>5</v>
      </c>
      <c r="AC20" s="55">
        <f t="shared" si="1"/>
        <v>19373</v>
      </c>
      <c r="AD20" s="9"/>
    </row>
    <row r="21" spans="1:30" ht="15" customHeight="1" x14ac:dyDescent="0.3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7" t="s">
        <v>53</v>
      </c>
      <c r="W21" s="357"/>
      <c r="X21" s="396">
        <f>IF('2531'!K$84=1,'2531'!G21,0)</f>
        <v>0</v>
      </c>
      <c r="Y21" s="396"/>
      <c r="Z21" s="397">
        <v>1</v>
      </c>
      <c r="AA21" s="397"/>
      <c r="AB21" s="54">
        <f t="shared" si="0"/>
        <v>0</v>
      </c>
      <c r="AC21" s="55">
        <f t="shared" si="1"/>
        <v>0</v>
      </c>
      <c r="AD21" s="9"/>
    </row>
    <row r="22" spans="1:30" ht="15.5" x14ac:dyDescent="0.3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7" t="s">
        <v>55</v>
      </c>
      <c r="W22" s="357"/>
      <c r="X22" s="396">
        <f>IF('2531'!K$84=1,'2531'!G22,0)</f>
        <v>0</v>
      </c>
      <c r="Y22" s="396"/>
      <c r="Z22" s="397">
        <v>1</v>
      </c>
      <c r="AA22" s="397"/>
      <c r="AB22" s="54">
        <f t="shared" si="0"/>
        <v>0</v>
      </c>
      <c r="AC22" s="55">
        <f t="shared" si="1"/>
        <v>0</v>
      </c>
      <c r="AD22" s="9"/>
    </row>
    <row r="23" spans="1:30" ht="15.5" x14ac:dyDescent="0.3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7" t="s">
        <v>57</v>
      </c>
      <c r="W23" s="357"/>
      <c r="X23" s="396">
        <f>IF('2531'!K$84=1,'2531'!G23,0)</f>
        <v>0</v>
      </c>
      <c r="Y23" s="396"/>
      <c r="Z23" s="397">
        <v>1</v>
      </c>
      <c r="AA23" s="397"/>
      <c r="AB23" s="54">
        <f t="shared" si="0"/>
        <v>0</v>
      </c>
      <c r="AC23" s="55">
        <f t="shared" si="1"/>
        <v>0</v>
      </c>
      <c r="AD23" s="9"/>
    </row>
    <row r="24" spans="1:30" ht="15.5" x14ac:dyDescent="0.3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7" t="s">
        <v>59</v>
      </c>
      <c r="W24" s="357"/>
      <c r="X24" s="396">
        <f>IF('2531'!K$84=1,'2531'!G24,0)</f>
        <v>0</v>
      </c>
      <c r="Y24" s="396"/>
      <c r="Z24" s="397">
        <v>1</v>
      </c>
      <c r="AA24" s="397"/>
      <c r="AB24" s="54">
        <f t="shared" si="0"/>
        <v>0</v>
      </c>
      <c r="AC24" s="55">
        <f t="shared" si="1"/>
        <v>0</v>
      </c>
      <c r="AD24" s="9"/>
    </row>
    <row r="25" spans="1:30" ht="16" thickBot="1" x14ac:dyDescent="0.4">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7" t="s">
        <v>61</v>
      </c>
      <c r="W25" s="357"/>
      <c r="X25" s="396">
        <f>IF('2531'!K$84=1,'2531'!G25,0)</f>
        <v>0</v>
      </c>
      <c r="Y25" s="396"/>
      <c r="Z25" s="397">
        <v>1</v>
      </c>
      <c r="AA25" s="397"/>
      <c r="AB25" s="54">
        <f t="shared" si="0"/>
        <v>0</v>
      </c>
      <c r="AC25" s="55">
        <f t="shared" si="1"/>
        <v>0</v>
      </c>
      <c r="AD25" s="9"/>
    </row>
    <row r="26" spans="1:30" ht="20.25" customHeight="1" thickBot="1" x14ac:dyDescent="0.35">
      <c r="B26" s="61" t="s">
        <v>62</v>
      </c>
      <c r="C26" s="61"/>
      <c r="D26" s="62">
        <f t="shared" ref="D26:E26" si="5">SUM(D10:D25)</f>
        <v>12.5</v>
      </c>
      <c r="E26" s="62">
        <f t="shared" si="5"/>
        <v>0</v>
      </c>
      <c r="F26" s="62"/>
      <c r="G26" s="62">
        <f>SUM(G10:G25)</f>
        <v>25</v>
      </c>
      <c r="H26" s="63"/>
      <c r="I26" s="63"/>
      <c r="J26" s="64"/>
      <c r="K26" s="65">
        <f>SUM(K10:K25)</f>
        <v>121.101</v>
      </c>
      <c r="L26" s="66">
        <f>SUM(L10:L25)</f>
        <v>469221</v>
      </c>
      <c r="N26" s="53"/>
      <c r="O26" s="67"/>
      <c r="P26" s="53"/>
      <c r="Q26" s="53"/>
      <c r="V26" s="398" t="s">
        <v>62</v>
      </c>
      <c r="W26" s="398"/>
      <c r="X26" s="387">
        <f>SUM(X10:X25)</f>
        <v>25</v>
      </c>
      <c r="Y26" s="387"/>
      <c r="Z26" s="399"/>
      <c r="AA26" s="400"/>
      <c r="AB26" s="68">
        <f>SUM(AB10:AB25)</f>
        <v>25</v>
      </c>
      <c r="AC26" s="69">
        <f>SUM(AC10:AC25)</f>
        <v>96865</v>
      </c>
      <c r="AD26" s="9"/>
    </row>
    <row r="27" spans="1:30" ht="51.75" customHeight="1" x14ac:dyDescent="0.3">
      <c r="B27" s="61" t="s">
        <v>63</v>
      </c>
      <c r="C27" s="61"/>
      <c r="D27" s="70" t="s">
        <v>13</v>
      </c>
      <c r="E27" s="70" t="s">
        <v>14</v>
      </c>
      <c r="F27" s="27"/>
      <c r="G27" s="71" t="s">
        <v>64</v>
      </c>
      <c r="H27" s="72"/>
      <c r="I27" s="73" t="s">
        <v>65</v>
      </c>
      <c r="J27" s="73" t="s">
        <v>66</v>
      </c>
      <c r="K27" s="74" t="s">
        <v>67</v>
      </c>
      <c r="N27" s="53"/>
      <c r="O27" s="67"/>
      <c r="P27" s="53"/>
      <c r="Q27" s="53"/>
      <c r="V27" s="368" t="s">
        <v>63</v>
      </c>
      <c r="W27" s="368"/>
      <c r="X27" s="388" t="s">
        <v>64</v>
      </c>
      <c r="Y27" s="388"/>
      <c r="Z27" s="75" t="s">
        <v>65</v>
      </c>
      <c r="AA27" s="76" t="s">
        <v>66</v>
      </c>
      <c r="AB27" s="77" t="s">
        <v>67</v>
      </c>
      <c r="AC27" s="9"/>
      <c r="AD27" s="9"/>
    </row>
    <row r="28" spans="1:30" ht="15.75" customHeight="1" x14ac:dyDescent="0.35">
      <c r="A28" s="1" t="s">
        <v>68</v>
      </c>
      <c r="B28" s="389" t="s">
        <v>69</v>
      </c>
      <c r="C28" s="390"/>
      <c r="D28" s="13">
        <v>0</v>
      </c>
      <c r="E28" s="13">
        <v>0</v>
      </c>
      <c r="F28" s="78">
        <v>0</v>
      </c>
      <c r="G28" s="46">
        <f>IF(E28=0,D28*2,D28+E28)</f>
        <v>0</v>
      </c>
      <c r="H28" s="79"/>
      <c r="I28" s="80" t="s">
        <v>70</v>
      </c>
      <c r="J28" s="51">
        <v>251</v>
      </c>
      <c r="K28" s="81">
        <v>1047</v>
      </c>
      <c r="L28" s="82">
        <f>ROUND(G28*K28,0)</f>
        <v>0</v>
      </c>
      <c r="N28" s="2">
        <v>5101</v>
      </c>
      <c r="O28" s="53">
        <v>251</v>
      </c>
      <c r="P28" s="83"/>
      <c r="Q28" s="84"/>
      <c r="V28" s="395" t="s">
        <v>69</v>
      </c>
      <c r="W28" s="395"/>
      <c r="X28" s="384"/>
      <c r="Y28" s="384"/>
      <c r="Z28" s="85" t="s">
        <v>70</v>
      </c>
      <c r="AA28" s="86">
        <v>251</v>
      </c>
      <c r="AB28" s="87">
        <f>+K28</f>
        <v>1047</v>
      </c>
      <c r="AC28" s="88">
        <f t="shared" ref="AC28:AC36" si="6">ROUND(X28*AB28,0)</f>
        <v>0</v>
      </c>
      <c r="AD28" s="9"/>
    </row>
    <row r="29" spans="1:30" ht="15.5" x14ac:dyDescent="0.35">
      <c r="A29" s="1" t="s">
        <v>71</v>
      </c>
      <c r="B29" s="391"/>
      <c r="C29" s="392"/>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5"/>
      <c r="W29" s="395"/>
      <c r="X29" s="384"/>
      <c r="Y29" s="384"/>
      <c r="Z29" s="86" t="s">
        <v>70</v>
      </c>
      <c r="AA29" s="86">
        <v>252</v>
      </c>
      <c r="AB29" s="87">
        <f t="shared" ref="AB29:AB36" si="9">+K29</f>
        <v>3380</v>
      </c>
      <c r="AC29" s="88">
        <f t="shared" si="6"/>
        <v>0</v>
      </c>
      <c r="AD29" s="9"/>
    </row>
    <row r="30" spans="1:30" ht="15.5" x14ac:dyDescent="0.3">
      <c r="A30" s="1" t="s">
        <v>72</v>
      </c>
      <c r="B30" s="391"/>
      <c r="C30" s="392"/>
      <c r="D30" s="13">
        <v>0</v>
      </c>
      <c r="E30" s="13">
        <v>0</v>
      </c>
      <c r="F30" s="89">
        <v>0</v>
      </c>
      <c r="G30" s="46">
        <f t="shared" si="7"/>
        <v>0</v>
      </c>
      <c r="H30" s="79"/>
      <c r="I30" s="51" t="s">
        <v>70</v>
      </c>
      <c r="J30" s="51">
        <v>253</v>
      </c>
      <c r="K30" s="81">
        <v>6896</v>
      </c>
      <c r="L30" s="82">
        <f t="shared" si="8"/>
        <v>0</v>
      </c>
      <c r="N30" s="2">
        <v>5101</v>
      </c>
      <c r="O30" s="53">
        <v>253</v>
      </c>
      <c r="P30" s="83"/>
      <c r="Q30" s="67"/>
      <c r="V30" s="395"/>
      <c r="W30" s="395"/>
      <c r="X30" s="384"/>
      <c r="Y30" s="384"/>
      <c r="Z30" s="86" t="s">
        <v>70</v>
      </c>
      <c r="AA30" s="86">
        <v>253</v>
      </c>
      <c r="AB30" s="87">
        <f t="shared" si="9"/>
        <v>6896</v>
      </c>
      <c r="AC30" s="88">
        <f t="shared" si="6"/>
        <v>0</v>
      </c>
      <c r="AD30" s="9"/>
    </row>
    <row r="31" spans="1:30" ht="15.5" x14ac:dyDescent="0.3">
      <c r="A31" s="1" t="s">
        <v>73</v>
      </c>
      <c r="B31" s="391"/>
      <c r="C31" s="392"/>
      <c r="D31" s="13">
        <v>0</v>
      </c>
      <c r="E31" s="13">
        <v>0</v>
      </c>
      <c r="F31" s="89">
        <v>0</v>
      </c>
      <c r="G31" s="46">
        <f t="shared" si="7"/>
        <v>0</v>
      </c>
      <c r="H31" s="79"/>
      <c r="I31" s="90" t="s">
        <v>74</v>
      </c>
      <c r="J31" s="51">
        <v>251</v>
      </c>
      <c r="K31" s="81">
        <v>1173</v>
      </c>
      <c r="L31" s="82">
        <f t="shared" si="8"/>
        <v>0</v>
      </c>
      <c r="N31" s="2">
        <v>5102</v>
      </c>
      <c r="O31" s="53">
        <v>251</v>
      </c>
      <c r="P31" s="83"/>
      <c r="Q31" s="67"/>
      <c r="V31" s="395"/>
      <c r="W31" s="395"/>
      <c r="X31" s="384"/>
      <c r="Y31" s="384"/>
      <c r="Z31" s="91" t="s">
        <v>74</v>
      </c>
      <c r="AA31" s="86">
        <v>251</v>
      </c>
      <c r="AB31" s="87">
        <f t="shared" si="9"/>
        <v>1173</v>
      </c>
      <c r="AC31" s="88">
        <f t="shared" si="6"/>
        <v>0</v>
      </c>
      <c r="AD31" s="9"/>
    </row>
    <row r="32" spans="1:30" ht="15.5" x14ac:dyDescent="0.3">
      <c r="A32" s="1" t="s">
        <v>75</v>
      </c>
      <c r="B32" s="391"/>
      <c r="C32" s="392"/>
      <c r="D32" s="13">
        <v>0</v>
      </c>
      <c r="E32" s="13">
        <v>0</v>
      </c>
      <c r="F32" s="89">
        <v>0</v>
      </c>
      <c r="G32" s="46">
        <f t="shared" si="7"/>
        <v>0</v>
      </c>
      <c r="H32" s="79"/>
      <c r="I32" s="90" t="s">
        <v>74</v>
      </c>
      <c r="J32" s="51">
        <v>252</v>
      </c>
      <c r="K32" s="81">
        <v>3506</v>
      </c>
      <c r="L32" s="82">
        <f t="shared" si="8"/>
        <v>0</v>
      </c>
      <c r="N32" s="2">
        <v>5102</v>
      </c>
      <c r="O32" s="53">
        <v>252</v>
      </c>
      <c r="P32" s="83"/>
      <c r="Q32" s="53"/>
      <c r="V32" s="395"/>
      <c r="W32" s="395"/>
      <c r="X32" s="384"/>
      <c r="Y32" s="384"/>
      <c r="Z32" s="91" t="s">
        <v>74</v>
      </c>
      <c r="AA32" s="86">
        <v>252</v>
      </c>
      <c r="AB32" s="87">
        <f t="shared" si="9"/>
        <v>3506</v>
      </c>
      <c r="AC32" s="88">
        <f t="shared" si="6"/>
        <v>0</v>
      </c>
      <c r="AD32" s="9"/>
    </row>
    <row r="33" spans="1:30" ht="15.5" x14ac:dyDescent="0.35">
      <c r="A33" s="1" t="s">
        <v>76</v>
      </c>
      <c r="B33" s="391"/>
      <c r="C33" s="392"/>
      <c r="D33" s="13">
        <v>0</v>
      </c>
      <c r="E33" s="13">
        <v>0</v>
      </c>
      <c r="F33" s="89">
        <v>0</v>
      </c>
      <c r="G33" s="46">
        <f t="shared" si="7"/>
        <v>0</v>
      </c>
      <c r="H33" s="79"/>
      <c r="I33" s="90" t="s">
        <v>74</v>
      </c>
      <c r="J33" s="51">
        <v>253</v>
      </c>
      <c r="K33" s="81">
        <v>7023</v>
      </c>
      <c r="L33" s="82">
        <f t="shared" si="8"/>
        <v>0</v>
      </c>
      <c r="N33" s="2">
        <v>5102</v>
      </c>
      <c r="O33" s="53">
        <v>253</v>
      </c>
      <c r="P33" s="83"/>
      <c r="Q33" s="84"/>
      <c r="V33" s="395"/>
      <c r="W33" s="395"/>
      <c r="X33" s="384"/>
      <c r="Y33" s="384"/>
      <c r="Z33" s="91" t="s">
        <v>74</v>
      </c>
      <c r="AA33" s="86">
        <v>253</v>
      </c>
      <c r="AB33" s="87">
        <f t="shared" si="9"/>
        <v>7023</v>
      </c>
      <c r="AC33" s="88">
        <f t="shared" si="6"/>
        <v>0</v>
      </c>
      <c r="AD33" s="9"/>
    </row>
    <row r="34" spans="1:30" ht="15.5" x14ac:dyDescent="0.35">
      <c r="A34" s="1" t="s">
        <v>77</v>
      </c>
      <c r="B34" s="391"/>
      <c r="C34" s="392"/>
      <c r="D34" s="13">
        <v>0</v>
      </c>
      <c r="E34" s="13">
        <v>0</v>
      </c>
      <c r="F34" s="89">
        <v>0</v>
      </c>
      <c r="G34" s="46">
        <f t="shared" si="7"/>
        <v>0</v>
      </c>
      <c r="H34" s="79"/>
      <c r="I34" s="90" t="s">
        <v>78</v>
      </c>
      <c r="J34" s="51">
        <v>251</v>
      </c>
      <c r="K34" s="81">
        <v>835</v>
      </c>
      <c r="L34" s="82">
        <f t="shared" si="8"/>
        <v>0</v>
      </c>
      <c r="N34" s="2">
        <v>5103</v>
      </c>
      <c r="O34" s="53">
        <v>251</v>
      </c>
      <c r="P34" s="83"/>
      <c r="Q34" s="84"/>
      <c r="V34" s="395"/>
      <c r="W34" s="395"/>
      <c r="X34" s="384"/>
      <c r="Y34" s="384"/>
      <c r="Z34" s="91" t="s">
        <v>78</v>
      </c>
      <c r="AA34" s="86">
        <v>251</v>
      </c>
      <c r="AB34" s="87">
        <f t="shared" si="9"/>
        <v>835</v>
      </c>
      <c r="AC34" s="88">
        <f t="shared" si="6"/>
        <v>0</v>
      </c>
      <c r="AD34" s="9"/>
    </row>
    <row r="35" spans="1:30" ht="15.5" x14ac:dyDescent="0.35">
      <c r="A35" s="1" t="s">
        <v>79</v>
      </c>
      <c r="B35" s="391"/>
      <c r="C35" s="392"/>
      <c r="D35" s="13">
        <v>0</v>
      </c>
      <c r="E35" s="13">
        <v>0</v>
      </c>
      <c r="F35" s="89">
        <v>0</v>
      </c>
      <c r="G35" s="46">
        <f t="shared" si="7"/>
        <v>0</v>
      </c>
      <c r="H35" s="79"/>
      <c r="I35" s="90" t="s">
        <v>78</v>
      </c>
      <c r="J35" s="51">
        <v>252</v>
      </c>
      <c r="K35" s="81">
        <v>3168</v>
      </c>
      <c r="L35" s="82">
        <f t="shared" si="8"/>
        <v>0</v>
      </c>
      <c r="N35" s="2">
        <v>5103</v>
      </c>
      <c r="O35" s="53">
        <v>252</v>
      </c>
      <c r="P35" s="83"/>
      <c r="Q35" s="92"/>
      <c r="V35" s="395"/>
      <c r="W35" s="395"/>
      <c r="X35" s="384"/>
      <c r="Y35" s="384"/>
      <c r="Z35" s="91" t="s">
        <v>78</v>
      </c>
      <c r="AA35" s="86">
        <v>252</v>
      </c>
      <c r="AB35" s="87">
        <f t="shared" si="9"/>
        <v>3168</v>
      </c>
      <c r="AC35" s="88">
        <f t="shared" si="6"/>
        <v>0</v>
      </c>
      <c r="AD35" s="9"/>
    </row>
    <row r="36" spans="1:30" ht="16" thickBot="1" x14ac:dyDescent="0.4">
      <c r="A36" s="1" t="s">
        <v>80</v>
      </c>
      <c r="B36" s="393"/>
      <c r="C36" s="394"/>
      <c r="D36" s="13">
        <v>0</v>
      </c>
      <c r="E36" s="13">
        <v>0</v>
      </c>
      <c r="F36" s="89">
        <v>0</v>
      </c>
      <c r="G36" s="46">
        <f t="shared" si="7"/>
        <v>0</v>
      </c>
      <c r="H36" s="79"/>
      <c r="I36" s="90" t="s">
        <v>78</v>
      </c>
      <c r="J36" s="51">
        <v>253</v>
      </c>
      <c r="K36" s="81">
        <v>6685</v>
      </c>
      <c r="L36" s="93">
        <f t="shared" si="8"/>
        <v>0</v>
      </c>
      <c r="N36" s="2">
        <v>5103</v>
      </c>
      <c r="O36" s="53">
        <v>253</v>
      </c>
      <c r="P36" s="83"/>
      <c r="Q36" s="94"/>
      <c r="V36" s="395"/>
      <c r="W36" s="395"/>
      <c r="X36" s="385"/>
      <c r="Y36" s="385"/>
      <c r="Z36" s="91" t="s">
        <v>78</v>
      </c>
      <c r="AA36" s="86">
        <v>253</v>
      </c>
      <c r="AB36" s="87">
        <f t="shared" si="9"/>
        <v>6685</v>
      </c>
      <c r="AC36" s="95">
        <f t="shared" si="6"/>
        <v>0</v>
      </c>
      <c r="AD36" s="9"/>
    </row>
    <row r="37" spans="1:30" ht="18.75" customHeight="1" x14ac:dyDescent="0.3">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86" t="s">
        <v>81</v>
      </c>
      <c r="W37" s="386"/>
      <c r="X37" s="387">
        <f>SUM(X28:X36)</f>
        <v>0</v>
      </c>
      <c r="Y37" s="387"/>
      <c r="Z37" s="386" t="s">
        <v>82</v>
      </c>
      <c r="AA37" s="386"/>
      <c r="AB37" s="386"/>
      <c r="AC37" s="55">
        <f>SUM(AC28:AC36)</f>
        <v>0</v>
      </c>
      <c r="AD37" s="9"/>
    </row>
    <row r="38" spans="1:30" ht="30.75" customHeight="1" x14ac:dyDescent="0.35">
      <c r="B38" s="96" t="s">
        <v>83</v>
      </c>
      <c r="C38" s="96"/>
      <c r="D38" s="96"/>
      <c r="E38" s="96"/>
      <c r="F38" s="96"/>
      <c r="G38" s="96"/>
      <c r="H38" s="97"/>
      <c r="I38" s="96"/>
      <c r="J38" s="96"/>
      <c r="K38" s="96"/>
      <c r="L38" s="96"/>
      <c r="M38" s="67"/>
      <c r="N38" s="53"/>
      <c r="O38" s="67"/>
      <c r="P38" s="53"/>
      <c r="Q38" s="53"/>
      <c r="V38" s="374" t="s">
        <v>83</v>
      </c>
      <c r="W38" s="374"/>
      <c r="X38" s="374"/>
      <c r="Y38" s="374"/>
      <c r="Z38" s="374"/>
      <c r="AA38" s="374"/>
      <c r="AB38" s="374"/>
      <c r="AC38" s="374"/>
      <c r="AD38" s="98"/>
    </row>
    <row r="39" spans="1:30" ht="15.75" customHeight="1" x14ac:dyDescent="0.35">
      <c r="B39" s="99" t="s">
        <v>84</v>
      </c>
      <c r="C39" s="99"/>
      <c r="D39" s="99"/>
      <c r="E39" s="99"/>
      <c r="F39" s="99"/>
      <c r="G39" s="100">
        <v>34389540</v>
      </c>
      <c r="H39" s="100"/>
      <c r="I39" s="13" t="s">
        <v>85</v>
      </c>
      <c r="J39" s="13"/>
      <c r="K39" s="13"/>
      <c r="L39" s="13"/>
      <c r="O39" s="1"/>
      <c r="V39" s="379" t="s">
        <v>84</v>
      </c>
      <c r="W39" s="379"/>
      <c r="X39" s="380">
        <f>+G39</f>
        <v>34389540</v>
      </c>
      <c r="Y39" s="380"/>
      <c r="Z39" s="381" t="s">
        <v>85</v>
      </c>
      <c r="AA39" s="381"/>
      <c r="AB39" s="381"/>
      <c r="AC39" s="381"/>
      <c r="AD39" s="9"/>
    </row>
    <row r="40" spans="1:30" ht="15.75" customHeight="1" x14ac:dyDescent="0.35">
      <c r="B40" s="101" t="s">
        <v>86</v>
      </c>
      <c r="C40" s="101"/>
      <c r="D40" s="101"/>
      <c r="E40" s="101"/>
      <c r="F40" s="101"/>
      <c r="G40" s="102">
        <v>179393.64</v>
      </c>
      <c r="H40" s="102"/>
      <c r="I40" s="102"/>
      <c r="J40" s="102"/>
      <c r="K40" s="50">
        <f>ROUND(G39/G40,0)</f>
        <v>192</v>
      </c>
      <c r="L40" s="50">
        <f>ROUND(K40*$G$26,0)</f>
        <v>4800</v>
      </c>
      <c r="N40" s="103"/>
      <c r="O40" s="103"/>
      <c r="P40" s="103"/>
      <c r="Q40" s="103"/>
      <c r="V40" s="382" t="s">
        <v>86</v>
      </c>
      <c r="W40" s="382"/>
      <c r="X40" s="383">
        <f>+G40</f>
        <v>179393.64</v>
      </c>
      <c r="Y40" s="383"/>
      <c r="Z40" s="383"/>
      <c r="AA40" s="383"/>
      <c r="AB40" s="55">
        <f>ROUND(X39/X40,0)</f>
        <v>192</v>
      </c>
      <c r="AC40" s="55">
        <f>ROUND(AB40*$X$26,0)</f>
        <v>4800</v>
      </c>
      <c r="AD40" s="9"/>
    </row>
    <row r="41" spans="1:30" ht="15.75" customHeight="1" x14ac:dyDescent="0.35">
      <c r="B41" s="104" t="s">
        <v>87</v>
      </c>
      <c r="C41" s="104"/>
      <c r="D41" s="104"/>
      <c r="E41" s="104"/>
      <c r="F41" s="104"/>
      <c r="G41" s="104"/>
      <c r="H41" s="104"/>
      <c r="I41" s="104"/>
      <c r="J41" s="104"/>
      <c r="K41" s="104"/>
      <c r="L41" s="104"/>
      <c r="N41" s="67"/>
      <c r="O41" s="105"/>
      <c r="P41" s="67"/>
      <c r="Q41" s="67"/>
      <c r="V41" s="373" t="s">
        <v>87</v>
      </c>
      <c r="W41" s="373"/>
      <c r="X41" s="373"/>
      <c r="Y41" s="373"/>
      <c r="Z41" s="373"/>
      <c r="AA41" s="373"/>
      <c r="AB41" s="373"/>
      <c r="AC41" s="373"/>
      <c r="AD41" s="9"/>
    </row>
    <row r="42" spans="1:30" ht="28.5" customHeight="1" x14ac:dyDescent="0.35">
      <c r="B42" s="96" t="s">
        <v>88</v>
      </c>
      <c r="C42" s="96"/>
      <c r="D42" s="96"/>
      <c r="E42" s="96"/>
      <c r="F42" s="96"/>
      <c r="G42" s="96"/>
      <c r="H42" s="96"/>
      <c r="I42" s="96"/>
      <c r="J42" s="96"/>
      <c r="K42" s="96"/>
      <c r="L42" s="96"/>
      <c r="M42" s="103"/>
      <c r="O42" s="1"/>
      <c r="V42" s="374" t="s">
        <v>88</v>
      </c>
      <c r="W42" s="374"/>
      <c r="X42" s="374"/>
      <c r="Y42" s="374"/>
      <c r="Z42" s="374"/>
      <c r="AA42" s="374"/>
      <c r="AB42" s="374"/>
      <c r="AC42" s="374"/>
      <c r="AD42" s="106"/>
    </row>
    <row r="43" spans="1:30" x14ac:dyDescent="0.3">
      <c r="B43" s="107" t="s">
        <v>89</v>
      </c>
      <c r="C43" s="107"/>
      <c r="D43" s="107"/>
      <c r="E43" s="107"/>
      <c r="F43" s="107"/>
      <c r="G43" s="107"/>
      <c r="H43" s="107"/>
      <c r="I43" s="107"/>
      <c r="J43" s="107"/>
      <c r="K43" s="107"/>
      <c r="L43" s="107"/>
      <c r="M43" s="108"/>
      <c r="N43" s="67"/>
      <c r="O43" s="67"/>
      <c r="P43" s="67"/>
      <c r="Q43" s="67"/>
      <c r="V43" s="375" t="s">
        <v>89</v>
      </c>
      <c r="W43" s="375"/>
      <c r="X43" s="375"/>
      <c r="Y43" s="375"/>
      <c r="Z43" s="375"/>
      <c r="AA43" s="375"/>
      <c r="AB43" s="375"/>
      <c r="AC43" s="375"/>
      <c r="AD43" s="109"/>
    </row>
    <row r="44" spans="1:30" ht="24" customHeight="1" x14ac:dyDescent="0.3">
      <c r="B44" s="61" t="s">
        <v>90</v>
      </c>
      <c r="C44" s="61"/>
      <c r="D44" s="61"/>
      <c r="E44" s="61"/>
      <c r="F44" s="61"/>
      <c r="G44" s="61"/>
      <c r="H44" s="61"/>
      <c r="I44" s="61"/>
      <c r="J44" s="61"/>
      <c r="K44" s="61"/>
      <c r="L44" s="110">
        <f>SUM(L26,L37,L40)</f>
        <v>474021</v>
      </c>
      <c r="O44" s="1"/>
      <c r="V44" s="376" t="s">
        <v>90</v>
      </c>
      <c r="W44" s="376"/>
      <c r="X44" s="376"/>
      <c r="Y44" s="376"/>
      <c r="Z44" s="376"/>
      <c r="AA44" s="376"/>
      <c r="AB44" s="376"/>
      <c r="AC44" s="111">
        <f>SUM(AC26,AC37,AC40)</f>
        <v>101665</v>
      </c>
      <c r="AD44" s="9"/>
    </row>
    <row r="45" spans="1:30" ht="30.75" customHeight="1" x14ac:dyDescent="0.35">
      <c r="B45" s="96" t="s">
        <v>91</v>
      </c>
      <c r="C45" s="96"/>
      <c r="D45" s="96"/>
      <c r="E45" s="96"/>
      <c r="F45" s="96"/>
      <c r="G45" s="96"/>
      <c r="H45" s="96"/>
      <c r="I45" s="96"/>
      <c r="J45" s="96"/>
      <c r="K45" s="96"/>
      <c r="L45" s="96"/>
      <c r="M45" s="112"/>
      <c r="O45" s="1"/>
      <c r="V45" s="374" t="s">
        <v>91</v>
      </c>
      <c r="W45" s="374"/>
      <c r="X45" s="374"/>
      <c r="Y45" s="374"/>
      <c r="Z45" s="374"/>
      <c r="AA45" s="374"/>
      <c r="AB45" s="374"/>
      <c r="AC45" s="374"/>
      <c r="AD45" s="113"/>
    </row>
    <row r="46" spans="1:30" ht="18.75" customHeight="1" x14ac:dyDescent="0.3">
      <c r="B46" s="1"/>
      <c r="C46" s="114" t="s">
        <v>92</v>
      </c>
      <c r="D46" s="114"/>
      <c r="E46" s="114"/>
      <c r="F46" s="114"/>
      <c r="G46" s="114" t="s">
        <v>93</v>
      </c>
      <c r="H46" s="115"/>
      <c r="I46" s="116" t="s">
        <v>94</v>
      </c>
      <c r="J46" s="117"/>
      <c r="K46" s="117"/>
      <c r="L46" s="117"/>
      <c r="M46" s="118"/>
      <c r="O46" s="1"/>
      <c r="V46" s="9"/>
      <c r="W46" s="119" t="s">
        <v>92</v>
      </c>
      <c r="X46" s="377" t="s">
        <v>95</v>
      </c>
      <c r="Y46" s="377"/>
      <c r="Z46" s="378" t="s">
        <v>94</v>
      </c>
      <c r="AA46" s="378"/>
      <c r="AB46" s="378"/>
      <c r="AC46" s="378"/>
      <c r="AD46" s="120"/>
    </row>
    <row r="47" spans="1:30" ht="18.75" customHeight="1" x14ac:dyDescent="0.3">
      <c r="B47" s="103" t="s">
        <v>96</v>
      </c>
      <c r="C47" s="121">
        <f>K10+K11+K16+K19+K22</f>
        <v>95.656000000000006</v>
      </c>
      <c r="D47" s="121"/>
      <c r="E47" s="121"/>
      <c r="F47" s="121"/>
      <c r="G47" s="122">
        <f>K7</f>
        <v>1.0326</v>
      </c>
      <c r="H47" s="122"/>
      <c r="I47" s="123">
        <v>1316.85</v>
      </c>
      <c r="J47" s="124" t="s">
        <v>97</v>
      </c>
      <c r="K47" s="125">
        <f>ROUND(C47*G47*I47,0)</f>
        <v>130071</v>
      </c>
      <c r="L47" s="126"/>
      <c r="O47" s="1"/>
      <c r="V47" s="106" t="s">
        <v>96</v>
      </c>
      <c r="W47" s="127">
        <f>AB10+AB11+AB16+AB19+AB22</f>
        <v>20</v>
      </c>
      <c r="X47" s="369">
        <f>AB7</f>
        <v>1.0326</v>
      </c>
      <c r="Y47" s="369"/>
      <c r="Z47" s="128">
        <f>+I47</f>
        <v>1316.85</v>
      </c>
      <c r="AA47" s="129" t="s">
        <v>97</v>
      </c>
      <c r="AB47" s="130">
        <f>ROUND(W47*X47*Z47,0)</f>
        <v>27196</v>
      </c>
      <c r="AC47" s="131"/>
      <c r="AD47" s="9"/>
    </row>
    <row r="48" spans="1:30" ht="18" customHeight="1" x14ac:dyDescent="0.3">
      <c r="B48" s="132" t="s">
        <v>74</v>
      </c>
      <c r="C48" s="121">
        <f>K12+K13+K17+K20+K23</f>
        <v>25.445</v>
      </c>
      <c r="D48" s="121"/>
      <c r="E48" s="121"/>
      <c r="F48" s="121"/>
      <c r="G48" s="122">
        <f>K7</f>
        <v>1.0326</v>
      </c>
      <c r="H48" s="122"/>
      <c r="I48" s="123">
        <v>898.23</v>
      </c>
      <c r="J48" s="124" t="s">
        <v>97</v>
      </c>
      <c r="K48" s="125">
        <f>ROUND(C48*G48*I48,0)</f>
        <v>23601</v>
      </c>
      <c r="L48" s="61"/>
      <c r="O48" s="1"/>
      <c r="V48" s="133" t="s">
        <v>74</v>
      </c>
      <c r="W48" s="127">
        <f>AB12+AB13+AB17+AB20+AB23</f>
        <v>5</v>
      </c>
      <c r="X48" s="369">
        <f>AB7</f>
        <v>1.0326</v>
      </c>
      <c r="Y48" s="369"/>
      <c r="Z48" s="128">
        <f>+I48</f>
        <v>898.23</v>
      </c>
      <c r="AA48" s="129" t="s">
        <v>97</v>
      </c>
      <c r="AB48" s="130">
        <f>ROUND(W48*X48*Z48,0)</f>
        <v>4638</v>
      </c>
      <c r="AC48" s="134"/>
      <c r="AD48" s="9"/>
    </row>
    <row r="49" spans="2:30" ht="19.5" customHeight="1" thickBot="1" x14ac:dyDescent="0.4">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9">
        <f>AB7</f>
        <v>1.0326</v>
      </c>
      <c r="Y49" s="369"/>
      <c r="Z49" s="128">
        <f>+I49</f>
        <v>900.39</v>
      </c>
      <c r="AA49" s="129" t="s">
        <v>97</v>
      </c>
      <c r="AB49" s="130">
        <f>ROUND(W49*X49*Z49,0)</f>
        <v>0</v>
      </c>
      <c r="AC49" s="134"/>
      <c r="AD49" s="109"/>
    </row>
    <row r="50" spans="2:30" ht="24" customHeight="1" thickBot="1" x14ac:dyDescent="0.35">
      <c r="B50" s="142" t="s">
        <v>98</v>
      </c>
      <c r="C50" s="143">
        <f>SUM(C47:C49)</f>
        <v>121.101</v>
      </c>
      <c r="D50" s="144"/>
      <c r="E50" s="145"/>
      <c r="F50" s="145"/>
      <c r="G50" s="146" t="s">
        <v>99</v>
      </c>
      <c r="H50" s="146"/>
      <c r="I50" s="146"/>
      <c r="J50" s="146"/>
      <c r="K50" s="146"/>
      <c r="L50" s="50">
        <f>IF(B2=75,0,K49+K48+K47)</f>
        <v>153672</v>
      </c>
      <c r="N50" s="3"/>
      <c r="O50" s="1"/>
      <c r="V50" s="147" t="s">
        <v>98</v>
      </c>
      <c r="W50" s="148">
        <f>SUM(W47:W49)</f>
        <v>25</v>
      </c>
      <c r="X50" s="370" t="s">
        <v>99</v>
      </c>
      <c r="Y50" s="371"/>
      <c r="Z50" s="371"/>
      <c r="AA50" s="371"/>
      <c r="AB50" s="371"/>
      <c r="AC50" s="55">
        <f>IF(V2=75,0,AB49+AB48+AB47)</f>
        <v>31834</v>
      </c>
      <c r="AD50" s="9"/>
    </row>
    <row r="51" spans="2:30" ht="19.5" customHeight="1" x14ac:dyDescent="0.35">
      <c r="B51" s="149" t="s">
        <v>100</v>
      </c>
      <c r="C51" s="149"/>
      <c r="D51" s="149"/>
      <c r="E51" s="149"/>
      <c r="F51" s="149"/>
      <c r="G51" s="149"/>
      <c r="H51" s="149"/>
      <c r="I51" s="149"/>
      <c r="J51" s="149"/>
      <c r="K51" s="149"/>
      <c r="L51" s="149"/>
      <c r="M51" s="137"/>
      <c r="N51" s="67"/>
      <c r="O51" s="1"/>
      <c r="V51" s="372" t="s">
        <v>100</v>
      </c>
      <c r="W51" s="372"/>
      <c r="X51" s="372"/>
      <c r="Y51" s="372"/>
      <c r="Z51" s="372"/>
      <c r="AA51" s="372"/>
      <c r="AB51" s="372"/>
      <c r="AC51" s="372"/>
      <c r="AD51" s="150"/>
    </row>
    <row r="52" spans="2:30" ht="27.75" customHeight="1" x14ac:dyDescent="0.3">
      <c r="B52" s="13" t="s">
        <v>101</v>
      </c>
      <c r="C52" s="13"/>
      <c r="D52" s="13"/>
      <c r="E52" s="13"/>
      <c r="F52" s="13"/>
      <c r="G52" s="13"/>
      <c r="H52" s="13"/>
      <c r="I52" s="13"/>
      <c r="J52" s="13"/>
      <c r="K52" s="13"/>
      <c r="L52" s="13"/>
      <c r="O52" s="1"/>
      <c r="V52" s="354" t="s">
        <v>101</v>
      </c>
      <c r="W52" s="354"/>
      <c r="X52" s="354"/>
      <c r="Y52" s="354"/>
      <c r="Z52" s="354"/>
      <c r="AA52" s="354"/>
      <c r="AB52" s="354"/>
      <c r="AC52" s="354"/>
      <c r="AD52" s="9"/>
    </row>
    <row r="53" spans="2:30" ht="15.5" x14ac:dyDescent="0.35">
      <c r="B53" s="13" t="s">
        <v>102</v>
      </c>
      <c r="C53" s="13"/>
      <c r="D53" s="13"/>
      <c r="E53" s="13"/>
      <c r="F53" s="13"/>
      <c r="G53" s="151">
        <f>K26</f>
        <v>121.101</v>
      </c>
      <c r="H53" s="56" t="s">
        <v>103</v>
      </c>
      <c r="I53" s="56"/>
      <c r="J53" s="152">
        <v>193142.74</v>
      </c>
      <c r="K53" s="152"/>
      <c r="L53" s="152"/>
      <c r="N53" s="3"/>
      <c r="O53" s="1"/>
      <c r="V53" s="364" t="s">
        <v>102</v>
      </c>
      <c r="W53" s="364"/>
      <c r="X53" s="153">
        <f>AB26</f>
        <v>25</v>
      </c>
      <c r="Y53" s="365" t="s">
        <v>103</v>
      </c>
      <c r="Z53" s="365"/>
      <c r="AA53" s="366">
        <f>+J53</f>
        <v>193142.74</v>
      </c>
      <c r="AB53" s="366"/>
      <c r="AC53" s="366"/>
      <c r="AD53" s="9"/>
    </row>
    <row r="54" spans="2:30" x14ac:dyDescent="0.3">
      <c r="B54" s="13" t="s">
        <v>104</v>
      </c>
      <c r="C54" s="13"/>
      <c r="D54" s="13"/>
      <c r="E54" s="13"/>
      <c r="F54" s="13"/>
      <c r="G54" s="13"/>
      <c r="H54" s="13"/>
      <c r="I54" s="13"/>
      <c r="J54" s="13"/>
      <c r="K54" s="154">
        <f>ROUND(G53/J53,6)</f>
        <v>6.2699999999999995E-4</v>
      </c>
      <c r="L54" s="154"/>
      <c r="N54" s="67"/>
      <c r="O54" s="1"/>
      <c r="V54" s="364" t="s">
        <v>104</v>
      </c>
      <c r="W54" s="364"/>
      <c r="X54" s="364"/>
      <c r="Y54" s="364"/>
      <c r="Z54" s="364"/>
      <c r="AA54" s="364"/>
      <c r="AB54" s="367">
        <f>ROUND(X53/AA53,6)</f>
        <v>1.2899999999999999E-4</v>
      </c>
      <c r="AC54" s="367"/>
      <c r="AD54" s="9"/>
    </row>
    <row r="55" spans="2:30" ht="24" customHeight="1" x14ac:dyDescent="0.3">
      <c r="B55" s="13" t="s">
        <v>105</v>
      </c>
      <c r="C55" s="13"/>
      <c r="D55" s="13"/>
      <c r="E55" s="13"/>
      <c r="F55" s="13"/>
      <c r="G55" s="13"/>
      <c r="H55" s="13"/>
      <c r="I55" s="13"/>
      <c r="J55" s="13"/>
      <c r="K55" s="13"/>
      <c r="L55" s="13"/>
      <c r="O55" s="1"/>
      <c r="V55" s="354" t="s">
        <v>105</v>
      </c>
      <c r="W55" s="354"/>
      <c r="X55" s="354"/>
      <c r="Y55" s="354"/>
      <c r="Z55" s="354"/>
      <c r="AA55" s="354"/>
      <c r="AB55" s="354"/>
      <c r="AC55" s="354"/>
      <c r="AD55" s="9"/>
    </row>
    <row r="56" spans="2:30" ht="15.5" x14ac:dyDescent="0.35">
      <c r="B56" s="13" t="s">
        <v>106</v>
      </c>
      <c r="C56" s="13"/>
      <c r="D56" s="13"/>
      <c r="E56" s="13"/>
      <c r="F56" s="13"/>
      <c r="G56" s="155">
        <f>G26</f>
        <v>25</v>
      </c>
      <c r="H56" s="56" t="s">
        <v>107</v>
      </c>
      <c r="I56" s="56"/>
      <c r="J56" s="152">
        <v>179393.64</v>
      </c>
      <c r="K56" s="152"/>
      <c r="L56" s="152"/>
      <c r="O56" s="1"/>
      <c r="V56" s="364" t="s">
        <v>106</v>
      </c>
      <c r="W56" s="364"/>
      <c r="X56" s="156">
        <f>X26</f>
        <v>25</v>
      </c>
      <c r="Y56" s="365" t="s">
        <v>107</v>
      </c>
      <c r="Z56" s="365"/>
      <c r="AA56" s="366">
        <f>+J56</f>
        <v>179393.64</v>
      </c>
      <c r="AB56" s="366"/>
      <c r="AC56" s="366"/>
      <c r="AD56" s="9"/>
    </row>
    <row r="57" spans="2:30" x14ac:dyDescent="0.3">
      <c r="B57" s="13" t="s">
        <v>108</v>
      </c>
      <c r="C57" s="13"/>
      <c r="D57" s="13"/>
      <c r="E57" s="13"/>
      <c r="F57" s="13"/>
      <c r="G57" s="13"/>
      <c r="H57" s="13"/>
      <c r="I57" s="13"/>
      <c r="J57" s="13"/>
      <c r="K57" s="154">
        <f>ROUND(G56/J56,6)</f>
        <v>1.3899999999999999E-4</v>
      </c>
      <c r="L57" s="154"/>
      <c r="O57" s="1"/>
      <c r="V57" s="364" t="s">
        <v>108</v>
      </c>
      <c r="W57" s="364"/>
      <c r="X57" s="364"/>
      <c r="Y57" s="364"/>
      <c r="Z57" s="364"/>
      <c r="AA57" s="364"/>
      <c r="AB57" s="367">
        <f>ROUND(X56/AA56,6)</f>
        <v>1.3899999999999999E-4</v>
      </c>
      <c r="AC57" s="367"/>
      <c r="AD57" s="9"/>
    </row>
    <row r="58" spans="2:30" ht="20.25" customHeight="1" x14ac:dyDescent="0.3">
      <c r="B58" s="157" t="s">
        <v>109</v>
      </c>
      <c r="C58" s="157"/>
      <c r="D58" s="157"/>
      <c r="E58" s="157"/>
      <c r="F58" s="157"/>
      <c r="G58" s="157"/>
      <c r="H58" s="157"/>
      <c r="I58" s="157"/>
      <c r="J58" s="157"/>
      <c r="K58" s="157"/>
      <c r="L58" s="157"/>
      <c r="N58" s="18"/>
      <c r="O58" s="18"/>
      <c r="V58" s="368" t="s">
        <v>110</v>
      </c>
      <c r="W58" s="368"/>
      <c r="X58" s="368"/>
      <c r="Y58" s="355">
        <f>X65+X64+X62+X61+X60</f>
        <v>4122856</v>
      </c>
      <c r="Z58" s="355"/>
      <c r="AA58" s="158" t="s">
        <v>111</v>
      </c>
      <c r="AB58" s="159">
        <f>AB54</f>
        <v>1.2899999999999999E-4</v>
      </c>
      <c r="AC58" s="55">
        <f>ROUND(Y58*AB58,0)</f>
        <v>532</v>
      </c>
      <c r="AD58" s="9"/>
    </row>
    <row r="59" spans="2:30" x14ac:dyDescent="0.3">
      <c r="B59" s="61" t="s">
        <v>110</v>
      </c>
      <c r="C59" s="61"/>
      <c r="D59" s="61"/>
      <c r="E59" s="61"/>
      <c r="F59" s="61"/>
      <c r="G59" s="61"/>
      <c r="H59" s="160" t="s">
        <v>22</v>
      </c>
      <c r="I59" s="125">
        <f>G66+G65+G63+G62+G61</f>
        <v>4122856</v>
      </c>
      <c r="J59" s="161" t="s">
        <v>111</v>
      </c>
      <c r="K59" s="162">
        <f>K54</f>
        <v>6.2699999999999995E-4</v>
      </c>
      <c r="L59" s="50">
        <f>ROUND(I59*K59,0)</f>
        <v>2585</v>
      </c>
      <c r="O59" s="1"/>
      <c r="P59" s="161"/>
      <c r="Q59" s="161"/>
      <c r="V59" s="361" t="s">
        <v>112</v>
      </c>
      <c r="W59" s="361"/>
      <c r="X59" s="361"/>
      <c r="Y59" s="361"/>
      <c r="Z59" s="361"/>
      <c r="AA59" s="361"/>
      <c r="AB59" s="361"/>
      <c r="AC59" s="361"/>
      <c r="AD59" s="9"/>
    </row>
    <row r="60" spans="2:30" x14ac:dyDescent="0.3">
      <c r="B60" s="61" t="s">
        <v>112</v>
      </c>
      <c r="C60" s="61"/>
      <c r="D60" s="61"/>
      <c r="E60" s="61"/>
      <c r="F60" s="61"/>
      <c r="G60" s="61"/>
      <c r="H60" s="61"/>
      <c r="I60" s="61"/>
      <c r="J60" s="61"/>
      <c r="K60" s="61"/>
      <c r="L60" s="61"/>
      <c r="O60" s="1"/>
      <c r="P60" s="161"/>
      <c r="Q60" s="161"/>
      <c r="V60" s="362" t="s">
        <v>113</v>
      </c>
      <c r="W60" s="362"/>
      <c r="X60" s="363">
        <f>+G61</f>
        <v>0</v>
      </c>
      <c r="Y60" s="363"/>
      <c r="Z60" s="363"/>
      <c r="AA60" s="363"/>
      <c r="AB60" s="363"/>
      <c r="AC60" s="363"/>
      <c r="AD60" s="9"/>
    </row>
    <row r="61" spans="2:30" ht="15" customHeight="1" x14ac:dyDescent="0.3">
      <c r="B61" s="163" t="s">
        <v>113</v>
      </c>
      <c r="C61" s="61"/>
      <c r="D61" s="61"/>
      <c r="E61" s="61"/>
      <c r="F61" s="61"/>
      <c r="G61" s="164">
        <v>0</v>
      </c>
      <c r="H61" s="164"/>
      <c r="I61" s="164"/>
      <c r="J61" s="164"/>
      <c r="K61" s="164"/>
      <c r="L61" s="164"/>
      <c r="O61" s="1"/>
      <c r="P61" s="161"/>
      <c r="Q61" s="161"/>
      <c r="V61" s="362" t="s">
        <v>114</v>
      </c>
      <c r="W61" s="362"/>
      <c r="X61" s="363">
        <f>+G62</f>
        <v>0</v>
      </c>
      <c r="Y61" s="363"/>
      <c r="Z61" s="363"/>
      <c r="AA61" s="363"/>
      <c r="AB61" s="363"/>
      <c r="AC61" s="363"/>
      <c r="AD61" s="9"/>
    </row>
    <row r="62" spans="2:30" ht="13.5" customHeight="1" x14ac:dyDescent="0.3">
      <c r="B62" s="163" t="s">
        <v>114</v>
      </c>
      <c r="C62" s="61"/>
      <c r="D62" s="61"/>
      <c r="E62" s="61"/>
      <c r="F62" s="61"/>
      <c r="G62" s="164">
        <v>0</v>
      </c>
      <c r="H62" s="164"/>
      <c r="I62" s="164"/>
      <c r="J62" s="164"/>
      <c r="K62" s="164"/>
      <c r="L62" s="164"/>
      <c r="N62" s="161"/>
      <c r="O62" s="161"/>
      <c r="P62" s="161"/>
      <c r="Q62" s="161"/>
      <c r="V62" s="362" t="s">
        <v>115</v>
      </c>
      <c r="W62" s="362"/>
      <c r="X62" s="363">
        <v>0</v>
      </c>
      <c r="Y62" s="363"/>
      <c r="Z62" s="363"/>
      <c r="AA62" s="363"/>
      <c r="AB62" s="363"/>
      <c r="AC62" s="363"/>
      <c r="AD62" s="9"/>
    </row>
    <row r="63" spans="2:30" ht="13.5" hidden="1" customHeight="1" x14ac:dyDescent="0.3">
      <c r="B63" s="61" t="s">
        <v>115</v>
      </c>
      <c r="C63" s="61"/>
      <c r="D63" s="61"/>
      <c r="E63" s="61"/>
      <c r="F63" s="61"/>
      <c r="G63" s="164">
        <v>0</v>
      </c>
      <c r="H63" s="164"/>
      <c r="I63" s="164"/>
      <c r="J63" s="164"/>
      <c r="K63" s="164"/>
      <c r="L63" s="164"/>
      <c r="O63" s="1"/>
      <c r="P63" s="161"/>
      <c r="Q63" s="161"/>
      <c r="V63" s="361" t="s">
        <v>116</v>
      </c>
      <c r="W63" s="361"/>
      <c r="X63" s="361"/>
      <c r="Y63" s="361"/>
      <c r="Z63" s="361"/>
      <c r="AA63" s="361"/>
      <c r="AB63" s="361"/>
      <c r="AC63" s="361"/>
      <c r="AD63" s="113"/>
    </row>
    <row r="64" spans="2:30" ht="13.5" customHeight="1" x14ac:dyDescent="0.3">
      <c r="B64" s="61" t="s">
        <v>116</v>
      </c>
      <c r="C64" s="61"/>
      <c r="D64" s="61"/>
      <c r="E64" s="61"/>
      <c r="F64" s="61"/>
      <c r="G64" s="61"/>
      <c r="H64" s="61"/>
      <c r="I64" s="61"/>
      <c r="J64" s="61"/>
      <c r="K64" s="61"/>
      <c r="L64" s="61"/>
      <c r="M64" s="112"/>
      <c r="N64" s="18"/>
      <c r="O64" s="1"/>
      <c r="V64" s="362" t="s">
        <v>117</v>
      </c>
      <c r="W64" s="362"/>
      <c r="X64" s="363">
        <f>+G65</f>
        <v>4122856</v>
      </c>
      <c r="Y64" s="363"/>
      <c r="Z64" s="363"/>
      <c r="AA64" s="363"/>
      <c r="AB64" s="363"/>
      <c r="AC64" s="363"/>
      <c r="AD64" s="9"/>
    </row>
    <row r="65" spans="1:30" ht="12.75" customHeight="1" x14ac:dyDescent="0.3">
      <c r="B65" s="163" t="s">
        <v>117</v>
      </c>
      <c r="C65" s="61"/>
      <c r="D65" s="61"/>
      <c r="E65" s="61"/>
      <c r="F65" s="61"/>
      <c r="G65" s="164">
        <v>4122856</v>
      </c>
      <c r="H65" s="164"/>
      <c r="I65" s="164"/>
      <c r="J65" s="164"/>
      <c r="K65" s="164"/>
      <c r="L65" s="164"/>
      <c r="O65" s="1"/>
      <c r="V65" s="362" t="s">
        <v>118</v>
      </c>
      <c r="W65" s="362"/>
      <c r="X65" s="363">
        <f>+G66</f>
        <v>0</v>
      </c>
      <c r="Y65" s="363"/>
      <c r="Z65" s="363"/>
      <c r="AA65" s="363"/>
      <c r="AB65" s="363"/>
      <c r="AC65" s="363"/>
      <c r="AD65" s="20"/>
    </row>
    <row r="66" spans="1:30" ht="15" customHeight="1" x14ac:dyDescent="0.35">
      <c r="B66" s="163" t="s">
        <v>118</v>
      </c>
      <c r="C66" s="61"/>
      <c r="D66" s="61"/>
      <c r="E66" s="61"/>
      <c r="F66" s="61"/>
      <c r="G66" s="164">
        <v>0</v>
      </c>
      <c r="H66" s="164"/>
      <c r="I66" s="164"/>
      <c r="J66" s="164"/>
      <c r="K66" s="164"/>
      <c r="L66" s="164"/>
      <c r="M66" s="18"/>
      <c r="N66" s="3"/>
      <c r="O66" s="165"/>
      <c r="P66" s="165"/>
      <c r="Q66" s="165"/>
      <c r="V66" s="354" t="s">
        <v>119</v>
      </c>
      <c r="W66" s="354"/>
      <c r="X66" s="354"/>
      <c r="Y66" s="355">
        <f>+I67</f>
        <v>96774526</v>
      </c>
      <c r="Z66" s="355"/>
      <c r="AA66" s="158" t="s">
        <v>111</v>
      </c>
      <c r="AB66" s="159">
        <f>AB54</f>
        <v>1.2899999999999999E-4</v>
      </c>
      <c r="AC66" s="55">
        <f>ROUND(Y66*AB66,0)</f>
        <v>12484</v>
      </c>
      <c r="AD66" s="9"/>
    </row>
    <row r="67" spans="1:30" ht="20.25" customHeight="1" x14ac:dyDescent="0.3">
      <c r="B67" s="13" t="s">
        <v>119</v>
      </c>
      <c r="C67" s="13"/>
      <c r="D67" s="13"/>
      <c r="E67" s="13"/>
      <c r="F67" s="13"/>
      <c r="H67" s="160" t="s">
        <v>25</v>
      </c>
      <c r="I67" s="125">
        <v>96774526</v>
      </c>
      <c r="J67" s="161" t="s">
        <v>111</v>
      </c>
      <c r="K67" s="162">
        <f>K54</f>
        <v>6.2699999999999995E-4</v>
      </c>
      <c r="L67" s="50">
        <f>ROUND(I67*K67,0)</f>
        <v>60678</v>
      </c>
      <c r="O67" s="1"/>
      <c r="V67" s="354" t="s">
        <v>120</v>
      </c>
      <c r="W67" s="354"/>
      <c r="X67" s="354"/>
      <c r="Y67" s="354"/>
      <c r="Z67" s="354"/>
      <c r="AA67" s="354"/>
      <c r="AB67" s="354"/>
      <c r="AC67" s="354"/>
      <c r="AD67" s="9"/>
    </row>
    <row r="68" spans="1:30" ht="20.25" customHeight="1" x14ac:dyDescent="0.3">
      <c r="B68" s="13" t="s">
        <v>120</v>
      </c>
      <c r="C68" s="13"/>
      <c r="D68" s="13"/>
      <c r="E68" s="13"/>
      <c r="F68" s="13"/>
      <c r="H68" s="13"/>
      <c r="I68" s="13"/>
      <c r="J68" s="51"/>
      <c r="K68" s="13"/>
      <c r="L68" s="13"/>
      <c r="O68" s="1"/>
      <c r="V68" s="359" t="s">
        <v>121</v>
      </c>
      <c r="W68" s="359"/>
      <c r="X68" s="359"/>
      <c r="Y68" s="355">
        <f>+I69</f>
        <v>0</v>
      </c>
      <c r="Z68" s="355"/>
      <c r="AA68" s="158" t="s">
        <v>111</v>
      </c>
      <c r="AB68" s="159">
        <f>AB57</f>
        <v>1.3899999999999999E-4</v>
      </c>
      <c r="AC68" s="55">
        <f>ROUND(Y68*AB68,0)</f>
        <v>0</v>
      </c>
      <c r="AD68" s="9"/>
    </row>
    <row r="69" spans="1:30" ht="15" customHeight="1" x14ac:dyDescent="0.3">
      <c r="B69" s="166" t="s">
        <v>121</v>
      </c>
      <c r="C69" s="13"/>
      <c r="D69" s="13"/>
      <c r="E69" s="13"/>
      <c r="F69" s="13"/>
      <c r="H69" s="160" t="s">
        <v>23</v>
      </c>
      <c r="I69" s="125">
        <v>0</v>
      </c>
      <c r="J69" s="161" t="s">
        <v>111</v>
      </c>
      <c r="K69" s="162">
        <f>K57</f>
        <v>1.3899999999999999E-4</v>
      </c>
      <c r="L69" s="50">
        <f>ROUND(I69*K69,0)</f>
        <v>0</v>
      </c>
      <c r="O69" s="1"/>
      <c r="V69" s="354" t="s">
        <v>122</v>
      </c>
      <c r="W69" s="354"/>
      <c r="X69" s="354"/>
      <c r="Y69" s="360">
        <f>+I70</f>
        <v>0</v>
      </c>
      <c r="Z69" s="360"/>
      <c r="AA69" s="158" t="s">
        <v>111</v>
      </c>
      <c r="AB69" s="159">
        <f>AB54</f>
        <v>1.2899999999999999E-4</v>
      </c>
      <c r="AC69" s="55">
        <f>ROUND(Y69*AB69,0)</f>
        <v>0</v>
      </c>
      <c r="AD69" s="9"/>
    </row>
    <row r="70" spans="1:30" ht="20.25" customHeight="1" x14ac:dyDescent="0.3">
      <c r="B70" s="13" t="s">
        <v>122</v>
      </c>
      <c r="C70" s="13"/>
      <c r="D70" s="13"/>
      <c r="E70" s="13"/>
      <c r="F70" s="13"/>
      <c r="H70" s="160" t="s">
        <v>22</v>
      </c>
      <c r="I70" s="125">
        <v>0</v>
      </c>
      <c r="J70" s="161" t="s">
        <v>111</v>
      </c>
      <c r="K70" s="162">
        <f>K54</f>
        <v>6.2699999999999995E-4</v>
      </c>
      <c r="L70" s="50">
        <f>ROUND(I70*K70,0)</f>
        <v>0</v>
      </c>
      <c r="O70" s="1"/>
      <c r="V70" s="354" t="s">
        <v>123</v>
      </c>
      <c r="W70" s="354"/>
      <c r="X70" s="354"/>
      <c r="Y70" s="356">
        <f>+I71</f>
        <v>0</v>
      </c>
      <c r="Z70" s="356"/>
      <c r="AA70" s="158" t="s">
        <v>111</v>
      </c>
      <c r="AB70" s="159">
        <f>AB54</f>
        <v>1.2899999999999999E-4</v>
      </c>
      <c r="AC70" s="55">
        <f>ROUND(Y70*AB70,0)</f>
        <v>0</v>
      </c>
      <c r="AD70" s="9"/>
    </row>
    <row r="71" spans="1:30" ht="20.25" customHeight="1" x14ac:dyDescent="0.3">
      <c r="B71" s="13" t="s">
        <v>123</v>
      </c>
      <c r="C71" s="13"/>
      <c r="D71" s="13"/>
      <c r="E71" s="13"/>
      <c r="F71" s="13"/>
      <c r="H71" s="160" t="s">
        <v>22</v>
      </c>
      <c r="I71" s="125">
        <v>0</v>
      </c>
      <c r="J71" s="161" t="s">
        <v>111</v>
      </c>
      <c r="K71" s="162">
        <f>K54</f>
        <v>6.2699999999999995E-4</v>
      </c>
      <c r="L71" s="50">
        <f>ROUND(I71*K71,0)</f>
        <v>0</v>
      </c>
      <c r="O71" s="1"/>
      <c r="V71" s="354" t="s">
        <v>124</v>
      </c>
      <c r="W71" s="354"/>
      <c r="X71" s="354"/>
      <c r="Y71" s="356">
        <f>+I72</f>
        <v>14117224</v>
      </c>
      <c r="Z71" s="356"/>
      <c r="AA71" s="158" t="s">
        <v>111</v>
      </c>
      <c r="AB71" s="159">
        <f>AB57</f>
        <v>1.3899999999999999E-4</v>
      </c>
      <c r="AC71" s="55">
        <f>ROUND(Y71*AB71,0)</f>
        <v>1962</v>
      </c>
      <c r="AD71" s="9"/>
    </row>
    <row r="72" spans="1:30" ht="21" customHeight="1" x14ac:dyDescent="0.35">
      <c r="B72" s="13" t="s">
        <v>124</v>
      </c>
      <c r="C72" s="13"/>
      <c r="D72" s="13"/>
      <c r="E72" s="13"/>
      <c r="F72" s="13"/>
      <c r="H72" s="160" t="s">
        <v>23</v>
      </c>
      <c r="I72" s="125">
        <v>14117224</v>
      </c>
      <c r="J72" s="161" t="s">
        <v>111</v>
      </c>
      <c r="K72" s="162">
        <f>K57</f>
        <v>1.3899999999999999E-4</v>
      </c>
      <c r="L72" s="50">
        <f>ROUND(I72*K72,0)</f>
        <v>1962</v>
      </c>
      <c r="O72" s="1"/>
      <c r="V72" s="357" t="s">
        <v>125</v>
      </c>
      <c r="W72" s="357"/>
      <c r="X72" s="357"/>
      <c r="Y72" s="357"/>
      <c r="Z72" s="357"/>
      <c r="AA72" s="357"/>
      <c r="AB72" s="357"/>
      <c r="AC72" s="59"/>
      <c r="AD72" s="9"/>
    </row>
    <row r="73" spans="1:30" ht="17.25" customHeight="1" x14ac:dyDescent="0.35">
      <c r="B73" s="13" t="s">
        <v>125</v>
      </c>
      <c r="C73" s="13"/>
      <c r="D73" s="13"/>
      <c r="E73" s="13"/>
      <c r="F73" s="13"/>
      <c r="H73" s="13"/>
      <c r="I73" s="13"/>
      <c r="J73" s="51"/>
      <c r="K73" s="13"/>
      <c r="L73" s="58"/>
      <c r="O73" s="1"/>
      <c r="V73" s="354" t="s">
        <v>126</v>
      </c>
      <c r="W73" s="354"/>
      <c r="X73" s="354"/>
      <c r="Y73" s="354"/>
      <c r="Z73" s="354"/>
      <c r="AA73" s="354"/>
      <c r="AB73" s="354"/>
      <c r="AC73" s="354"/>
      <c r="AD73" s="9"/>
    </row>
    <row r="74" spans="1:30" ht="30" x14ac:dyDescent="0.3">
      <c r="B74" s="13" t="s">
        <v>126</v>
      </c>
      <c r="C74" s="13"/>
      <c r="D74" s="27" t="s">
        <v>13</v>
      </c>
      <c r="E74" s="27" t="s">
        <v>14</v>
      </c>
      <c r="F74" s="27"/>
      <c r="H74" s="160" t="s">
        <v>26</v>
      </c>
      <c r="I74" s="167"/>
      <c r="J74" s="160"/>
      <c r="K74" s="167"/>
      <c r="L74" s="108"/>
      <c r="O74" s="1"/>
      <c r="V74" s="358" t="s">
        <v>127</v>
      </c>
      <c r="W74" s="358"/>
      <c r="X74" s="168" t="s">
        <v>128</v>
      </c>
      <c r="Y74" s="169"/>
      <c r="Z74" s="170">
        <f>+I75</f>
        <v>14</v>
      </c>
      <c r="AA74" s="171" t="s">
        <v>129</v>
      </c>
      <c r="AB74" s="172">
        <f>+K75</f>
        <v>360</v>
      </c>
      <c r="AC74" s="55">
        <f>ROUND(AB74*Z74,0)</f>
        <v>5040</v>
      </c>
      <c r="AD74" s="9"/>
    </row>
    <row r="75" spans="1:30" ht="19.5" customHeight="1" x14ac:dyDescent="0.3">
      <c r="A75" s="1" t="s">
        <v>130</v>
      </c>
      <c r="B75" s="173" t="s">
        <v>127</v>
      </c>
      <c r="C75" s="174" t="s">
        <v>128</v>
      </c>
      <c r="D75" s="173">
        <v>14</v>
      </c>
      <c r="E75" s="173">
        <v>0</v>
      </c>
      <c r="F75" s="173">
        <v>0</v>
      </c>
      <c r="G75" s="175">
        <f>IF(E75=0,D75,E75)</f>
        <v>14</v>
      </c>
      <c r="H75" s="176"/>
      <c r="I75" s="177">
        <f>AVERAGE(G75,D75)</f>
        <v>14</v>
      </c>
      <c r="J75" s="178" t="s">
        <v>129</v>
      </c>
      <c r="K75" s="179">
        <v>360</v>
      </c>
      <c r="L75" s="50">
        <f>ROUND(K75*I75,0)</f>
        <v>5040</v>
      </c>
      <c r="N75" s="1">
        <v>7802</v>
      </c>
      <c r="O75" s="1">
        <v>0</v>
      </c>
      <c r="V75" s="358" t="s">
        <v>127</v>
      </c>
      <c r="W75" s="358"/>
      <c r="X75" s="168" t="s">
        <v>131</v>
      </c>
      <c r="Y75" s="180"/>
      <c r="Z75" s="181">
        <f>+I76</f>
        <v>4</v>
      </c>
      <c r="AA75" s="171" t="s">
        <v>129</v>
      </c>
      <c r="AB75" s="182">
        <f>+K76</f>
        <v>1355</v>
      </c>
      <c r="AC75" s="55">
        <f>ROUND(AB75*Z75,0)</f>
        <v>5420</v>
      </c>
      <c r="AD75" s="9"/>
    </row>
    <row r="76" spans="1:30" ht="19.5" customHeight="1" x14ac:dyDescent="0.3">
      <c r="A76" s="1" t="s">
        <v>132</v>
      </c>
      <c r="B76" s="173" t="s">
        <v>127</v>
      </c>
      <c r="C76" s="174" t="s">
        <v>131</v>
      </c>
      <c r="D76" s="173">
        <v>4</v>
      </c>
      <c r="E76" s="173">
        <v>0</v>
      </c>
      <c r="F76" s="173">
        <v>0</v>
      </c>
      <c r="G76" s="175">
        <f>IF(E76=0,D76,E76)</f>
        <v>4</v>
      </c>
      <c r="H76" s="176"/>
      <c r="I76" s="177">
        <f>AVERAGE(G76,D76)</f>
        <v>4</v>
      </c>
      <c r="J76" s="178" t="s">
        <v>129</v>
      </c>
      <c r="K76" s="183">
        <v>1355</v>
      </c>
      <c r="L76" s="50">
        <f>ROUND(K76*I76,0)</f>
        <v>5420</v>
      </c>
      <c r="N76" s="1">
        <v>7802</v>
      </c>
      <c r="O76" s="1">
        <v>110</v>
      </c>
      <c r="V76" s="354" t="s">
        <v>133</v>
      </c>
      <c r="W76" s="354"/>
      <c r="X76" s="354"/>
      <c r="Y76" s="355">
        <f>+I77</f>
        <v>32718286</v>
      </c>
      <c r="Z76" s="355"/>
      <c r="AA76" s="171" t="s">
        <v>129</v>
      </c>
      <c r="AB76" s="159">
        <f>AB54</f>
        <v>1.2899999999999999E-4</v>
      </c>
      <c r="AC76" s="55">
        <f>ROUND(Y76*AB76,0)</f>
        <v>4221</v>
      </c>
      <c r="AD76" s="9"/>
    </row>
    <row r="77" spans="1:30" ht="26.25" customHeight="1" x14ac:dyDescent="0.3">
      <c r="B77" s="13" t="s">
        <v>133</v>
      </c>
      <c r="C77" s="13"/>
      <c r="D77" s="13"/>
      <c r="E77" s="13"/>
      <c r="F77" s="13"/>
      <c r="H77" s="160" t="s">
        <v>134</v>
      </c>
      <c r="I77" s="184">
        <v>32718286</v>
      </c>
      <c r="J77" s="161" t="s">
        <v>111</v>
      </c>
      <c r="K77" s="162">
        <f>K54</f>
        <v>6.2699999999999995E-4</v>
      </c>
      <c r="L77" s="50">
        <f>ROUND(I77*K77,0)</f>
        <v>20514</v>
      </c>
      <c r="O77" s="1"/>
      <c r="V77" s="354" t="str">
        <f>+B78</f>
        <v>15.  Additional Allocation (WFTE share)</v>
      </c>
      <c r="W77" s="354"/>
      <c r="X77" s="354"/>
      <c r="Y77" s="355">
        <f>+I78</f>
        <v>668680</v>
      </c>
      <c r="Z77" s="355"/>
      <c r="AA77" s="171" t="s">
        <v>129</v>
      </c>
      <c r="AB77" s="159">
        <f>AB54</f>
        <v>1.2899999999999999E-4</v>
      </c>
      <c r="AC77" s="55">
        <f>ROUND(Y77*AB77,0)</f>
        <v>86</v>
      </c>
      <c r="AD77" s="9"/>
    </row>
    <row r="78" spans="1:30" ht="26.25" customHeight="1" x14ac:dyDescent="0.3">
      <c r="B78" s="353" t="s">
        <v>135</v>
      </c>
      <c r="C78" s="353"/>
      <c r="D78" s="353"/>
      <c r="E78" s="13"/>
      <c r="F78" s="13"/>
      <c r="H78" s="160" t="s">
        <v>136</v>
      </c>
      <c r="I78" s="185">
        <v>668680</v>
      </c>
      <c r="J78" s="161" t="s">
        <v>111</v>
      </c>
      <c r="K78" s="162">
        <f>K54</f>
        <v>6.2699999999999995E-4</v>
      </c>
      <c r="L78" s="50">
        <f>ROUND(I78*K78,0)</f>
        <v>419</v>
      </c>
      <c r="O78" s="1"/>
      <c r="V78" s="354" t="str">
        <f t="shared" ref="V78:V79" si="11">+B79</f>
        <v>16.  Florida Teachers Lead Program Stipend</v>
      </c>
      <c r="W78" s="354"/>
      <c r="X78" s="354"/>
      <c r="Y78" s="186"/>
      <c r="Z78" s="186"/>
      <c r="AA78" s="186"/>
      <c r="AB78" s="186"/>
      <c r="AC78" s="130"/>
      <c r="AD78" s="9"/>
    </row>
    <row r="79" spans="1:30" ht="21" customHeight="1" x14ac:dyDescent="0.3">
      <c r="B79" s="353" t="s">
        <v>137</v>
      </c>
      <c r="C79" s="353"/>
      <c r="D79" s="353"/>
      <c r="E79" s="13"/>
      <c r="F79" s="13"/>
      <c r="H79" s="160"/>
      <c r="I79" s="167"/>
      <c r="J79" s="167"/>
      <c r="K79" s="167"/>
      <c r="L79" s="125"/>
      <c r="N79" s="187"/>
      <c r="O79" s="1"/>
      <c r="Q79" s="160"/>
      <c r="V79" s="354" t="str">
        <f t="shared" si="11"/>
        <v>17.  Food Service Allocation</v>
      </c>
      <c r="W79" s="354"/>
      <c r="X79" s="354"/>
      <c r="Y79" s="186"/>
      <c r="Z79" s="186"/>
      <c r="AA79" s="186"/>
      <c r="AB79" s="186"/>
      <c r="AC79" s="188"/>
      <c r="AD79" s="9"/>
    </row>
    <row r="80" spans="1:30" ht="21" customHeight="1" x14ac:dyDescent="0.3">
      <c r="B80" s="353" t="s">
        <v>138</v>
      </c>
      <c r="C80" s="353"/>
      <c r="D80" s="353"/>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5">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163244</v>
      </c>
      <c r="AD81" s="195"/>
    </row>
    <row r="82" spans="1:30" ht="22.5" customHeight="1" thickTop="1" thickBot="1" x14ac:dyDescent="0.35">
      <c r="B82" s="13" t="s">
        <v>141</v>
      </c>
      <c r="C82" s="13"/>
      <c r="D82" s="13"/>
      <c r="E82" s="13"/>
      <c r="F82" s="13"/>
      <c r="G82" s="13"/>
      <c r="H82" s="13"/>
      <c r="I82" s="13"/>
      <c r="J82" s="13"/>
      <c r="K82" s="13"/>
      <c r="L82" s="196">
        <f>SUM(L44:L81)</f>
        <v>724311</v>
      </c>
      <c r="M82" s="197"/>
      <c r="N82" s="198"/>
      <c r="O82" s="1"/>
      <c r="Q82" s="160"/>
      <c r="V82" s="186"/>
      <c r="W82" s="186"/>
      <c r="X82" s="186"/>
      <c r="Y82" s="186"/>
      <c r="Z82" s="186"/>
      <c r="AA82" s="186"/>
      <c r="AB82" s="186"/>
      <c r="AC82" s="199"/>
      <c r="AD82" s="195"/>
    </row>
    <row r="83" spans="1:30" ht="27.75" customHeight="1" thickTop="1" x14ac:dyDescent="0.3">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5">
      <c r="B84" s="13" t="s">
        <v>146</v>
      </c>
      <c r="C84" s="13"/>
      <c r="D84" s="13"/>
      <c r="E84" s="13"/>
      <c r="F84" s="13"/>
      <c r="G84" s="13"/>
      <c r="H84" s="13"/>
      <c r="I84" s="13"/>
      <c r="J84" s="13"/>
      <c r="K84" s="202">
        <f>IF(G26=0,"",IF((G11+G13+SUM(G15:G21))/G26&gt;0.75,1,""))</f>
        <v>1</v>
      </c>
      <c r="L84" s="196">
        <f>'2531'!AC81</f>
        <v>163244</v>
      </c>
      <c r="M84" s="197"/>
      <c r="N84" s="198"/>
      <c r="O84" s="1"/>
      <c r="Q84" s="160"/>
      <c r="V84" s="203" t="s">
        <v>147</v>
      </c>
      <c r="W84" s="203"/>
      <c r="X84" s="203"/>
      <c r="Y84" s="203"/>
      <c r="Z84" s="203"/>
      <c r="AA84" s="203"/>
      <c r="AB84" s="203"/>
      <c r="AC84" s="203"/>
      <c r="AD84" s="9"/>
    </row>
    <row r="85" spans="1:30" ht="18.75" customHeight="1" thickTop="1" x14ac:dyDescent="0.3">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3">
      <c r="B86" s="2" t="s">
        <v>149</v>
      </c>
      <c r="C86" s="13"/>
      <c r="D86" s="13"/>
      <c r="E86" s="13"/>
      <c r="F86" s="13"/>
      <c r="G86" s="13"/>
      <c r="H86" s="13"/>
      <c r="I86" s="13"/>
      <c r="J86" s="204" t="s">
        <v>150</v>
      </c>
      <c r="K86" s="205">
        <f>IF(K84=1,L84,L82)</f>
        <v>163244</v>
      </c>
      <c r="L86" s="82">
        <f>IF(G26=0,0,IF(G26&gt;250,-(((250/G26)*K86)*IF(M86="H",0.02,0.05)),IF(M86="H",-0.02*K86,-0.05*K86)))</f>
        <v>-8162.2000000000007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3">
      <c r="B87" s="2" t="s">
        <v>152</v>
      </c>
      <c r="C87" s="13"/>
      <c r="D87" s="13"/>
      <c r="E87" s="13"/>
      <c r="F87" s="13"/>
      <c r="G87" s="13"/>
      <c r="H87" s="13"/>
      <c r="I87" s="13"/>
      <c r="J87" s="13"/>
      <c r="K87" s="206"/>
      <c r="L87" s="200">
        <f>L82+L86</f>
        <v>716148.8</v>
      </c>
      <c r="M87" s="197"/>
      <c r="N87" s="198"/>
      <c r="O87" s="1"/>
      <c r="Q87" s="160"/>
      <c r="V87" s="193"/>
      <c r="W87" s="193"/>
      <c r="X87" s="193"/>
      <c r="Y87" s="193"/>
      <c r="Z87" s="193"/>
      <c r="AA87" s="193"/>
      <c r="AB87" s="193"/>
      <c r="AC87" s="193"/>
      <c r="AD87" s="207"/>
    </row>
    <row r="88" spans="1:30" x14ac:dyDescent="0.3">
      <c r="V88" s="193"/>
      <c r="W88" s="193"/>
      <c r="X88" s="193"/>
      <c r="Y88" s="193"/>
      <c r="Z88" s="193"/>
      <c r="AA88" s="193"/>
      <c r="AB88" s="193"/>
      <c r="AC88" s="193"/>
      <c r="AD88" s="208"/>
    </row>
    <row r="89" spans="1:30" ht="18.75" customHeight="1" x14ac:dyDescent="0.3">
      <c r="A89" s="1" t="s">
        <v>153</v>
      </c>
      <c r="B89" s="13" t="s">
        <v>154</v>
      </c>
      <c r="C89" s="13"/>
      <c r="D89" s="13">
        <v>0</v>
      </c>
      <c r="E89" s="13">
        <v>0</v>
      </c>
      <c r="F89" s="13">
        <v>405761</v>
      </c>
      <c r="G89" s="13"/>
      <c r="H89" s="13"/>
      <c r="I89" s="13"/>
      <c r="J89" s="13"/>
      <c r="K89" s="206"/>
      <c r="L89" s="82">
        <v>-509041</v>
      </c>
      <c r="M89" s="197"/>
      <c r="N89" s="198"/>
      <c r="O89" s="1"/>
      <c r="Q89" s="160"/>
      <c r="V89" s="193">
        <v>2801</v>
      </c>
      <c r="W89" s="193"/>
      <c r="X89" s="193"/>
      <c r="Y89" s="193"/>
      <c r="Z89" s="193"/>
      <c r="AA89" s="193"/>
      <c r="AB89" s="193"/>
      <c r="AC89" s="193"/>
      <c r="AD89" s="207"/>
    </row>
    <row r="90" spans="1:30" ht="18.75" customHeight="1" x14ac:dyDescent="0.3">
      <c r="B90" s="13" t="s">
        <v>155</v>
      </c>
      <c r="C90" s="13"/>
      <c r="D90" s="13"/>
      <c r="E90" s="13"/>
      <c r="F90" s="13"/>
      <c r="G90" s="13"/>
      <c r="H90" s="13"/>
      <c r="I90" s="13"/>
      <c r="J90" s="13"/>
      <c r="K90" s="206"/>
      <c r="L90" s="200">
        <f>L87+L89</f>
        <v>207107.80000000005</v>
      </c>
      <c r="M90" s="197"/>
      <c r="N90" s="198"/>
      <c r="O90" s="1"/>
      <c r="Q90" s="160"/>
      <c r="V90" s="193">
        <v>2911</v>
      </c>
      <c r="W90" s="209"/>
      <c r="X90" s="209"/>
      <c r="Y90" s="209"/>
      <c r="Z90" s="209"/>
      <c r="AA90" s="209"/>
      <c r="AB90" s="209"/>
      <c r="AC90" s="209"/>
      <c r="AD90" s="207"/>
    </row>
    <row r="91" spans="1:30" ht="18.75" customHeight="1" x14ac:dyDescent="0.3">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5">
      <c r="B92" s="13" t="s">
        <v>157</v>
      </c>
      <c r="C92" s="13"/>
      <c r="D92" s="13"/>
      <c r="E92" s="13"/>
      <c r="F92" s="13"/>
      <c r="G92" s="13"/>
      <c r="H92" s="13"/>
      <c r="I92" s="13"/>
      <c r="J92" s="13"/>
      <c r="K92" s="206"/>
      <c r="L92" s="210">
        <f>L90/L91</f>
        <v>51776.950000000012</v>
      </c>
      <c r="M92" s="197"/>
      <c r="N92" s="198"/>
      <c r="O92" s="1"/>
      <c r="Q92" s="160"/>
      <c r="V92" s="211"/>
      <c r="W92" s="211"/>
      <c r="X92" s="211"/>
      <c r="Y92" s="211"/>
      <c r="Z92" s="211"/>
      <c r="AA92" s="211"/>
      <c r="AB92" s="211"/>
      <c r="AC92" s="211"/>
      <c r="AD92" s="212"/>
    </row>
    <row r="93" spans="1:30" ht="18.75" customHeight="1" thickTop="1" x14ac:dyDescent="0.3">
      <c r="N93" s="212"/>
      <c r="O93" s="213"/>
      <c r="P93" s="212"/>
      <c r="Q93" s="212"/>
      <c r="V93" s="211"/>
      <c r="W93" s="211"/>
      <c r="X93" s="211"/>
      <c r="Y93" s="211"/>
      <c r="Z93" s="211"/>
      <c r="AA93" s="211"/>
      <c r="AB93" s="211"/>
      <c r="AC93" s="211"/>
      <c r="AD93" s="207"/>
    </row>
    <row r="94" spans="1:30" ht="18.75" customHeight="1" thickBot="1" x14ac:dyDescent="0.35">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3">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3">
      <c r="B96" s="218"/>
      <c r="V96" s="216"/>
      <c r="W96" s="216"/>
      <c r="X96" s="216"/>
      <c r="Y96" s="216"/>
      <c r="Z96" s="216"/>
      <c r="AA96" s="216"/>
      <c r="AB96" s="216"/>
      <c r="AC96" s="216"/>
      <c r="AD96" s="212"/>
    </row>
    <row r="97" spans="2:30" x14ac:dyDescent="0.3">
      <c r="B97" s="218"/>
      <c r="V97" s="216"/>
      <c r="W97" s="216"/>
      <c r="X97" s="216"/>
      <c r="Y97" s="216"/>
      <c r="Z97" s="216"/>
      <c r="AA97" s="216"/>
      <c r="AB97" s="216"/>
      <c r="AC97" s="216"/>
      <c r="AD97" s="212"/>
    </row>
    <row r="98" spans="2:30" ht="15.5" hidden="1" x14ac:dyDescent="0.35">
      <c r="B98" s="219" t="s">
        <v>160</v>
      </c>
      <c r="C98" s="220"/>
      <c r="V98" s="221"/>
      <c r="W98" s="221"/>
      <c r="X98" s="221"/>
      <c r="Y98" s="221"/>
      <c r="Z98" s="221"/>
      <c r="AA98" s="221"/>
      <c r="AB98" s="221"/>
      <c r="AC98" s="221"/>
    </row>
    <row r="99" spans="2:30" ht="15.5" hidden="1" x14ac:dyDescent="0.35">
      <c r="B99" s="222"/>
      <c r="C99" s="220"/>
      <c r="V99" s="218"/>
      <c r="W99" s="13"/>
      <c r="X99" s="13"/>
      <c r="Y99" s="13"/>
      <c r="Z99" s="13"/>
      <c r="AA99" s="13"/>
      <c r="AB99" s="13"/>
      <c r="AC99" s="13"/>
    </row>
    <row r="100" spans="2:30" ht="15.5" hidden="1" x14ac:dyDescent="0.35">
      <c r="B100" s="223" t="s">
        <v>161</v>
      </c>
      <c r="C100" s="219" t="s">
        <v>162</v>
      </c>
      <c r="V100" s="218"/>
    </row>
    <row r="101" spans="2:30" ht="15.5" hidden="1" x14ac:dyDescent="0.35">
      <c r="B101" s="223" t="s">
        <v>163</v>
      </c>
      <c r="C101" s="219" t="s">
        <v>164</v>
      </c>
      <c r="V101" s="218"/>
    </row>
    <row r="102" spans="2:30" ht="15.5" hidden="1" x14ac:dyDescent="0.35">
      <c r="B102" s="223" t="s">
        <v>165</v>
      </c>
      <c r="C102" s="219" t="s">
        <v>166</v>
      </c>
      <c r="V102" s="218"/>
      <c r="W102" s="224"/>
      <c r="X102" s="224"/>
      <c r="Y102" s="224"/>
      <c r="Z102" s="224"/>
      <c r="AA102" s="224"/>
      <c r="AB102" s="224"/>
      <c r="AC102" s="224"/>
      <c r="AD102" s="224"/>
    </row>
    <row r="103" spans="2:30" ht="15.5" hidden="1" x14ac:dyDescent="0.35">
      <c r="B103" s="223" t="s">
        <v>167</v>
      </c>
      <c r="C103" s="219" t="s">
        <v>168</v>
      </c>
      <c r="V103" s="218"/>
    </row>
    <row r="104" spans="2:30" ht="15.5" hidden="1" x14ac:dyDescent="0.35">
      <c r="B104" s="225"/>
      <c r="C104" s="219" t="s">
        <v>169</v>
      </c>
      <c r="V104" s="218"/>
    </row>
    <row r="105" spans="2:30" ht="15.5" hidden="1" x14ac:dyDescent="0.35">
      <c r="B105" s="223" t="s">
        <v>170</v>
      </c>
      <c r="C105" s="219" t="s">
        <v>171</v>
      </c>
      <c r="V105" s="218"/>
    </row>
    <row r="106" spans="2:30" ht="15.5" hidden="1" x14ac:dyDescent="0.35">
      <c r="B106" s="223" t="s">
        <v>172</v>
      </c>
      <c r="C106" s="219" t="s">
        <v>173</v>
      </c>
      <c r="V106" s="218"/>
    </row>
    <row r="107" spans="2:30" ht="15.5" hidden="1" x14ac:dyDescent="0.35">
      <c r="B107" s="223" t="s">
        <v>183</v>
      </c>
      <c r="C107" s="219" t="s">
        <v>175</v>
      </c>
      <c r="V107" s="218"/>
    </row>
    <row r="108" spans="2:30" ht="15.5" hidden="1" x14ac:dyDescent="0.35">
      <c r="B108" s="223" t="s">
        <v>176</v>
      </c>
      <c r="C108" s="219" t="s">
        <v>177</v>
      </c>
      <c r="V108" s="218"/>
    </row>
    <row r="109" spans="2:30" ht="15.5" hidden="1" x14ac:dyDescent="0.35">
      <c r="B109" s="223" t="s">
        <v>178</v>
      </c>
      <c r="C109" s="219" t="s">
        <v>179</v>
      </c>
      <c r="V109" s="218"/>
    </row>
    <row r="110" spans="2:30" ht="15.5" hidden="1" x14ac:dyDescent="0.35">
      <c r="B110" s="225"/>
      <c r="C110" s="219"/>
      <c r="V110" s="218"/>
    </row>
    <row r="111" spans="2:30" ht="15.5" hidden="1" x14ac:dyDescent="0.35">
      <c r="B111" s="223" t="s">
        <v>180</v>
      </c>
      <c r="C111" s="219" t="s">
        <v>181</v>
      </c>
      <c r="V111" s="218"/>
    </row>
    <row r="112" spans="2:30" ht="15.5" hidden="1" x14ac:dyDescent="0.35">
      <c r="B112" s="223" t="s">
        <v>180</v>
      </c>
      <c r="C112" s="219" t="s">
        <v>182</v>
      </c>
    </row>
    <row r="113" spans="2:3" ht="15.5" hidden="1" x14ac:dyDescent="0.35">
      <c r="B113" s="223" t="s">
        <v>183</v>
      </c>
      <c r="C113" s="219" t="s">
        <v>184</v>
      </c>
    </row>
    <row r="114" spans="2:3" ht="15.5" hidden="1" x14ac:dyDescent="0.35">
      <c r="B114" s="223" t="s">
        <v>185</v>
      </c>
      <c r="C114" s="219" t="s">
        <v>186</v>
      </c>
    </row>
    <row r="115" spans="2:3" ht="15.5" hidden="1" x14ac:dyDescent="0.35">
      <c r="B115" s="223" t="s">
        <v>183</v>
      </c>
      <c r="C115" s="219" t="s">
        <v>187</v>
      </c>
    </row>
    <row r="116" spans="2:3" ht="15.5" hidden="1" x14ac:dyDescent="0.35">
      <c r="B116" s="223" t="s">
        <v>188</v>
      </c>
      <c r="C116" s="219" t="s">
        <v>189</v>
      </c>
    </row>
    <row r="117" spans="2:3" ht="15.5" hidden="1" x14ac:dyDescent="0.35">
      <c r="B117" s="223" t="s">
        <v>190</v>
      </c>
      <c r="C117" s="219" t="s">
        <v>191</v>
      </c>
    </row>
    <row r="118" spans="2:3" ht="15.5" hidden="1" x14ac:dyDescent="0.35">
      <c r="B118" s="225" t="s">
        <v>192</v>
      </c>
      <c r="C118" s="219" t="s">
        <v>193</v>
      </c>
    </row>
    <row r="119" spans="2:3" ht="15.5" hidden="1" x14ac:dyDescent="0.35">
      <c r="B119" s="225"/>
      <c r="C119" s="219"/>
    </row>
    <row r="120" spans="2:3" ht="15.5" hidden="1" x14ac:dyDescent="0.35">
      <c r="B120" s="223" t="s">
        <v>161</v>
      </c>
      <c r="C120" s="219" t="s">
        <v>194</v>
      </c>
    </row>
    <row r="121" spans="2:3" ht="15.5" hidden="1" x14ac:dyDescent="0.35">
      <c r="B121" s="223" t="s">
        <v>195</v>
      </c>
      <c r="C121" s="219" t="s">
        <v>196</v>
      </c>
    </row>
    <row r="122" spans="2:3" ht="15.5" hidden="1" x14ac:dyDescent="0.35">
      <c r="B122" s="223" t="s">
        <v>197</v>
      </c>
      <c r="C122" s="219" t="s">
        <v>198</v>
      </c>
    </row>
    <row r="123" spans="2:3" ht="15.5" hidden="1" x14ac:dyDescent="0.35">
      <c r="B123" s="223" t="s">
        <v>228</v>
      </c>
      <c r="C123" s="219" t="s">
        <v>200</v>
      </c>
    </row>
    <row r="124" spans="2:3" ht="15.5" hidden="1" x14ac:dyDescent="0.35">
      <c r="B124" s="223" t="s">
        <v>229</v>
      </c>
      <c r="C124" s="219" t="s">
        <v>202</v>
      </c>
    </row>
    <row r="125" spans="2:3" ht="15.5" hidden="1" x14ac:dyDescent="0.35">
      <c r="B125" s="223" t="s">
        <v>203</v>
      </c>
      <c r="C125" s="219" t="s">
        <v>204</v>
      </c>
    </row>
    <row r="126" spans="2:3" ht="15.5" hidden="1" x14ac:dyDescent="0.35">
      <c r="B126" s="223" t="s">
        <v>203</v>
      </c>
      <c r="C126" s="219" t="s">
        <v>205</v>
      </c>
    </row>
    <row r="127" spans="2:3" ht="15.5" hidden="1" x14ac:dyDescent="0.35">
      <c r="B127" s="223" t="s">
        <v>203</v>
      </c>
      <c r="C127" s="219" t="s">
        <v>206</v>
      </c>
    </row>
    <row r="128" spans="2:3" ht="15.5" hidden="1" x14ac:dyDescent="0.35">
      <c r="B128" s="223" t="s">
        <v>203</v>
      </c>
      <c r="C128" s="219" t="s">
        <v>207</v>
      </c>
    </row>
    <row r="129" spans="2:3" ht="15.5" hidden="1" x14ac:dyDescent="0.35">
      <c r="B129" s="223" t="s">
        <v>167</v>
      </c>
      <c r="C129" s="219" t="s">
        <v>208</v>
      </c>
    </row>
    <row r="130" spans="2:3" ht="15.5" hidden="1" x14ac:dyDescent="0.35">
      <c r="B130" s="223" t="s">
        <v>209</v>
      </c>
      <c r="C130" s="219" t="s">
        <v>210</v>
      </c>
    </row>
    <row r="131" spans="2:3" ht="15.5" hidden="1" x14ac:dyDescent="0.35">
      <c r="B131" s="223" t="s">
        <v>203</v>
      </c>
      <c r="C131" s="219" t="s">
        <v>211</v>
      </c>
    </row>
    <row r="132" spans="2:3" ht="15.5" hidden="1" x14ac:dyDescent="0.35">
      <c r="B132" s="219"/>
      <c r="C132" s="219"/>
    </row>
    <row r="133" spans="2:3" ht="15.5" hidden="1" x14ac:dyDescent="0.35">
      <c r="B133" s="219"/>
      <c r="C133" s="219"/>
    </row>
    <row r="134" spans="2:3" ht="15.5" hidden="1" x14ac:dyDescent="0.35">
      <c r="B134" s="225"/>
      <c r="C134" s="225"/>
    </row>
    <row r="135" spans="2:3" ht="15.5" hidden="1" x14ac:dyDescent="0.35">
      <c r="B135" s="225">
        <f>NvsElapsedTime</f>
        <v>1.15740767796524E-5</v>
      </c>
      <c r="C135" s="225"/>
    </row>
    <row r="136" spans="2:3" ht="15.5" hidden="1" x14ac:dyDescent="0.35">
      <c r="B136" s="226">
        <f>NvsEndTime</f>
        <v>41646.469027777799</v>
      </c>
      <c r="C136" s="226" t="s">
        <v>212</v>
      </c>
    </row>
    <row r="137" spans="2:3" ht="15.5" x14ac:dyDescent="0.35">
      <c r="B137" s="219"/>
      <c r="C137" s="227"/>
    </row>
    <row r="138" spans="2:3" ht="15.5" x14ac:dyDescent="0.35">
      <c r="B138" s="219"/>
      <c r="C138" s="219"/>
    </row>
    <row r="139" spans="2:3" ht="15.5" x14ac:dyDescent="0.35">
      <c r="B139" s="219"/>
      <c r="C139" s="219"/>
    </row>
    <row r="140" spans="2:3" ht="15.5" x14ac:dyDescent="0.35">
      <c r="B140" s="219"/>
      <c r="C140" s="219"/>
    </row>
    <row r="141" spans="2:3" ht="15.5" x14ac:dyDescent="0.35">
      <c r="B141" s="219"/>
      <c r="C141" s="219"/>
    </row>
    <row r="142" spans="2:3" ht="15.5" x14ac:dyDescent="0.35">
      <c r="B142" s="219"/>
      <c r="C142" s="219"/>
    </row>
    <row r="143" spans="2:3" ht="15.5" x14ac:dyDescent="0.35">
      <c r="B143" s="219"/>
      <c r="C143" s="219"/>
    </row>
    <row r="144" spans="2:3" ht="15.5" x14ac:dyDescent="0.35">
      <c r="B144" s="219"/>
      <c r="C144" s="219"/>
    </row>
    <row r="145" spans="2:3" ht="15.5" x14ac:dyDescent="0.35">
      <c r="B145" s="219"/>
      <c r="C145" s="219"/>
    </row>
    <row r="146" spans="2:3" ht="15.5" x14ac:dyDescent="0.35">
      <c r="B146" s="219"/>
      <c r="C146" s="219"/>
    </row>
    <row r="147" spans="2:3" ht="15.5" x14ac:dyDescent="0.35">
      <c r="B147" s="219"/>
      <c r="C147" s="219"/>
    </row>
    <row r="148" spans="2:3" ht="15.5" x14ac:dyDescent="0.35">
      <c r="B148" s="219"/>
      <c r="C148" s="219"/>
    </row>
    <row r="149" spans="2:3" ht="15.5" x14ac:dyDescent="0.35">
      <c r="B149" s="219"/>
      <c r="C149" s="219"/>
    </row>
    <row r="150" spans="2:3" ht="15.5" x14ac:dyDescent="0.35">
      <c r="B150" s="219"/>
      <c r="C150" s="219"/>
    </row>
    <row r="151" spans="2:3" ht="15.5" x14ac:dyDescent="0.3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2306</vt:i4>
      </vt:variant>
    </vt:vector>
  </HeadingPairs>
  <TitlesOfParts>
    <vt:vector size="2356" baseType="lpstr">
      <vt:lpstr>Net Payment</vt:lpstr>
      <vt:lpstr>Charter Schools</vt:lpstr>
      <vt:lpstr>0054</vt:lpstr>
      <vt:lpstr>0642</vt:lpstr>
      <vt:lpstr>0664</vt:lpstr>
      <vt:lpstr>1461</vt:lpstr>
      <vt:lpstr>1571</vt:lpstr>
      <vt:lpstr>2521</vt:lpstr>
      <vt:lpstr>2531</vt:lpstr>
      <vt:lpstr>2641</vt:lpstr>
      <vt:lpstr>2661</vt:lpstr>
      <vt:lpstr>2791</vt:lpstr>
      <vt:lpstr>2801</vt:lpstr>
      <vt:lpstr>2911</vt:lpstr>
      <vt:lpstr>2941</vt:lpstr>
      <vt:lpstr>3083</vt:lpstr>
      <vt:lpstr>3344</vt:lpstr>
      <vt:lpstr>3345</vt:lpstr>
      <vt:lpstr>3347</vt:lpstr>
      <vt:lpstr>3381</vt:lpstr>
      <vt:lpstr>3382</vt:lpstr>
      <vt:lpstr>3384</vt:lpstr>
      <vt:lpstr>3385</vt:lpstr>
      <vt:lpstr>3386</vt:lpstr>
      <vt:lpstr>3391</vt:lpstr>
      <vt:lpstr>3392</vt:lpstr>
      <vt:lpstr>3394</vt:lpstr>
      <vt:lpstr>3395</vt:lpstr>
      <vt:lpstr>3396</vt:lpstr>
      <vt:lpstr>3398</vt:lpstr>
      <vt:lpstr>3400</vt:lpstr>
      <vt:lpstr>3401</vt:lpstr>
      <vt:lpstr>3411</vt:lpstr>
      <vt:lpstr>3413</vt:lpstr>
      <vt:lpstr>3421</vt:lpstr>
      <vt:lpstr>3431</vt:lpstr>
      <vt:lpstr>3441</vt:lpstr>
      <vt:lpstr>3443</vt:lpstr>
      <vt:lpstr>3941</vt:lpstr>
      <vt:lpstr>3961</vt:lpstr>
      <vt:lpstr>3971</vt:lpstr>
      <vt:lpstr>4000</vt:lpstr>
      <vt:lpstr>4010</vt:lpstr>
      <vt:lpstr>4002</vt:lpstr>
      <vt:lpstr>4012</vt:lpstr>
      <vt:lpstr>4013</vt:lpstr>
      <vt:lpstr>4020</vt:lpstr>
      <vt:lpstr>4037</vt:lpstr>
      <vt:lpstr>4040</vt:lpstr>
      <vt:lpstr>4041</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'2661'!_1.__2009_10_FEFP_State_and_Local_Funding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'3344'!_1.__2009_10_FEFP_State_and_Local_Funding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'3392'!_1.__2009_10_FEFP_State_and_Local_Funding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'4037'!_1.__2009_10_FEFP_State_and_Local_Funding</vt:lpstr>
      <vt:lpstr>'4041'!_1.__2009_10_FEFP_State_and_Local_Funding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'2661'!_1.__2010_11_FEFP_State_and_Local_Funding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'3344'!_1.__2010_11_FEFP_State_and_Local_Funding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'3392'!_1.__2010_11_FEFP_State_and_Local_Funding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'4037'!_1.__2010_11_FEFP_State_and_Local_Funding</vt:lpstr>
      <vt:lpstr>'4041'!_1.__2010_11_FEFP_State_and_Local_Funding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'2661'!_101_Basic_K_3</vt:lpstr>
      <vt:lpstr>'2791'!_101_Basic_K_3</vt:lpstr>
      <vt:lpstr>'2801'!_101_Basic_K_3</vt:lpstr>
      <vt:lpstr>'2911'!_101_Basic_K_3</vt:lpstr>
      <vt:lpstr>'2941'!_101_Basic_K_3</vt:lpstr>
      <vt:lpstr>'3083'!_101_Basic_K_3</vt:lpstr>
      <vt:lpstr>'3344'!_101_Basic_K_3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'3392'!_101_Basic_K_3</vt:lpstr>
      <vt:lpstr>'3394'!_101_Basic_K_3</vt:lpstr>
      <vt:lpstr>'3395'!_101_Basic_K_3</vt:lpstr>
      <vt:lpstr>'3396'!_101_Basic_K_3</vt:lpstr>
      <vt:lpstr>'3398'!_101_Basic_K_3</vt:lpstr>
      <vt:lpstr>'3400'!_101_Basic_K_3</vt:lpstr>
      <vt:lpstr>'3401'!_101_Basic_K_3</vt:lpstr>
      <vt:lpstr>'3411'!_101_Basic_K_3</vt:lpstr>
      <vt:lpstr>'3413'!_101_Basic_K_3</vt:lpstr>
      <vt:lpstr>'3421'!_101_Basic_K_3</vt:lpstr>
      <vt:lpstr>'3431'!_101_Basic_K_3</vt:lpstr>
      <vt:lpstr>'3441'!_101_Basic_K_3</vt:lpstr>
      <vt:lpstr>'3443'!_101_Basic_K_3</vt:lpstr>
      <vt:lpstr>'3941'!_101_Basic_K_3</vt:lpstr>
      <vt:lpstr>'3961'!_101_Basic_K_3</vt:lpstr>
      <vt:lpstr>'3971'!_101_Basic_K_3</vt:lpstr>
      <vt:lpstr>'4000'!_101_Basic_K_3</vt:lpstr>
      <vt:lpstr>'4002'!_101_Basic_K_3</vt:lpstr>
      <vt:lpstr>'4010'!_101_Basic_K_3</vt:lpstr>
      <vt:lpstr>'4012'!_101_Basic_K_3</vt:lpstr>
      <vt:lpstr>'4013'!_101_Basic_K_3</vt:lpstr>
      <vt:lpstr>'4020'!_101_Basic_K_3</vt:lpstr>
      <vt:lpstr>'4037'!_101_Basic_K_3</vt:lpstr>
      <vt:lpstr>'4041'!_101_Basic_K_3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'2661'!_102_Basic_4_8</vt:lpstr>
      <vt:lpstr>'2791'!_102_Basic_4_8</vt:lpstr>
      <vt:lpstr>'2801'!_102_Basic_4_8</vt:lpstr>
      <vt:lpstr>'2911'!_102_Basic_4_8</vt:lpstr>
      <vt:lpstr>'2941'!_102_Basic_4_8</vt:lpstr>
      <vt:lpstr>'3083'!_102_Basic_4_8</vt:lpstr>
      <vt:lpstr>'3344'!_102_Basic_4_8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'3392'!_102_Basic_4_8</vt:lpstr>
      <vt:lpstr>'3394'!_102_Basic_4_8</vt:lpstr>
      <vt:lpstr>'3395'!_102_Basic_4_8</vt:lpstr>
      <vt:lpstr>'3396'!_102_Basic_4_8</vt:lpstr>
      <vt:lpstr>'3398'!_102_Basic_4_8</vt:lpstr>
      <vt:lpstr>'3400'!_102_Basic_4_8</vt:lpstr>
      <vt:lpstr>'3401'!_102_Basic_4_8</vt:lpstr>
      <vt:lpstr>'3411'!_102_Basic_4_8</vt:lpstr>
      <vt:lpstr>'3413'!_102_Basic_4_8</vt:lpstr>
      <vt:lpstr>'3421'!_102_Basic_4_8</vt:lpstr>
      <vt:lpstr>'3431'!_102_Basic_4_8</vt:lpstr>
      <vt:lpstr>'3441'!_102_Basic_4_8</vt:lpstr>
      <vt:lpstr>'3443'!_102_Basic_4_8</vt:lpstr>
      <vt:lpstr>'3941'!_102_Basic_4_8</vt:lpstr>
      <vt:lpstr>'3961'!_102_Basic_4_8</vt:lpstr>
      <vt:lpstr>'3971'!_102_Basic_4_8</vt:lpstr>
      <vt:lpstr>'4000'!_102_Basic_4_8</vt:lpstr>
      <vt:lpstr>'4002'!_102_Basic_4_8</vt:lpstr>
      <vt:lpstr>'4010'!_102_Basic_4_8</vt:lpstr>
      <vt:lpstr>'4012'!_102_Basic_4_8</vt:lpstr>
      <vt:lpstr>'4013'!_102_Basic_4_8</vt:lpstr>
      <vt:lpstr>'4020'!_102_Basic_4_8</vt:lpstr>
      <vt:lpstr>'4037'!_102_Basic_4_8</vt:lpstr>
      <vt:lpstr>'4041'!_102_Basic_4_8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'2661'!_103_Basic_9_12</vt:lpstr>
      <vt:lpstr>'2791'!_103_Basic_9_12</vt:lpstr>
      <vt:lpstr>'2801'!_103_Basic_9_12</vt:lpstr>
      <vt:lpstr>'2911'!_103_Basic_9_12</vt:lpstr>
      <vt:lpstr>'2941'!_103_Basic_9_12</vt:lpstr>
      <vt:lpstr>'3083'!_103_Basic_9_12</vt:lpstr>
      <vt:lpstr>'3344'!_103_Basic_9_12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'3392'!_103_Basic_9_12</vt:lpstr>
      <vt:lpstr>'3394'!_103_Basic_9_12</vt:lpstr>
      <vt:lpstr>'3395'!_103_Basic_9_12</vt:lpstr>
      <vt:lpstr>'3396'!_103_Basic_9_12</vt:lpstr>
      <vt:lpstr>'3398'!_103_Basic_9_12</vt:lpstr>
      <vt:lpstr>'3400'!_103_Basic_9_12</vt:lpstr>
      <vt:lpstr>'3401'!_103_Basic_9_12</vt:lpstr>
      <vt:lpstr>'3411'!_103_Basic_9_12</vt:lpstr>
      <vt:lpstr>'3413'!_103_Basic_9_12</vt:lpstr>
      <vt:lpstr>'3421'!_103_Basic_9_12</vt:lpstr>
      <vt:lpstr>'3431'!_103_Basic_9_12</vt:lpstr>
      <vt:lpstr>'3441'!_103_Basic_9_12</vt:lpstr>
      <vt:lpstr>'3443'!_103_Basic_9_12</vt:lpstr>
      <vt:lpstr>'3941'!_103_Basic_9_12</vt:lpstr>
      <vt:lpstr>'3961'!_103_Basic_9_12</vt:lpstr>
      <vt:lpstr>'3971'!_103_Basic_9_12</vt:lpstr>
      <vt:lpstr>'4000'!_103_Basic_9_12</vt:lpstr>
      <vt:lpstr>'4002'!_103_Basic_9_12</vt:lpstr>
      <vt:lpstr>'4010'!_103_Basic_9_12</vt:lpstr>
      <vt:lpstr>'4012'!_103_Basic_9_12</vt:lpstr>
      <vt:lpstr>'4013'!_103_Basic_9_12</vt:lpstr>
      <vt:lpstr>'4020'!_103_Basic_9_12</vt:lpstr>
      <vt:lpstr>'4037'!_103_Basic_9_12</vt:lpstr>
      <vt:lpstr>'4041'!_103_Basic_9_12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'2661'!_111_Basic_K_3_with_ESE_Services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'3344'!_111_Basic_K_3_with_ESE_Services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'3392'!_111_Basic_K_3_with_ESE_Services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'3941'!_111_Basic_K_3_with_ESE_Services</vt:lpstr>
      <vt:lpstr>'3961'!_111_Basic_K_3_with_ESE_Services</vt:lpstr>
      <vt:lpstr>'3971'!_111_Basic_K_3_with_ESE_Services</vt:lpstr>
      <vt:lpstr>'4000'!_111_Basic_K_3_with_ESE_Services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'4037'!_111_Basic_K_3_with_ESE_Services</vt:lpstr>
      <vt:lpstr>'4041'!_111_Basic_K_3_with_ESE_Services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'2661'!_112_Basic_4_8_with_ESE_Services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'3344'!_112_Basic_4_8_with_ESE_Services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'3392'!_112_Basic_4_8_with_ESE_Services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'3941'!_112_Basic_4_8_with_ESE_Services</vt:lpstr>
      <vt:lpstr>'3961'!_112_Basic_4_8_with_ESE_Services</vt:lpstr>
      <vt:lpstr>'3971'!_112_Basic_4_8_with_ESE_Services</vt:lpstr>
      <vt:lpstr>'4000'!_112_Basic_4_8_with_ESE_Services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'4037'!_112_Basic_4_8_with_ESE_Services</vt:lpstr>
      <vt:lpstr>'4041'!_112_Basic_4_8_with_ESE_Services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'2661'!_113_Basic_9_12_with_ESE_Services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'3344'!_113_Basic_9_12_with_ESE_Services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'3392'!_113_Basic_9_12_with_ESE_Services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'3941'!_113_Basic_9_12_with_ESE_Services</vt:lpstr>
      <vt:lpstr>'3961'!_113_Basic_9_12_with_ESE_Services</vt:lpstr>
      <vt:lpstr>'3971'!_113_Basic_9_12_with_ESE_Services</vt:lpstr>
      <vt:lpstr>'4000'!_113_Basic_9_12_with_ESE_Services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'4037'!_113_Basic_9_12_with_ESE_Services</vt:lpstr>
      <vt:lpstr>'4041'!_113_Basic_9_12_with_ESE_Services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'2661'!_130_ESOL__Grade_Level_4_8</vt:lpstr>
      <vt:lpstr>'2791'!_130_ESOL__Grade_Level_4_8</vt:lpstr>
      <vt:lpstr>'2801'!_130_ESOL__Grade_Level_4_8</vt:lpstr>
      <vt:lpstr>'2911'!_130_ESOL__Grade_Level_4_8</vt:lpstr>
      <vt:lpstr>'2941'!_130_ESOL__Grade_Level_4_8</vt:lpstr>
      <vt:lpstr>'3083'!_130_ESOL__Grade_Level_4_8</vt:lpstr>
      <vt:lpstr>'3344'!_130_ESOL__Grade_Level_4_8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'3392'!_130_ESOL__Grade_Level_4_8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'3411'!_130_ESOL__Grade_Level_4_8</vt:lpstr>
      <vt:lpstr>'3413'!_130_ESOL__Grade_Level_4_8</vt:lpstr>
      <vt:lpstr>'3421'!_130_ESOL__Grade_Level_4_8</vt:lpstr>
      <vt:lpstr>'3431'!_130_ESOL__Grade_Level_4_8</vt:lpstr>
      <vt:lpstr>'3441'!_130_ESOL__Grade_Level_4_8</vt:lpstr>
      <vt:lpstr>'3443'!_130_ESOL__Grade_Level_4_8</vt:lpstr>
      <vt:lpstr>'3941'!_130_ESOL__Grade_Level_4_8</vt:lpstr>
      <vt:lpstr>'3961'!_130_ESOL__Grade_Level_4_8</vt:lpstr>
      <vt:lpstr>'3971'!_130_ESOL__Grade_Level_4_8</vt:lpstr>
      <vt:lpstr>'4000'!_130_ESOL__Grade_Level_4_8</vt:lpstr>
      <vt:lpstr>'4002'!_130_ESOL__Grade_Level_4_8</vt:lpstr>
      <vt:lpstr>'4010'!_130_ESOL__Grade_Level_4_8</vt:lpstr>
      <vt:lpstr>'4012'!_130_ESOL__Grade_Level_4_8</vt:lpstr>
      <vt:lpstr>'4013'!_130_ESOL__Grade_Level_4_8</vt:lpstr>
      <vt:lpstr>'4020'!_130_ESOL__Grade_Level_4_8</vt:lpstr>
      <vt:lpstr>'4037'!_130_ESOL__Grade_Level_4_8</vt:lpstr>
      <vt:lpstr>'4041'!_130_ESOL__Grade_Level_4_8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'2661'!_130_ESOL__Grade_Level_9_12</vt:lpstr>
      <vt:lpstr>'2791'!_130_ESOL__Grade_Level_9_12</vt:lpstr>
      <vt:lpstr>'2801'!_130_ESOL__Grade_Level_9_12</vt:lpstr>
      <vt:lpstr>'2911'!_130_ESOL__Grade_Level_9_12</vt:lpstr>
      <vt:lpstr>'2941'!_130_ESOL__Grade_Level_9_12</vt:lpstr>
      <vt:lpstr>'3083'!_130_ESOL__Grade_Level_9_12</vt:lpstr>
      <vt:lpstr>'3344'!_130_ESOL__Grade_Level_9_12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'3392'!_130_ESOL__Grade_Level_9_12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'3411'!_130_ESOL__Grade_Level_9_12</vt:lpstr>
      <vt:lpstr>'3413'!_130_ESOL__Grade_Level_9_12</vt:lpstr>
      <vt:lpstr>'3421'!_130_ESOL__Grade_Level_9_12</vt:lpstr>
      <vt:lpstr>'3431'!_130_ESOL__Grade_Level_9_12</vt:lpstr>
      <vt:lpstr>'3441'!_130_ESOL__Grade_Level_9_12</vt:lpstr>
      <vt:lpstr>'3443'!_130_ESOL__Grade_Level_9_12</vt:lpstr>
      <vt:lpstr>'3941'!_130_ESOL__Grade_Level_9_12</vt:lpstr>
      <vt:lpstr>'3961'!_130_ESOL__Grade_Level_9_12</vt:lpstr>
      <vt:lpstr>'3971'!_130_ESOL__Grade_Level_9_12</vt:lpstr>
      <vt:lpstr>'4000'!_130_ESOL__Grade_Level_9_12</vt:lpstr>
      <vt:lpstr>'4002'!_130_ESOL__Grade_Level_9_12</vt:lpstr>
      <vt:lpstr>'4010'!_130_ESOL__Grade_Level_9_12</vt:lpstr>
      <vt:lpstr>'4012'!_130_ESOL__Grade_Level_9_12</vt:lpstr>
      <vt:lpstr>'4013'!_130_ESOL__Grade_Level_9_12</vt:lpstr>
      <vt:lpstr>'4020'!_130_ESOL__Grade_Level_9_12</vt:lpstr>
      <vt:lpstr>'4037'!_130_ESOL__Grade_Level_9_12</vt:lpstr>
      <vt:lpstr>'4041'!_130_ESOL__Grade_Level_9_12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'2661'!_130_ESOL__Grade_Level_PK_3</vt:lpstr>
      <vt:lpstr>'2791'!_130_ESOL__Grade_Level_PK_3</vt:lpstr>
      <vt:lpstr>'2801'!_130_ESOL__Grade_Level_PK_3</vt:lpstr>
      <vt:lpstr>'2911'!_130_ESOL__Grade_Level_PK_3</vt:lpstr>
      <vt:lpstr>'2941'!_130_ESOL__Grade_Level_PK_3</vt:lpstr>
      <vt:lpstr>'3083'!_130_ESOL__Grade_Level_PK_3</vt:lpstr>
      <vt:lpstr>'3344'!_130_ESOL__Grade_Level_PK_3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'3392'!_130_ESOL__Grade_Level_PK_3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'3411'!_130_ESOL__Grade_Level_PK_3</vt:lpstr>
      <vt:lpstr>'3413'!_130_ESOL__Grade_Level_PK_3</vt:lpstr>
      <vt:lpstr>'3421'!_130_ESOL__Grade_Level_PK_3</vt:lpstr>
      <vt:lpstr>'3431'!_130_ESOL__Grade_Level_PK_3</vt:lpstr>
      <vt:lpstr>'3441'!_130_ESOL__Grade_Level_PK_3</vt:lpstr>
      <vt:lpstr>'3443'!_130_ESOL__Grade_Level_PK_3</vt:lpstr>
      <vt:lpstr>'3941'!_130_ESOL__Grade_Level_PK_3</vt:lpstr>
      <vt:lpstr>'3961'!_130_ESOL__Grade_Level_PK_3</vt:lpstr>
      <vt:lpstr>'3971'!_130_ESOL__Grade_Level_PK_3</vt:lpstr>
      <vt:lpstr>'4000'!_130_ESOL__Grade_Level_PK_3</vt:lpstr>
      <vt:lpstr>'4002'!_130_ESOL__Grade_Level_PK_3</vt:lpstr>
      <vt:lpstr>'4010'!_130_ESOL__Grade_Level_PK_3</vt:lpstr>
      <vt:lpstr>'4012'!_130_ESOL__Grade_Level_PK_3</vt:lpstr>
      <vt:lpstr>'4013'!_130_ESOL__Grade_Level_PK_3</vt:lpstr>
      <vt:lpstr>'4020'!_130_ESOL__Grade_Level_PK_3</vt:lpstr>
      <vt:lpstr>'4037'!_130_ESOL__Grade_Level_PK_3</vt:lpstr>
      <vt:lpstr>'4041'!_130_ESOL__Grade_Level_PK_3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'2661'!_2.__ESE_Guaranteed_Allocation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'3344'!_2.__ESE_Guaranteed_Allocation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'3392'!_2.__ESE_Guaranteed_Allocation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'3941'!_2.__ESE_Guaranteed_Allocation</vt:lpstr>
      <vt:lpstr>'3961'!_2.__ESE_Guaranteed_Allocation</vt:lpstr>
      <vt:lpstr>'3971'!_2.__ESE_Guaranteed_Allocation</vt:lpstr>
      <vt:lpstr>'4000'!_2.__ESE_Guaranteed_Allocation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'4037'!_2.__ESE_Guaranteed_Allocation</vt:lpstr>
      <vt:lpstr>'4041'!_2.__ESE_Guaranteed_Allocation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'2661'!_2010_11_Base_Funding_WFTE_x_BSA_x_DCD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'3344'!_2010_11_Base_Funding_WFTE_x_BSA_x_DCD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'3392'!_2010_11_Base_Funding_WFTE_x_BSA_x_DCD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'4037'!_2010_11_Base_Funding_WFTE_x_BSA_x_DCD</vt:lpstr>
      <vt:lpstr>'4041'!_2010_11_Base_Funding_WFTE_x_BSA_x_DCD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'2661'!_254_ESE_Level_4__Grade_Level_4_8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'3344'!_254_ESE_Level_4__Grade_Level_4_8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'3392'!_254_ESE_Level_4__Grade_Level_4_8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'3941'!_254_ESE_Level_4__Grade_Level_4_8</vt:lpstr>
      <vt:lpstr>'3961'!_254_ESE_Level_4__Grade_Level_4_8</vt:lpstr>
      <vt:lpstr>'3971'!_254_ESE_Level_4__Grade_Level_4_8</vt:lpstr>
      <vt:lpstr>'4000'!_254_ESE_Level_4__Grade_Level_4_8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'4037'!_254_ESE_Level_4__Grade_Level_4_8</vt:lpstr>
      <vt:lpstr>'4041'!_254_ESE_Level_4__Grade_Level_4_8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'2661'!_254_ESE_Level_4__Grade_Level_9_12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'3344'!_254_ESE_Level_4__Grade_Level_9_12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'3392'!_254_ESE_Level_4__Grade_Level_9_12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'3941'!_254_ESE_Level_4__Grade_Level_9_12</vt:lpstr>
      <vt:lpstr>'3961'!_254_ESE_Level_4__Grade_Level_9_12</vt:lpstr>
      <vt:lpstr>'3971'!_254_ESE_Level_4__Grade_Level_9_12</vt:lpstr>
      <vt:lpstr>'4000'!_254_ESE_Level_4__Grade_Level_9_12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'4037'!_254_ESE_Level_4__Grade_Level_9_12</vt:lpstr>
      <vt:lpstr>'4041'!_254_ESE_Level_4__Grade_Level_9_12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'2661'!_254_ESE_Level_4__Grade_Level_PK_3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'3344'!_254_ESE_Level_4__Grade_Level_PK_3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'3392'!_254_ESE_Level_4__Grade_Level_PK_3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'3941'!_254_ESE_Level_4__Grade_Level_PK_3</vt:lpstr>
      <vt:lpstr>'3961'!_254_ESE_Level_4__Grade_Level_PK_3</vt:lpstr>
      <vt:lpstr>'3971'!_254_ESE_Level_4__Grade_Level_PK_3</vt:lpstr>
      <vt:lpstr>'4000'!_254_ESE_Level_4__Grade_Level_PK_3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'4037'!_254_ESE_Level_4__Grade_Level_PK_3</vt:lpstr>
      <vt:lpstr>'4041'!_254_ESE_Level_4__Grade_Level_PK_3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'2661'!_255_ESE_Level_5__Grade_Level_4_8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'3344'!_255_ESE_Level_5__Grade_Level_4_8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'3392'!_255_ESE_Level_5__Grade_Level_4_8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'3941'!_255_ESE_Level_5__Grade_Level_4_8</vt:lpstr>
      <vt:lpstr>'3961'!_255_ESE_Level_5__Grade_Level_4_8</vt:lpstr>
      <vt:lpstr>'3971'!_255_ESE_Level_5__Grade_Level_4_8</vt:lpstr>
      <vt:lpstr>'4000'!_255_ESE_Level_5__Grade_Level_4_8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'4037'!_255_ESE_Level_5__Grade_Level_4_8</vt:lpstr>
      <vt:lpstr>'4041'!_255_ESE_Level_5__Grade_Level_4_8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'2661'!_255_ESE_Level_5__Grade_Level_9_12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'3344'!_255_ESE_Level_5__Grade_Level_9_12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'3392'!_255_ESE_Level_5__Grade_Level_9_12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'3941'!_255_ESE_Level_5__Grade_Level_9_12</vt:lpstr>
      <vt:lpstr>'3961'!_255_ESE_Level_5__Grade_Level_9_12</vt:lpstr>
      <vt:lpstr>'3971'!_255_ESE_Level_5__Grade_Level_9_12</vt:lpstr>
      <vt:lpstr>'4000'!_255_ESE_Level_5__Grade_Level_9_12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'4037'!_255_ESE_Level_5__Grade_Level_9_12</vt:lpstr>
      <vt:lpstr>'4041'!_255_ESE_Level_5__Grade_Level_9_12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'2661'!_255_ESE_Level_5__Grade_Level_PK_3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'3344'!_255_ESE_Level_5__Grade_Level_PK_3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'3392'!_255_ESE_Level_5__Grade_Level_PK_3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'3941'!_255_ESE_Level_5__Grade_Level_PK_3</vt:lpstr>
      <vt:lpstr>'3961'!_255_ESE_Level_5__Grade_Level_PK_3</vt:lpstr>
      <vt:lpstr>'3971'!_255_ESE_Level_5__Grade_Level_PK_3</vt:lpstr>
      <vt:lpstr>'4000'!_255_ESE_Level_5__Grade_Level_PK_3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'4037'!_255_ESE_Level_5__Grade_Level_PK_3</vt:lpstr>
      <vt:lpstr>'4041'!_255_ESE_Level_5__Grade_Level_PK_3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'2661'!_3.__Supplemental_Academic_Instruction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'3344'!_3.__Supplemental_Academic_Instruction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'3392'!_3.__Supplemental_Academic_Instruction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'3941'!_3.__Supplemental_Academic_Instruction</vt:lpstr>
      <vt:lpstr>'3961'!_3.__Supplemental_Academic_Instruction</vt:lpstr>
      <vt:lpstr>'3971'!_3.__Supplemental_Academic_Instruction</vt:lpstr>
      <vt:lpstr>'4000'!_3.__Supplemental_Academic_Instruction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'4037'!_3.__Supplemental_Academic_Instruction</vt:lpstr>
      <vt:lpstr>'4041'!_3.__Supplemental_Academic_Instruction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'2661'!_300_Career_Education__Grades_9_12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'3344'!_300_Career_Education__Grades_9_12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'3392'!_300_Career_Education__Grades_9_12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'3941'!_300_Career_Education__Grades_9_12</vt:lpstr>
      <vt:lpstr>'3961'!_300_Career_Education__Grades_9_12</vt:lpstr>
      <vt:lpstr>'3971'!_300_Career_Education__Grades_9_12</vt:lpstr>
      <vt:lpstr>'4000'!_300_Career_Education__Grades_9_12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'4037'!_300_Career_Education__Grades_9_12</vt:lpstr>
      <vt:lpstr>'4041'!_300_Career_Education__Grades_9_12</vt:lpstr>
      <vt:lpstr>'0054'!_4_8</vt:lpstr>
      <vt:lpstr>'0642'!_4_8</vt:lpstr>
      <vt:lpstr>'0664'!_4_8</vt:lpstr>
      <vt:lpstr>'1461'!_4_8</vt:lpstr>
      <vt:lpstr>'1571'!_4_8</vt:lpstr>
      <vt:lpstr>'2521'!_4_8</vt:lpstr>
      <vt:lpstr>'2531'!_4_8</vt:lpstr>
      <vt:lpstr>'2641'!_4_8</vt:lpstr>
      <vt:lpstr>'2661'!_4_8</vt:lpstr>
      <vt:lpstr>'2791'!_4_8</vt:lpstr>
      <vt:lpstr>'2801'!_4_8</vt:lpstr>
      <vt:lpstr>'2911'!_4_8</vt:lpstr>
      <vt:lpstr>'2941'!_4_8</vt:lpstr>
      <vt:lpstr>'3083'!_4_8</vt:lpstr>
      <vt:lpstr>'3344'!_4_8</vt:lpstr>
      <vt:lpstr>'3345'!_4_8</vt:lpstr>
      <vt:lpstr>'3347'!_4_8</vt:lpstr>
      <vt:lpstr>'3381'!_4_8</vt:lpstr>
      <vt:lpstr>'3382'!_4_8</vt:lpstr>
      <vt:lpstr>'3384'!_4_8</vt:lpstr>
      <vt:lpstr>'3385'!_4_8</vt:lpstr>
      <vt:lpstr>'3386'!_4_8</vt:lpstr>
      <vt:lpstr>'3391'!_4_8</vt:lpstr>
      <vt:lpstr>'3392'!_4_8</vt:lpstr>
      <vt:lpstr>'3394'!_4_8</vt:lpstr>
      <vt:lpstr>'3395'!_4_8</vt:lpstr>
      <vt:lpstr>'3396'!_4_8</vt:lpstr>
      <vt:lpstr>'3398'!_4_8</vt:lpstr>
      <vt:lpstr>'3400'!_4_8</vt:lpstr>
      <vt:lpstr>'3401'!_4_8</vt:lpstr>
      <vt:lpstr>'3411'!_4_8</vt:lpstr>
      <vt:lpstr>'3413'!_4_8</vt:lpstr>
      <vt:lpstr>'3421'!_4_8</vt:lpstr>
      <vt:lpstr>'3431'!_4_8</vt:lpstr>
      <vt:lpstr>'3441'!_4_8</vt:lpstr>
      <vt:lpstr>'3443'!_4_8</vt:lpstr>
      <vt:lpstr>'3941'!_4_8</vt:lpstr>
      <vt:lpstr>'3961'!_4_8</vt:lpstr>
      <vt:lpstr>'3971'!_4_8</vt:lpstr>
      <vt:lpstr>'4000'!_4_8</vt:lpstr>
      <vt:lpstr>'4002'!_4_8</vt:lpstr>
      <vt:lpstr>'4010'!_4_8</vt:lpstr>
      <vt:lpstr>'4012'!_4_8</vt:lpstr>
      <vt:lpstr>'4013'!_4_8</vt:lpstr>
      <vt:lpstr>'4020'!_4_8</vt:lpstr>
      <vt:lpstr>'4037'!_4_8</vt:lpstr>
      <vt:lpstr>'4041'!_4_8</vt:lpstr>
      <vt:lpstr>'0054'!_9_12</vt:lpstr>
      <vt:lpstr>'0642'!_9_12</vt:lpstr>
      <vt:lpstr>'0664'!_9_12</vt:lpstr>
      <vt:lpstr>'1461'!_9_12</vt:lpstr>
      <vt:lpstr>'1571'!_9_12</vt:lpstr>
      <vt:lpstr>'2521'!_9_12</vt:lpstr>
      <vt:lpstr>'2531'!_9_12</vt:lpstr>
      <vt:lpstr>'2641'!_9_12</vt:lpstr>
      <vt:lpstr>'2661'!_9_12</vt:lpstr>
      <vt:lpstr>'2791'!_9_12</vt:lpstr>
      <vt:lpstr>'2801'!_9_12</vt:lpstr>
      <vt:lpstr>'2911'!_9_12</vt:lpstr>
      <vt:lpstr>'2941'!_9_12</vt:lpstr>
      <vt:lpstr>'3083'!_9_12</vt:lpstr>
      <vt:lpstr>'3344'!_9_12</vt:lpstr>
      <vt:lpstr>'3345'!_9_12</vt:lpstr>
      <vt:lpstr>'3347'!_9_12</vt:lpstr>
      <vt:lpstr>'3381'!_9_12</vt:lpstr>
      <vt:lpstr>'3382'!_9_12</vt:lpstr>
      <vt:lpstr>'3384'!_9_12</vt:lpstr>
      <vt:lpstr>'3385'!_9_12</vt:lpstr>
      <vt:lpstr>'3386'!_9_12</vt:lpstr>
      <vt:lpstr>'3391'!_9_12</vt:lpstr>
      <vt:lpstr>'3392'!_9_12</vt:lpstr>
      <vt:lpstr>'3394'!_9_12</vt:lpstr>
      <vt:lpstr>'3395'!_9_12</vt:lpstr>
      <vt:lpstr>'3396'!_9_12</vt:lpstr>
      <vt:lpstr>'3398'!_9_12</vt:lpstr>
      <vt:lpstr>'3400'!_9_12</vt:lpstr>
      <vt:lpstr>'3401'!_9_12</vt:lpstr>
      <vt:lpstr>'3411'!_9_12</vt:lpstr>
      <vt:lpstr>'3413'!_9_12</vt:lpstr>
      <vt:lpstr>'3421'!_9_12</vt:lpstr>
      <vt:lpstr>'3431'!_9_12</vt:lpstr>
      <vt:lpstr>'3441'!_9_12</vt:lpstr>
      <vt:lpstr>'3443'!_9_12</vt:lpstr>
      <vt:lpstr>'3941'!_9_12</vt:lpstr>
      <vt:lpstr>'3961'!_9_12</vt:lpstr>
      <vt:lpstr>'3971'!_9_12</vt:lpstr>
      <vt:lpstr>'4000'!_9_12</vt:lpstr>
      <vt:lpstr>'4002'!_9_12</vt:lpstr>
      <vt:lpstr>'4010'!_9_12</vt:lpstr>
      <vt:lpstr>'4012'!_9_12</vt:lpstr>
      <vt:lpstr>'4013'!_9_12</vt:lpstr>
      <vt:lpstr>'4020'!_9_12</vt:lpstr>
      <vt:lpstr>'4037'!_9_12</vt:lpstr>
      <vt:lpstr>'4041'!_9_12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'2661'!Allocation_factors</vt:lpstr>
      <vt:lpstr>'2791'!Allocation_factors</vt:lpstr>
      <vt:lpstr>'2801'!Allocation_factors</vt:lpstr>
      <vt:lpstr>'2911'!Allocation_factors</vt:lpstr>
      <vt:lpstr>'2941'!Allocation_factors</vt:lpstr>
      <vt:lpstr>'3083'!Allocation_factors</vt:lpstr>
      <vt:lpstr>'3344'!Allocation_factors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'3392'!Allocation_factors</vt:lpstr>
      <vt:lpstr>'3394'!Allocation_factors</vt:lpstr>
      <vt:lpstr>'3395'!Allocation_factors</vt:lpstr>
      <vt:lpstr>'3396'!Allocation_factors</vt:lpstr>
      <vt:lpstr>'3398'!Allocation_factors</vt:lpstr>
      <vt:lpstr>'3400'!Allocation_factors</vt:lpstr>
      <vt:lpstr>'3401'!Allocation_factors</vt:lpstr>
      <vt:lpstr>'3411'!Allocation_factors</vt:lpstr>
      <vt:lpstr>'3413'!Allocation_factors</vt:lpstr>
      <vt:lpstr>'3421'!Allocation_factors</vt:lpstr>
      <vt:lpstr>'3431'!Allocation_factors</vt:lpstr>
      <vt:lpstr>'3441'!Allocation_factors</vt:lpstr>
      <vt:lpstr>'3443'!Allocation_factors</vt:lpstr>
      <vt:lpstr>'3941'!Allocation_factors</vt:lpstr>
      <vt:lpstr>'3961'!Allocation_factors</vt:lpstr>
      <vt:lpstr>'3971'!Allocation_factors</vt:lpstr>
      <vt:lpstr>'4000'!Allocation_factors</vt:lpstr>
      <vt:lpstr>'4002'!Allocation_factors</vt:lpstr>
      <vt:lpstr>'4010'!Allocation_factors</vt:lpstr>
      <vt:lpstr>'4012'!Allocation_factors</vt:lpstr>
      <vt:lpstr>'4013'!Allocation_factors</vt:lpstr>
      <vt:lpstr>'4020'!Allocation_factors</vt:lpstr>
      <vt:lpstr>'4037'!Allocation_factors</vt:lpstr>
      <vt:lpstr>'4041'!Allocation_factors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'2661'!Base_Student_Allocation</vt:lpstr>
      <vt:lpstr>'2791'!Base_Student_Allocation</vt:lpstr>
      <vt:lpstr>'2801'!Base_Student_Allocation</vt:lpstr>
      <vt:lpstr>'2911'!Base_Student_Allocation</vt:lpstr>
      <vt:lpstr>'2941'!Base_Student_Allocation</vt:lpstr>
      <vt:lpstr>'3083'!Base_Student_Allocation</vt:lpstr>
      <vt:lpstr>'3344'!Base_Student_Allocation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'3392'!Base_Student_Allocation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'3411'!Base_Student_Allocation</vt:lpstr>
      <vt:lpstr>'3413'!Base_Student_Allocation</vt:lpstr>
      <vt:lpstr>'3421'!Base_Student_Allocation</vt:lpstr>
      <vt:lpstr>'3431'!Base_Student_Allocation</vt:lpstr>
      <vt:lpstr>'3441'!Base_Student_Allocation</vt:lpstr>
      <vt:lpstr>'3443'!Base_Student_Allocation</vt:lpstr>
      <vt:lpstr>'3941'!Base_Student_Allocation</vt:lpstr>
      <vt:lpstr>'3961'!Base_Student_Allocation</vt:lpstr>
      <vt:lpstr>'3971'!Base_Student_Allocation</vt:lpstr>
      <vt:lpstr>'4000'!Base_Student_Allocation</vt:lpstr>
      <vt:lpstr>'4002'!Base_Student_Allocation</vt:lpstr>
      <vt:lpstr>'4010'!Base_Student_Allocation</vt:lpstr>
      <vt:lpstr>'4012'!Base_Student_Allocation</vt:lpstr>
      <vt:lpstr>'4013'!Base_Student_Allocation</vt:lpstr>
      <vt:lpstr>'4020'!Base_Student_Allocation</vt:lpstr>
      <vt:lpstr>'4037'!Base_Student_Allocation</vt:lpstr>
      <vt:lpstr>'4041'!Base_Student_Allocation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'2661'!Based_on_the_Second_Calculation_of_the_FEFP_2010_11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'3344'!Based_on_the_Second_Calculation_of_the_FEFP_2010_11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'3392'!Based_on_the_Second_Calculation_of_the_FEFP_2010_11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'4037'!Based_on_the_Second_Calculation_of_the_FEFP_2010_11</vt:lpstr>
      <vt:lpstr>'4041'!Based_on_the_Second_Calculation_of_the_FEFP_2010_11</vt:lpstr>
      <vt:lpstr>'0054'!DCD</vt:lpstr>
      <vt:lpstr>'0642'!DCD</vt:lpstr>
      <vt:lpstr>'0664'!DCD</vt:lpstr>
      <vt:lpstr>'1461'!DCD</vt:lpstr>
      <vt:lpstr>'1571'!DCD</vt:lpstr>
      <vt:lpstr>'2521'!DCD</vt:lpstr>
      <vt:lpstr>'2531'!DCD</vt:lpstr>
      <vt:lpstr>'2641'!DCD</vt:lpstr>
      <vt:lpstr>'2661'!DCD</vt:lpstr>
      <vt:lpstr>'2791'!DCD</vt:lpstr>
      <vt:lpstr>'2801'!DCD</vt:lpstr>
      <vt:lpstr>'2911'!DCD</vt:lpstr>
      <vt:lpstr>'2941'!DCD</vt:lpstr>
      <vt:lpstr>'3083'!DCD</vt:lpstr>
      <vt:lpstr>'3344'!DCD</vt:lpstr>
      <vt:lpstr>'3345'!DCD</vt:lpstr>
      <vt:lpstr>'3347'!DCD</vt:lpstr>
      <vt:lpstr>'3381'!DCD</vt:lpstr>
      <vt:lpstr>'3382'!DCD</vt:lpstr>
      <vt:lpstr>'3384'!DCD</vt:lpstr>
      <vt:lpstr>'3385'!DCD</vt:lpstr>
      <vt:lpstr>'3386'!DCD</vt:lpstr>
      <vt:lpstr>'3391'!DCD</vt:lpstr>
      <vt:lpstr>'3392'!DCD</vt:lpstr>
      <vt:lpstr>'3394'!DCD</vt:lpstr>
      <vt:lpstr>'3395'!DCD</vt:lpstr>
      <vt:lpstr>'3396'!DCD</vt:lpstr>
      <vt:lpstr>'3398'!DCD</vt:lpstr>
      <vt:lpstr>'3400'!DCD</vt:lpstr>
      <vt:lpstr>'3401'!DCD</vt:lpstr>
      <vt:lpstr>'3411'!DCD</vt:lpstr>
      <vt:lpstr>'3413'!DCD</vt:lpstr>
      <vt:lpstr>'3421'!DCD</vt:lpstr>
      <vt:lpstr>'3431'!DCD</vt:lpstr>
      <vt:lpstr>'3441'!DCD</vt:lpstr>
      <vt:lpstr>'3443'!DCD</vt:lpstr>
      <vt:lpstr>'3941'!DCD</vt:lpstr>
      <vt:lpstr>'3961'!DCD</vt:lpstr>
      <vt:lpstr>'3971'!DCD</vt:lpstr>
      <vt:lpstr>'4000'!DCD</vt:lpstr>
      <vt:lpstr>'4002'!DCD</vt:lpstr>
      <vt:lpstr>'4010'!DCD</vt:lpstr>
      <vt:lpstr>'4012'!DCD</vt:lpstr>
      <vt:lpstr>'4013'!DCD</vt:lpstr>
      <vt:lpstr>'4020'!DCD</vt:lpstr>
      <vt:lpstr>'4037'!DCD</vt:lpstr>
      <vt:lpstr>'4041'!DCD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'2661'!District_Cost_Differential</vt:lpstr>
      <vt:lpstr>'2791'!District_Cost_Differential</vt:lpstr>
      <vt:lpstr>'2801'!District_Cost_Differential</vt:lpstr>
      <vt:lpstr>'2911'!District_Cost_Differential</vt:lpstr>
      <vt:lpstr>'2941'!District_Cost_Differential</vt:lpstr>
      <vt:lpstr>'3083'!District_Cost_Differential</vt:lpstr>
      <vt:lpstr>'3344'!District_Cost_Differential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'3392'!District_Cost_Differential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'3411'!District_Cost_Differential</vt:lpstr>
      <vt:lpstr>'3413'!District_Cost_Differential</vt:lpstr>
      <vt:lpstr>'3421'!District_Cost_Differential</vt:lpstr>
      <vt:lpstr>'3431'!District_Cost_Differential</vt:lpstr>
      <vt:lpstr>'3441'!District_Cost_Differential</vt:lpstr>
      <vt:lpstr>'3443'!District_Cost_Differential</vt:lpstr>
      <vt:lpstr>'3941'!District_Cost_Differential</vt:lpstr>
      <vt:lpstr>'3961'!District_Cost_Differential</vt:lpstr>
      <vt:lpstr>'3971'!District_Cost_Differential</vt:lpstr>
      <vt:lpstr>'4000'!District_Cost_Differential</vt:lpstr>
      <vt:lpstr>'4002'!District_Cost_Differential</vt:lpstr>
      <vt:lpstr>'4010'!District_Cost_Differential</vt:lpstr>
      <vt:lpstr>'4012'!District_Cost_Differential</vt:lpstr>
      <vt:lpstr>'4013'!District_Cost_Differential</vt:lpstr>
      <vt:lpstr>'4020'!District_Cost_Differential</vt:lpstr>
      <vt:lpstr>'4037'!District_Cost_Differential</vt:lpstr>
      <vt:lpstr>'4041'!District_Cost_Differential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'2661'!District_SAI_Allocation</vt:lpstr>
      <vt:lpstr>'2791'!District_SAI_Allocation</vt:lpstr>
      <vt:lpstr>'2801'!District_SAI_Allocation</vt:lpstr>
      <vt:lpstr>'2911'!District_SAI_Allocation</vt:lpstr>
      <vt:lpstr>'2941'!District_SAI_Allocation</vt:lpstr>
      <vt:lpstr>'3083'!District_SAI_Allocation</vt:lpstr>
      <vt:lpstr>'3344'!District_SAI_Allocation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'3392'!District_SAI_Allocation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'3411'!District_SAI_Allocation</vt:lpstr>
      <vt:lpstr>'3413'!District_SAI_Allocation</vt:lpstr>
      <vt:lpstr>'3421'!District_SAI_Allocation</vt:lpstr>
      <vt:lpstr>'3431'!District_SAI_Allocation</vt:lpstr>
      <vt:lpstr>'3441'!District_SAI_Allocation</vt:lpstr>
      <vt:lpstr>'3443'!District_SAI_Allocation</vt:lpstr>
      <vt:lpstr>'3941'!District_SAI_Allocation</vt:lpstr>
      <vt:lpstr>'3961'!District_SAI_Allocation</vt:lpstr>
      <vt:lpstr>'3971'!District_SAI_Allocation</vt:lpstr>
      <vt:lpstr>'4000'!District_SAI_Allocation</vt:lpstr>
      <vt:lpstr>'4002'!District_SAI_Allocation</vt:lpstr>
      <vt:lpstr>'4010'!District_SAI_Allocation</vt:lpstr>
      <vt:lpstr>'4012'!District_SAI_Allocation</vt:lpstr>
      <vt:lpstr>'4013'!District_SAI_Allocation</vt:lpstr>
      <vt:lpstr>'4020'!District_SAI_Allocation</vt:lpstr>
      <vt:lpstr>'4037'!District_SAI_Allocation</vt:lpstr>
      <vt:lpstr>'4041'!District_SAI_Allocation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'2661'!divided_by_district_FTE</vt:lpstr>
      <vt:lpstr>'2791'!divided_by_district_FTE</vt:lpstr>
      <vt:lpstr>'2801'!divided_by_district_FTE</vt:lpstr>
      <vt:lpstr>'2911'!divided_by_district_FTE</vt:lpstr>
      <vt:lpstr>'2941'!divided_by_district_FTE</vt:lpstr>
      <vt:lpstr>'3083'!divided_by_district_FTE</vt:lpstr>
      <vt:lpstr>'3344'!divided_by_district_FTE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'3392'!divided_by_district_FTE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'3411'!divided_by_district_FTE</vt:lpstr>
      <vt:lpstr>'3413'!divided_by_district_FTE</vt:lpstr>
      <vt:lpstr>'3421'!divided_by_district_FTE</vt:lpstr>
      <vt:lpstr>'3431'!divided_by_district_FTE</vt:lpstr>
      <vt:lpstr>'3441'!divided_by_district_FTE</vt:lpstr>
      <vt:lpstr>'3443'!divided_by_district_FTE</vt:lpstr>
      <vt:lpstr>'3941'!divided_by_district_FTE</vt:lpstr>
      <vt:lpstr>'3961'!divided_by_district_FTE</vt:lpstr>
      <vt:lpstr>'3971'!divided_by_district_FTE</vt:lpstr>
      <vt:lpstr>'4000'!divided_by_district_FTE</vt:lpstr>
      <vt:lpstr>'4002'!divided_by_district_FTE</vt:lpstr>
      <vt:lpstr>'4010'!divided_by_district_FTE</vt:lpstr>
      <vt:lpstr>'4012'!divided_by_district_FTE</vt:lpstr>
      <vt:lpstr>'4013'!divided_by_district_FTE</vt:lpstr>
      <vt:lpstr>'4020'!divided_by_district_FTE</vt:lpstr>
      <vt:lpstr>'4037'!divided_by_district_FTE</vt:lpstr>
      <vt:lpstr>'4041'!divided_by_district_FTE</vt:lpstr>
      <vt:lpstr>'0054'!FTE</vt:lpstr>
      <vt:lpstr>'0642'!FTE</vt:lpstr>
      <vt:lpstr>'0664'!FTE</vt:lpstr>
      <vt:lpstr>'1461'!FTE</vt:lpstr>
      <vt:lpstr>'1571'!FTE</vt:lpstr>
      <vt:lpstr>'2521'!FTE</vt:lpstr>
      <vt:lpstr>'2531'!FTE</vt:lpstr>
      <vt:lpstr>'2641'!FTE</vt:lpstr>
      <vt:lpstr>'2661'!FTE</vt:lpstr>
      <vt:lpstr>'2791'!FTE</vt:lpstr>
      <vt:lpstr>'2801'!FTE</vt:lpstr>
      <vt:lpstr>'2911'!FTE</vt:lpstr>
      <vt:lpstr>'2941'!FTE</vt:lpstr>
      <vt:lpstr>'3083'!FTE</vt:lpstr>
      <vt:lpstr>'3344'!FTE</vt:lpstr>
      <vt:lpstr>'3345'!FTE</vt:lpstr>
      <vt:lpstr>'3347'!FTE</vt:lpstr>
      <vt:lpstr>'3381'!FTE</vt:lpstr>
      <vt:lpstr>'3382'!FTE</vt:lpstr>
      <vt:lpstr>'3384'!FTE</vt:lpstr>
      <vt:lpstr>'3385'!FTE</vt:lpstr>
      <vt:lpstr>'3386'!FTE</vt:lpstr>
      <vt:lpstr>'3391'!FTE</vt:lpstr>
      <vt:lpstr>'3392'!FTE</vt:lpstr>
      <vt:lpstr>'3394'!FTE</vt:lpstr>
      <vt:lpstr>'3395'!FTE</vt:lpstr>
      <vt:lpstr>'3396'!FTE</vt:lpstr>
      <vt:lpstr>'3398'!FTE</vt:lpstr>
      <vt:lpstr>'3400'!FTE</vt:lpstr>
      <vt:lpstr>'3401'!FTE</vt:lpstr>
      <vt:lpstr>'3411'!FTE</vt:lpstr>
      <vt:lpstr>'3413'!FTE</vt:lpstr>
      <vt:lpstr>'3421'!FTE</vt:lpstr>
      <vt:lpstr>'3431'!FTE</vt:lpstr>
      <vt:lpstr>'3441'!FTE</vt:lpstr>
      <vt:lpstr>'3443'!FTE</vt:lpstr>
      <vt:lpstr>'3941'!FTE</vt:lpstr>
      <vt:lpstr>'3961'!FTE</vt:lpstr>
      <vt:lpstr>'3971'!FTE</vt:lpstr>
      <vt:lpstr>'4000'!FTE</vt:lpstr>
      <vt:lpstr>'4002'!FTE</vt:lpstr>
      <vt:lpstr>'4010'!FTE</vt:lpstr>
      <vt:lpstr>'4012'!FTE</vt:lpstr>
      <vt:lpstr>'4013'!FTE</vt:lpstr>
      <vt:lpstr>'4020'!FTE</vt:lpstr>
      <vt:lpstr>'4037'!FTE</vt:lpstr>
      <vt:lpstr>'4041'!FTE</vt:lpstr>
      <vt:lpstr>'0054'!Grade_Level</vt:lpstr>
      <vt:lpstr>'0642'!Grade_Level</vt:lpstr>
      <vt:lpstr>'0664'!Grade_Level</vt:lpstr>
      <vt:lpstr>'1461'!Grade_Level</vt:lpstr>
      <vt:lpstr>'1571'!Grade_Level</vt:lpstr>
      <vt:lpstr>'2521'!Grade_Level</vt:lpstr>
      <vt:lpstr>'2531'!Grade_Level</vt:lpstr>
      <vt:lpstr>'2641'!Grade_Level</vt:lpstr>
      <vt:lpstr>'2661'!Grade_Level</vt:lpstr>
      <vt:lpstr>'2791'!Grade_Level</vt:lpstr>
      <vt:lpstr>'2801'!Grade_Level</vt:lpstr>
      <vt:lpstr>'2911'!Grade_Level</vt:lpstr>
      <vt:lpstr>'2941'!Grade_Level</vt:lpstr>
      <vt:lpstr>'3083'!Grade_Level</vt:lpstr>
      <vt:lpstr>'3344'!Grade_Level</vt:lpstr>
      <vt:lpstr>'3345'!Grade_Level</vt:lpstr>
      <vt:lpstr>'3347'!Grade_Level</vt:lpstr>
      <vt:lpstr>'3381'!Grade_Level</vt:lpstr>
      <vt:lpstr>'3382'!Grade_Level</vt:lpstr>
      <vt:lpstr>'3384'!Grade_Level</vt:lpstr>
      <vt:lpstr>'3385'!Grade_Level</vt:lpstr>
      <vt:lpstr>'3386'!Grade_Level</vt:lpstr>
      <vt:lpstr>'3391'!Grade_Level</vt:lpstr>
      <vt:lpstr>'3392'!Grade_Level</vt:lpstr>
      <vt:lpstr>'3394'!Grade_Level</vt:lpstr>
      <vt:lpstr>'3395'!Grade_Level</vt:lpstr>
      <vt:lpstr>'3396'!Grade_Level</vt:lpstr>
      <vt:lpstr>'3398'!Grade_Level</vt:lpstr>
      <vt:lpstr>'3400'!Grade_Level</vt:lpstr>
      <vt:lpstr>'3401'!Grade_Level</vt:lpstr>
      <vt:lpstr>'3411'!Grade_Level</vt:lpstr>
      <vt:lpstr>'3413'!Grade_Level</vt:lpstr>
      <vt:lpstr>'3421'!Grade_Level</vt:lpstr>
      <vt:lpstr>'3431'!Grade_Level</vt:lpstr>
      <vt:lpstr>'3441'!Grade_Level</vt:lpstr>
      <vt:lpstr>'3443'!Grade_Level</vt:lpstr>
      <vt:lpstr>'3941'!Grade_Level</vt:lpstr>
      <vt:lpstr>'3961'!Grade_Level</vt:lpstr>
      <vt:lpstr>'3971'!Grade_Level</vt:lpstr>
      <vt:lpstr>'4000'!Grade_Level</vt:lpstr>
      <vt:lpstr>'4002'!Grade_Level</vt:lpstr>
      <vt:lpstr>'4010'!Grade_Level</vt:lpstr>
      <vt:lpstr>'4012'!Grade_Level</vt:lpstr>
      <vt:lpstr>'4013'!Grade_Level</vt:lpstr>
      <vt:lpstr>'4020'!Grade_Level</vt:lpstr>
      <vt:lpstr>'4037'!Grade_Level</vt:lpstr>
      <vt:lpstr>'4041'!Grade_Level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'2661'!Guarantee_Per_Student</vt:lpstr>
      <vt:lpstr>'2791'!Guarantee_Per_Student</vt:lpstr>
      <vt:lpstr>'2801'!Guarantee_Per_Student</vt:lpstr>
      <vt:lpstr>'2911'!Guarantee_Per_Student</vt:lpstr>
      <vt:lpstr>'2941'!Guarantee_Per_Student</vt:lpstr>
      <vt:lpstr>'3083'!Guarantee_Per_Student</vt:lpstr>
      <vt:lpstr>'3344'!Guarantee_Per_Student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'3392'!Guarantee_Per_Student</vt:lpstr>
      <vt:lpstr>'3394'!Guarantee_Per_Student</vt:lpstr>
      <vt:lpstr>'3395'!Guarantee_Per_Student</vt:lpstr>
      <vt:lpstr>'3396'!Guarantee_Per_Student</vt:lpstr>
      <vt:lpstr>'3398'!Guarantee_Per_Student</vt:lpstr>
      <vt:lpstr>'3400'!Guarantee_Per_Student</vt:lpstr>
      <vt:lpstr>'3401'!Guarantee_Per_Student</vt:lpstr>
      <vt:lpstr>'3411'!Guarantee_Per_Student</vt:lpstr>
      <vt:lpstr>'3413'!Guarantee_Per_Student</vt:lpstr>
      <vt:lpstr>'3421'!Guarantee_Per_Student</vt:lpstr>
      <vt:lpstr>'3431'!Guarantee_Per_Student</vt:lpstr>
      <vt:lpstr>'3441'!Guarantee_Per_Student</vt:lpstr>
      <vt:lpstr>'3443'!Guarantee_Per_Student</vt:lpstr>
      <vt:lpstr>'3941'!Guarantee_Per_Student</vt:lpstr>
      <vt:lpstr>'3961'!Guarantee_Per_Student</vt:lpstr>
      <vt:lpstr>'3971'!Guarantee_Per_Student</vt:lpstr>
      <vt:lpstr>'4000'!Guarantee_Per_Student</vt:lpstr>
      <vt:lpstr>'4002'!Guarantee_Per_Student</vt:lpstr>
      <vt:lpstr>'4010'!Guarantee_Per_Student</vt:lpstr>
      <vt:lpstr>'4012'!Guarantee_Per_Student</vt:lpstr>
      <vt:lpstr>'4013'!Guarantee_Per_Student</vt:lpstr>
      <vt:lpstr>'4020'!Guarantee_Per_Student</vt:lpstr>
      <vt:lpstr>'4037'!Guarantee_Per_Student</vt:lpstr>
      <vt:lpstr>'4041'!Guarantee_Per_Student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'2661'!Matrix_Level</vt:lpstr>
      <vt:lpstr>'2791'!Matrix_Level</vt:lpstr>
      <vt:lpstr>'2801'!Matrix_Level</vt:lpstr>
      <vt:lpstr>'2911'!Matrix_Level</vt:lpstr>
      <vt:lpstr>'2941'!Matrix_Level</vt:lpstr>
      <vt:lpstr>'3083'!Matrix_Level</vt:lpstr>
      <vt:lpstr>'3344'!Matrix_Level</vt:lpstr>
      <vt:lpstr>'3345'!Matrix_Level</vt:lpstr>
      <vt:lpstr>'3347'!Matrix_Level</vt:lpstr>
      <vt:lpstr>'3381'!Matrix_Level</vt:lpstr>
      <vt:lpstr>'3382'!Matrix_Level</vt:lpstr>
      <vt:lpstr>'3384'!Matrix_Level</vt:lpstr>
      <vt:lpstr>'3385'!Matrix_Level</vt:lpstr>
      <vt:lpstr>'3386'!Matrix_Level</vt:lpstr>
      <vt:lpstr>'3391'!Matrix_Level</vt:lpstr>
      <vt:lpstr>'3392'!Matrix_Level</vt:lpstr>
      <vt:lpstr>'3394'!Matrix_Level</vt:lpstr>
      <vt:lpstr>'3395'!Matrix_Level</vt:lpstr>
      <vt:lpstr>'3396'!Matrix_Level</vt:lpstr>
      <vt:lpstr>'3398'!Matrix_Level</vt:lpstr>
      <vt:lpstr>'3400'!Matrix_Level</vt:lpstr>
      <vt:lpstr>'3401'!Matrix_Level</vt:lpstr>
      <vt:lpstr>'3411'!Matrix_Level</vt:lpstr>
      <vt:lpstr>'3413'!Matrix_Level</vt:lpstr>
      <vt:lpstr>'3421'!Matrix_Level</vt:lpstr>
      <vt:lpstr>'3431'!Matrix_Level</vt:lpstr>
      <vt:lpstr>'3441'!Matrix_Level</vt:lpstr>
      <vt:lpstr>'3443'!Matrix_Level</vt:lpstr>
      <vt:lpstr>'3941'!Matrix_Level</vt:lpstr>
      <vt:lpstr>'3961'!Matrix_Level</vt:lpstr>
      <vt:lpstr>'3971'!Matrix_Level</vt:lpstr>
      <vt:lpstr>'4000'!Matrix_Level</vt:lpstr>
      <vt:lpstr>'4002'!Matrix_Level</vt:lpstr>
      <vt:lpstr>'4010'!Matrix_Level</vt:lpstr>
      <vt:lpstr>'4012'!Matrix_Level</vt:lpstr>
      <vt:lpstr>'4013'!Matrix_Level</vt:lpstr>
      <vt:lpstr>'4020'!Matrix_Level</vt:lpstr>
      <vt:lpstr>'4037'!Matrix_Level</vt:lpstr>
      <vt:lpstr>'4041'!Matrix_Level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'2661'!Number_of_FTE</vt:lpstr>
      <vt:lpstr>'2791'!Number_of_FTE</vt:lpstr>
      <vt:lpstr>'2801'!Number_of_FTE</vt:lpstr>
      <vt:lpstr>'2911'!Number_of_FTE</vt:lpstr>
      <vt:lpstr>'2941'!Number_of_FTE</vt:lpstr>
      <vt:lpstr>'3083'!Number_of_FTE</vt:lpstr>
      <vt:lpstr>'3344'!Number_of_FTE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'3392'!Number_of_FTE</vt:lpstr>
      <vt:lpstr>'3394'!Number_of_FTE</vt:lpstr>
      <vt:lpstr>'3395'!Number_of_FTE</vt:lpstr>
      <vt:lpstr>'3396'!Number_of_FTE</vt:lpstr>
      <vt:lpstr>'3398'!Number_of_FTE</vt:lpstr>
      <vt:lpstr>'3400'!Number_of_FTE</vt:lpstr>
      <vt:lpstr>'3401'!Number_of_FTE</vt:lpstr>
      <vt:lpstr>'3411'!Number_of_FTE</vt:lpstr>
      <vt:lpstr>'3413'!Number_of_FTE</vt:lpstr>
      <vt:lpstr>'3421'!Number_of_FTE</vt:lpstr>
      <vt:lpstr>'3431'!Number_of_FTE</vt:lpstr>
      <vt:lpstr>'3441'!Number_of_FTE</vt:lpstr>
      <vt:lpstr>'3443'!Number_of_FTE</vt:lpstr>
      <vt:lpstr>'3941'!Number_of_FTE</vt:lpstr>
      <vt:lpstr>'3961'!Number_of_FTE</vt:lpstr>
      <vt:lpstr>'3971'!Number_of_FTE</vt:lpstr>
      <vt:lpstr>'4000'!Number_of_FTE</vt:lpstr>
      <vt:lpstr>'4002'!Number_of_FTE</vt:lpstr>
      <vt:lpstr>'4010'!Number_of_FTE</vt:lpstr>
      <vt:lpstr>'4012'!Number_of_FTE</vt:lpstr>
      <vt:lpstr>'4013'!Number_of_FTE</vt:lpstr>
      <vt:lpstr>'4020'!Number_of_FTE</vt:lpstr>
      <vt:lpstr>'4037'!Number_of_FTE</vt:lpstr>
      <vt:lpstr>'4041'!Number_of_FTE</vt:lpstr>
      <vt:lpstr>'0054'!Per_Student</vt:lpstr>
      <vt:lpstr>'0642'!Per_Student</vt:lpstr>
      <vt:lpstr>'0664'!Per_Student</vt:lpstr>
      <vt:lpstr>'1461'!Per_Student</vt:lpstr>
      <vt:lpstr>'1571'!Per_Student</vt:lpstr>
      <vt:lpstr>'2521'!Per_Student</vt:lpstr>
      <vt:lpstr>'2531'!Per_Student</vt:lpstr>
      <vt:lpstr>'2641'!Per_Student</vt:lpstr>
      <vt:lpstr>'2661'!Per_Student</vt:lpstr>
      <vt:lpstr>'2791'!Per_Student</vt:lpstr>
      <vt:lpstr>'2801'!Per_Student</vt:lpstr>
      <vt:lpstr>'2911'!Per_Student</vt:lpstr>
      <vt:lpstr>'2941'!Per_Student</vt:lpstr>
      <vt:lpstr>'3083'!Per_Student</vt:lpstr>
      <vt:lpstr>'3344'!Per_Student</vt:lpstr>
      <vt:lpstr>'3345'!Per_Student</vt:lpstr>
      <vt:lpstr>'3347'!Per_Student</vt:lpstr>
      <vt:lpstr>'3381'!Per_Student</vt:lpstr>
      <vt:lpstr>'3382'!Per_Student</vt:lpstr>
      <vt:lpstr>'3384'!Per_Student</vt:lpstr>
      <vt:lpstr>'3385'!Per_Student</vt:lpstr>
      <vt:lpstr>'3386'!Per_Student</vt:lpstr>
      <vt:lpstr>'3391'!Per_Student</vt:lpstr>
      <vt:lpstr>'3392'!Per_Student</vt:lpstr>
      <vt:lpstr>'3394'!Per_Student</vt:lpstr>
      <vt:lpstr>'3395'!Per_Student</vt:lpstr>
      <vt:lpstr>'3396'!Per_Student</vt:lpstr>
      <vt:lpstr>'3398'!Per_Student</vt:lpstr>
      <vt:lpstr>'3400'!Per_Student</vt:lpstr>
      <vt:lpstr>'3401'!Per_Student</vt:lpstr>
      <vt:lpstr>'3411'!Per_Student</vt:lpstr>
      <vt:lpstr>'3413'!Per_Student</vt:lpstr>
      <vt:lpstr>'3421'!Per_Student</vt:lpstr>
      <vt:lpstr>'3431'!Per_Student</vt:lpstr>
      <vt:lpstr>'3441'!Per_Student</vt:lpstr>
      <vt:lpstr>'3443'!Per_Student</vt:lpstr>
      <vt:lpstr>'3941'!Per_Student</vt:lpstr>
      <vt:lpstr>'3961'!Per_Student</vt:lpstr>
      <vt:lpstr>'3971'!Per_Student</vt:lpstr>
      <vt:lpstr>'4000'!Per_Student</vt:lpstr>
      <vt:lpstr>'4002'!Per_Student</vt:lpstr>
      <vt:lpstr>'4010'!Per_Student</vt:lpstr>
      <vt:lpstr>'4012'!Per_Student</vt:lpstr>
      <vt:lpstr>'4013'!Per_Student</vt:lpstr>
      <vt:lpstr>'4020'!Per_Student</vt:lpstr>
      <vt:lpstr>'4037'!Per_Student</vt:lpstr>
      <vt:lpstr>'4041'!Per_Student</vt:lpstr>
      <vt:lpstr>'0054'!PK___3</vt:lpstr>
      <vt:lpstr>'0642'!PK___3</vt:lpstr>
      <vt:lpstr>'0664'!PK___3</vt:lpstr>
      <vt:lpstr>'1461'!PK___3</vt:lpstr>
      <vt:lpstr>'1571'!PK___3</vt:lpstr>
      <vt:lpstr>'2521'!PK___3</vt:lpstr>
      <vt:lpstr>'2531'!PK___3</vt:lpstr>
      <vt:lpstr>'2641'!PK___3</vt:lpstr>
      <vt:lpstr>'2661'!PK___3</vt:lpstr>
      <vt:lpstr>'2791'!PK___3</vt:lpstr>
      <vt:lpstr>'2801'!PK___3</vt:lpstr>
      <vt:lpstr>'2911'!PK___3</vt:lpstr>
      <vt:lpstr>'2941'!PK___3</vt:lpstr>
      <vt:lpstr>'3083'!PK___3</vt:lpstr>
      <vt:lpstr>'3344'!PK___3</vt:lpstr>
      <vt:lpstr>'3345'!PK___3</vt:lpstr>
      <vt:lpstr>'3347'!PK___3</vt:lpstr>
      <vt:lpstr>'3381'!PK___3</vt:lpstr>
      <vt:lpstr>'3382'!PK___3</vt:lpstr>
      <vt:lpstr>'3384'!PK___3</vt:lpstr>
      <vt:lpstr>'3385'!PK___3</vt:lpstr>
      <vt:lpstr>'3386'!PK___3</vt:lpstr>
      <vt:lpstr>'3391'!PK___3</vt:lpstr>
      <vt:lpstr>'3392'!PK___3</vt:lpstr>
      <vt:lpstr>'3394'!PK___3</vt:lpstr>
      <vt:lpstr>'3395'!PK___3</vt:lpstr>
      <vt:lpstr>'3396'!PK___3</vt:lpstr>
      <vt:lpstr>'3398'!PK___3</vt:lpstr>
      <vt:lpstr>'3400'!PK___3</vt:lpstr>
      <vt:lpstr>'3401'!PK___3</vt:lpstr>
      <vt:lpstr>'3411'!PK___3</vt:lpstr>
      <vt:lpstr>'3413'!PK___3</vt:lpstr>
      <vt:lpstr>'3421'!PK___3</vt:lpstr>
      <vt:lpstr>'3431'!PK___3</vt:lpstr>
      <vt:lpstr>'3441'!PK___3</vt:lpstr>
      <vt:lpstr>'3443'!PK___3</vt:lpstr>
      <vt:lpstr>'3941'!PK___3</vt:lpstr>
      <vt:lpstr>'3961'!PK___3</vt:lpstr>
      <vt:lpstr>'3971'!PK___3</vt:lpstr>
      <vt:lpstr>'4000'!PK___3</vt:lpstr>
      <vt:lpstr>'4002'!PK___3</vt:lpstr>
      <vt:lpstr>'4010'!PK___3</vt:lpstr>
      <vt:lpstr>'4012'!PK___3</vt:lpstr>
      <vt:lpstr>'4013'!PK___3</vt:lpstr>
      <vt:lpstr>'4020'!PK___3</vt:lpstr>
      <vt:lpstr>'4037'!PK___3</vt:lpstr>
      <vt:lpstr>'4041'!PK___3</vt:lpstr>
      <vt:lpstr>'0054'!Print_Area</vt:lpstr>
      <vt:lpstr>'0642'!Print_Area</vt:lpstr>
      <vt:lpstr>'0664'!Print_Area</vt:lpstr>
      <vt:lpstr>'1461'!Print_Area</vt:lpstr>
      <vt:lpstr>'1571'!Print_Area</vt:lpstr>
      <vt:lpstr>'2521'!Print_Area</vt:lpstr>
      <vt:lpstr>'2531'!Print_Area</vt:lpstr>
      <vt:lpstr>'2641'!Print_Area</vt:lpstr>
      <vt:lpstr>'2661'!Print_Area</vt:lpstr>
      <vt:lpstr>'2791'!Print_Area</vt:lpstr>
      <vt:lpstr>'2801'!Print_Area</vt:lpstr>
      <vt:lpstr>'2911'!Print_Area</vt:lpstr>
      <vt:lpstr>'2941'!Print_Area</vt:lpstr>
      <vt:lpstr>'3083'!Print_Area</vt:lpstr>
      <vt:lpstr>'3344'!Print_Area</vt:lpstr>
      <vt:lpstr>'3345'!Print_Area</vt:lpstr>
      <vt:lpstr>'3347'!Print_Area</vt:lpstr>
      <vt:lpstr>'3381'!Print_Area</vt:lpstr>
      <vt:lpstr>'3382'!Print_Area</vt:lpstr>
      <vt:lpstr>'3384'!Print_Area</vt:lpstr>
      <vt:lpstr>'3385'!Print_Area</vt:lpstr>
      <vt:lpstr>'3386'!Print_Area</vt:lpstr>
      <vt:lpstr>'3391'!Print_Area</vt:lpstr>
      <vt:lpstr>'3392'!Print_Area</vt:lpstr>
      <vt:lpstr>'3394'!Print_Area</vt:lpstr>
      <vt:lpstr>'3395'!Print_Area</vt:lpstr>
      <vt:lpstr>'3396'!Print_Area</vt:lpstr>
      <vt:lpstr>'3398'!Print_Area</vt:lpstr>
      <vt:lpstr>'3400'!Print_Area</vt:lpstr>
      <vt:lpstr>'3401'!Print_Area</vt:lpstr>
      <vt:lpstr>'3411'!Print_Area</vt:lpstr>
      <vt:lpstr>'3413'!Print_Area</vt:lpstr>
      <vt:lpstr>'3421'!Print_Area</vt:lpstr>
      <vt:lpstr>'3431'!Print_Area</vt:lpstr>
      <vt:lpstr>'3441'!Print_Area</vt:lpstr>
      <vt:lpstr>'3443'!Print_Area</vt:lpstr>
      <vt:lpstr>'3941'!Print_Area</vt:lpstr>
      <vt:lpstr>'3961'!Print_Area</vt:lpstr>
      <vt:lpstr>'3971'!Print_Area</vt:lpstr>
      <vt:lpstr>'4000'!Print_Area</vt:lpstr>
      <vt:lpstr>'4002'!Print_Area</vt:lpstr>
      <vt:lpstr>'4010'!Print_Area</vt:lpstr>
      <vt:lpstr>'4012'!Print_Area</vt:lpstr>
      <vt:lpstr>'4013'!Print_Area</vt:lpstr>
      <vt:lpstr>'4020'!Print_Area</vt:lpstr>
      <vt:lpstr>'4037'!Print_Area</vt:lpstr>
      <vt:lpstr>'4040'!Print_Area</vt:lpstr>
      <vt:lpstr>'4041'!Print_Area</vt:lpstr>
      <vt:lpstr>'Net Payment'!Print_Area</vt:lpstr>
      <vt:lpstr>'Net Payment'!Print_Titles</vt:lpstr>
      <vt:lpstr>'0054'!Program</vt:lpstr>
      <vt:lpstr>'0642'!Program</vt:lpstr>
      <vt:lpstr>'0664'!Program</vt:lpstr>
      <vt:lpstr>'1461'!Program</vt:lpstr>
      <vt:lpstr>'1571'!Program</vt:lpstr>
      <vt:lpstr>'2521'!Program</vt:lpstr>
      <vt:lpstr>'2531'!Program</vt:lpstr>
      <vt:lpstr>'2641'!Program</vt:lpstr>
      <vt:lpstr>'2661'!Program</vt:lpstr>
      <vt:lpstr>'2791'!Program</vt:lpstr>
      <vt:lpstr>'2801'!Program</vt:lpstr>
      <vt:lpstr>'2911'!Program</vt:lpstr>
      <vt:lpstr>'2941'!Program</vt:lpstr>
      <vt:lpstr>'3083'!Program</vt:lpstr>
      <vt:lpstr>'3344'!Program</vt:lpstr>
      <vt:lpstr>'3345'!Program</vt:lpstr>
      <vt:lpstr>'3347'!Program</vt:lpstr>
      <vt:lpstr>'3381'!Program</vt:lpstr>
      <vt:lpstr>'3382'!Program</vt:lpstr>
      <vt:lpstr>'3384'!Program</vt:lpstr>
      <vt:lpstr>'3385'!Program</vt:lpstr>
      <vt:lpstr>'3386'!Program</vt:lpstr>
      <vt:lpstr>'3391'!Program</vt:lpstr>
      <vt:lpstr>'3392'!Program</vt:lpstr>
      <vt:lpstr>'3394'!Program</vt:lpstr>
      <vt:lpstr>'3395'!Program</vt:lpstr>
      <vt:lpstr>'3396'!Program</vt:lpstr>
      <vt:lpstr>'3398'!Program</vt:lpstr>
      <vt:lpstr>'3400'!Program</vt:lpstr>
      <vt:lpstr>'3401'!Program</vt:lpstr>
      <vt:lpstr>'3411'!Program</vt:lpstr>
      <vt:lpstr>'3413'!Program</vt:lpstr>
      <vt:lpstr>'3421'!Program</vt:lpstr>
      <vt:lpstr>'3431'!Program</vt:lpstr>
      <vt:lpstr>'3441'!Program</vt:lpstr>
      <vt:lpstr>'3443'!Program</vt:lpstr>
      <vt:lpstr>'3941'!Program</vt:lpstr>
      <vt:lpstr>'3961'!Program</vt:lpstr>
      <vt:lpstr>'3971'!Program</vt:lpstr>
      <vt:lpstr>'4000'!Program</vt:lpstr>
      <vt:lpstr>'4002'!Program</vt:lpstr>
      <vt:lpstr>'4010'!Program</vt:lpstr>
      <vt:lpstr>'4012'!Program</vt:lpstr>
      <vt:lpstr>'4013'!Program</vt:lpstr>
      <vt:lpstr>'4020'!Program</vt:lpstr>
      <vt:lpstr>'4037'!Program</vt:lpstr>
      <vt:lpstr>'4041'!Program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'2661'!Program______________________________Cost_Factor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'3344'!Program______________________________Cost_Factor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'3392'!Program______________________________Cost_Factor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'4037'!Program______________________________Cost_Factor</vt:lpstr>
      <vt:lpstr>'4041'!Program______________________________Cost_Factor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'2661'!Revenue_Estimate_Worksheet_for___________Charter_School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'3344'!Revenue_Estimate_Worksheet_for___________Charter_School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'3392'!Revenue_Estimate_Worksheet_for___________Charter_School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'4037'!Revenue_Estimate_Worksheet_for___________Charter_School</vt:lpstr>
      <vt:lpstr>'4041'!Revenue_Estimate_Worksheet_for___________Charter_School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'2661'!School_District</vt:lpstr>
      <vt:lpstr>'2791'!School_District</vt:lpstr>
      <vt:lpstr>'2801'!School_District</vt:lpstr>
      <vt:lpstr>'2911'!School_District</vt:lpstr>
      <vt:lpstr>'2941'!School_District</vt:lpstr>
      <vt:lpstr>'3083'!School_District</vt:lpstr>
      <vt:lpstr>'3344'!School_District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'3392'!School_District</vt:lpstr>
      <vt:lpstr>'3394'!School_District</vt:lpstr>
      <vt:lpstr>'3395'!School_District</vt:lpstr>
      <vt:lpstr>'3396'!School_District</vt:lpstr>
      <vt:lpstr>'3398'!School_District</vt:lpstr>
      <vt:lpstr>'3400'!School_District</vt:lpstr>
      <vt:lpstr>'3401'!School_District</vt:lpstr>
      <vt:lpstr>'3411'!School_District</vt:lpstr>
      <vt:lpstr>'3413'!School_District</vt:lpstr>
      <vt:lpstr>'3421'!School_District</vt:lpstr>
      <vt:lpstr>'3431'!School_District</vt:lpstr>
      <vt:lpstr>'3441'!School_District</vt:lpstr>
      <vt:lpstr>'3443'!School_District</vt:lpstr>
      <vt:lpstr>'3941'!School_District</vt:lpstr>
      <vt:lpstr>'3961'!School_District</vt:lpstr>
      <vt:lpstr>'3971'!School_District</vt:lpstr>
      <vt:lpstr>'4000'!School_District</vt:lpstr>
      <vt:lpstr>'4002'!School_District</vt:lpstr>
      <vt:lpstr>'4010'!School_District</vt:lpstr>
      <vt:lpstr>'4012'!School_District</vt:lpstr>
      <vt:lpstr>'4013'!School_District</vt:lpstr>
      <vt:lpstr>'4020'!School_District</vt:lpstr>
      <vt:lpstr>'4037'!School_District</vt:lpstr>
      <vt:lpstr>'4041'!School_District</vt:lpstr>
      <vt:lpstr>'0054'!Total</vt:lpstr>
      <vt:lpstr>'0642'!Total</vt:lpstr>
      <vt:lpstr>'0664'!Total</vt:lpstr>
      <vt:lpstr>'1461'!Total</vt:lpstr>
      <vt:lpstr>'1571'!Total</vt:lpstr>
      <vt:lpstr>'2521'!Total</vt:lpstr>
      <vt:lpstr>'2531'!Total</vt:lpstr>
      <vt:lpstr>'2641'!Total</vt:lpstr>
      <vt:lpstr>'2661'!Total</vt:lpstr>
      <vt:lpstr>'2791'!Total</vt:lpstr>
      <vt:lpstr>'2801'!Total</vt:lpstr>
      <vt:lpstr>'2911'!Total</vt:lpstr>
      <vt:lpstr>'2941'!Total</vt:lpstr>
      <vt:lpstr>'3083'!Total</vt:lpstr>
      <vt:lpstr>'3344'!Total</vt:lpstr>
      <vt:lpstr>'3345'!Total</vt:lpstr>
      <vt:lpstr>'3347'!Total</vt:lpstr>
      <vt:lpstr>'3381'!Total</vt:lpstr>
      <vt:lpstr>'3382'!Total</vt:lpstr>
      <vt:lpstr>'3384'!Total</vt:lpstr>
      <vt:lpstr>'3385'!Total</vt:lpstr>
      <vt:lpstr>'3386'!Total</vt:lpstr>
      <vt:lpstr>'3391'!Total</vt:lpstr>
      <vt:lpstr>'3392'!Total</vt:lpstr>
      <vt:lpstr>'3394'!Total</vt:lpstr>
      <vt:lpstr>'3395'!Total</vt:lpstr>
      <vt:lpstr>'3396'!Total</vt:lpstr>
      <vt:lpstr>'3398'!Total</vt:lpstr>
      <vt:lpstr>'3400'!Total</vt:lpstr>
      <vt:lpstr>'3401'!Total</vt:lpstr>
      <vt:lpstr>'3411'!Total</vt:lpstr>
      <vt:lpstr>'3413'!Total</vt:lpstr>
      <vt:lpstr>'3421'!Total</vt:lpstr>
      <vt:lpstr>'3431'!Total</vt:lpstr>
      <vt:lpstr>'3441'!Total</vt:lpstr>
      <vt:lpstr>'3443'!Total</vt:lpstr>
      <vt:lpstr>'3941'!Total</vt:lpstr>
      <vt:lpstr>'3961'!Total</vt:lpstr>
      <vt:lpstr>'3971'!Total</vt:lpstr>
      <vt:lpstr>'4000'!Total</vt:lpstr>
      <vt:lpstr>'4002'!Total</vt:lpstr>
      <vt:lpstr>'4010'!Total</vt:lpstr>
      <vt:lpstr>'4012'!Total</vt:lpstr>
      <vt:lpstr>'4013'!Total</vt:lpstr>
      <vt:lpstr>'4020'!Total</vt:lpstr>
      <vt:lpstr>'4037'!Total</vt:lpstr>
      <vt:lpstr>'4041'!Total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'2661'!Total_Class_Size_Reduction_Funds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'3344'!Total_Class_Size_Reduction_Funds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'3392'!Total_Class_Size_Reduction_Funds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'3941'!Total_Class_Size_Reduction_Funds</vt:lpstr>
      <vt:lpstr>'3961'!Total_Class_Size_Reduction_Funds</vt:lpstr>
      <vt:lpstr>'3971'!Total_Class_Size_Reduction_Funds</vt:lpstr>
      <vt:lpstr>'4000'!Total_Class_Size_Reduction_Funds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'4037'!Total_Class_Size_Reduction_Funds</vt:lpstr>
      <vt:lpstr>'4041'!Total_Class_Size_Reduction_Funds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'2661'!Total_from_ESE_Guarantee</vt:lpstr>
      <vt:lpstr>'2791'!Total_from_ESE_Guarantee</vt:lpstr>
      <vt:lpstr>'2801'!Total_from_ESE_Guarantee</vt:lpstr>
      <vt:lpstr>'2911'!Total_from_ESE_Guarantee</vt:lpstr>
      <vt:lpstr>'2941'!Total_from_ESE_Guarantee</vt:lpstr>
      <vt:lpstr>'3083'!Total_from_ESE_Guarantee</vt:lpstr>
      <vt:lpstr>'3344'!Total_from_ESE_Guarantee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'3392'!Total_from_ESE_Guarantee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'3411'!Total_from_ESE_Guarantee</vt:lpstr>
      <vt:lpstr>'3413'!Total_from_ESE_Guarantee</vt:lpstr>
      <vt:lpstr>'3421'!Total_from_ESE_Guarantee</vt:lpstr>
      <vt:lpstr>'3431'!Total_from_ESE_Guarantee</vt:lpstr>
      <vt:lpstr>'3441'!Total_from_ESE_Guarantee</vt:lpstr>
      <vt:lpstr>'3443'!Total_from_ESE_Guarantee</vt:lpstr>
      <vt:lpstr>'3941'!Total_from_ESE_Guarantee</vt:lpstr>
      <vt:lpstr>'3961'!Total_from_ESE_Guarantee</vt:lpstr>
      <vt:lpstr>'3971'!Total_from_ESE_Guarantee</vt:lpstr>
      <vt:lpstr>'4000'!Total_from_ESE_Guarantee</vt:lpstr>
      <vt:lpstr>'4002'!Total_from_ESE_Guarantee</vt:lpstr>
      <vt:lpstr>'4010'!Total_from_ESE_Guarantee</vt:lpstr>
      <vt:lpstr>'4012'!Total_from_ESE_Guarantee</vt:lpstr>
      <vt:lpstr>'4013'!Total_from_ESE_Guarantee</vt:lpstr>
      <vt:lpstr>'4020'!Total_from_ESE_Guarantee</vt:lpstr>
      <vt:lpstr>'4037'!Total_from_ESE_Guarantee</vt:lpstr>
      <vt:lpstr>'4041'!Total_from_ESE_Guarantee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'2661'!Total_FTE_with_ESE_Services</vt:lpstr>
      <vt:lpstr>'2791'!Total_FTE_with_ESE_Services</vt:lpstr>
      <vt:lpstr>'2801'!Total_FTE_with_ESE_Services</vt:lpstr>
      <vt:lpstr>'2911'!Total_FTE_with_ESE_Services</vt:lpstr>
      <vt:lpstr>'2941'!Total_FTE_with_ESE_Services</vt:lpstr>
      <vt:lpstr>'3083'!Total_FTE_with_ESE_Services</vt:lpstr>
      <vt:lpstr>'3344'!Total_FTE_with_ESE_Services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'3392'!Total_FTE_with_ESE_Services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'3411'!Total_FTE_with_ESE_Services</vt:lpstr>
      <vt:lpstr>'3413'!Total_FTE_with_ESE_Services</vt:lpstr>
      <vt:lpstr>'3421'!Total_FTE_with_ESE_Services</vt:lpstr>
      <vt:lpstr>'3431'!Total_FTE_with_ESE_Services</vt:lpstr>
      <vt:lpstr>'3441'!Total_FTE_with_ESE_Services</vt:lpstr>
      <vt:lpstr>'3443'!Total_FTE_with_ESE_Services</vt:lpstr>
      <vt:lpstr>'3941'!Total_FTE_with_ESE_Services</vt:lpstr>
      <vt:lpstr>'3961'!Total_FTE_with_ESE_Services</vt:lpstr>
      <vt:lpstr>'3971'!Total_FTE_with_ESE_Services</vt:lpstr>
      <vt:lpstr>'4000'!Total_FTE_with_ESE_Services</vt:lpstr>
      <vt:lpstr>'4002'!Total_FTE_with_ESE_Services</vt:lpstr>
      <vt:lpstr>'4010'!Total_FTE_with_ESE_Services</vt:lpstr>
      <vt:lpstr>'4012'!Total_FTE_with_ESE_Services</vt:lpstr>
      <vt:lpstr>'4013'!Total_FTE_with_ESE_Services</vt:lpstr>
      <vt:lpstr>'4020'!Total_FTE_with_ESE_Services</vt:lpstr>
      <vt:lpstr>'4037'!Total_FTE_with_ESE_Services</vt:lpstr>
      <vt:lpstr>'4041'!Total_FTE_with_ESE_Services</vt:lpstr>
      <vt:lpstr>'0054'!Totals</vt:lpstr>
      <vt:lpstr>'0642'!Totals</vt:lpstr>
      <vt:lpstr>'0664'!Totals</vt:lpstr>
      <vt:lpstr>'1461'!Totals</vt:lpstr>
      <vt:lpstr>'1571'!Totals</vt:lpstr>
      <vt:lpstr>'2521'!Totals</vt:lpstr>
      <vt:lpstr>'2531'!Totals</vt:lpstr>
      <vt:lpstr>'2641'!Totals</vt:lpstr>
      <vt:lpstr>'2661'!Totals</vt:lpstr>
      <vt:lpstr>'2791'!Totals</vt:lpstr>
      <vt:lpstr>'2801'!Totals</vt:lpstr>
      <vt:lpstr>'2911'!Totals</vt:lpstr>
      <vt:lpstr>'2941'!Totals</vt:lpstr>
      <vt:lpstr>'3083'!Totals</vt:lpstr>
      <vt:lpstr>'3344'!Totals</vt:lpstr>
      <vt:lpstr>'3345'!Totals</vt:lpstr>
      <vt:lpstr>'3347'!Totals</vt:lpstr>
      <vt:lpstr>'3381'!Totals</vt:lpstr>
      <vt:lpstr>'3382'!Totals</vt:lpstr>
      <vt:lpstr>'3384'!Totals</vt:lpstr>
      <vt:lpstr>'3385'!Totals</vt:lpstr>
      <vt:lpstr>'3386'!Totals</vt:lpstr>
      <vt:lpstr>'3391'!Totals</vt:lpstr>
      <vt:lpstr>'3392'!Totals</vt:lpstr>
      <vt:lpstr>'3394'!Totals</vt:lpstr>
      <vt:lpstr>'3395'!Totals</vt:lpstr>
      <vt:lpstr>'3396'!Totals</vt:lpstr>
      <vt:lpstr>'3398'!Totals</vt:lpstr>
      <vt:lpstr>'3400'!Totals</vt:lpstr>
      <vt:lpstr>'3401'!Totals</vt:lpstr>
      <vt:lpstr>'3411'!Totals</vt:lpstr>
      <vt:lpstr>'3413'!Totals</vt:lpstr>
      <vt:lpstr>'3421'!Totals</vt:lpstr>
      <vt:lpstr>'3431'!Totals</vt:lpstr>
      <vt:lpstr>'3441'!Totals</vt:lpstr>
      <vt:lpstr>'3443'!Totals</vt:lpstr>
      <vt:lpstr>'3941'!Totals</vt:lpstr>
      <vt:lpstr>'3961'!Totals</vt:lpstr>
      <vt:lpstr>'3971'!Totals</vt:lpstr>
      <vt:lpstr>'4000'!Totals</vt:lpstr>
      <vt:lpstr>'4002'!Totals</vt:lpstr>
      <vt:lpstr>'4010'!Totals</vt:lpstr>
      <vt:lpstr>'4012'!Totals</vt:lpstr>
      <vt:lpstr>'4013'!Totals</vt:lpstr>
      <vt:lpstr>'4020'!Totals</vt:lpstr>
      <vt:lpstr>'4037'!Totals</vt:lpstr>
      <vt:lpstr>'4041'!Totals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'2661'!Weighted_FTE____________b__x__c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'3344'!Weighted_FTE____________b__x__c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'3392'!Weighted_FTE____________b__x__c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'3941'!Weighted_FTE____________b__x__c</vt:lpstr>
      <vt:lpstr>'3961'!Weighted_FTE____________b__x__c</vt:lpstr>
      <vt:lpstr>'3971'!Weighted_FTE____________b__x__c</vt:lpstr>
      <vt:lpstr>'4000'!Weighted_FTE____________b__x__c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'4037'!Weighted_FTE____________b__x__c</vt:lpstr>
      <vt:lpstr>'4041'!Weighted_FTE____________b__x__c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'2661'!Weighted_FTE__From_Section_1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'3344'!Weighted_FTE__From_Section_1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'3392'!Weighted_FTE__From_Section_1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'3941'!Weighted_FTE__From_Section_1</vt:lpstr>
      <vt:lpstr>'3961'!Weighted_FTE__From_Section_1</vt:lpstr>
      <vt:lpstr>'3971'!Weighted_FTE__From_Section_1</vt:lpstr>
      <vt:lpstr>'4000'!Weighted_FTE__From_Section_1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'4037'!Weighted_FTE__From_Section_1</vt:lpstr>
      <vt:lpstr>'4041'!Weighted_FTE__From_Section_1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Cathi Davis</cp:lastModifiedBy>
  <cp:lastPrinted>2014-01-27T14:37:51Z</cp:lastPrinted>
  <dcterms:created xsi:type="dcterms:W3CDTF">2009-05-22T13:49:02Z</dcterms:created>
  <dcterms:modified xsi:type="dcterms:W3CDTF">2014-03-24T15:36:43Z</dcterms:modified>
</cp:coreProperties>
</file>