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288" yWindow="300" windowWidth="11340" windowHeight="5544" tabRatio="845"/>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52"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41" sheetId="71" r:id="rId36"/>
    <sheet name="3961" sheetId="73" r:id="rId37"/>
    <sheet name="3971" sheetId="74" r:id="rId38"/>
    <sheet name="4000" sheetId="75" r:id="rId39"/>
    <sheet name="4001" sheetId="93" r:id="rId40"/>
    <sheet name="4002" sheetId="76" r:id="rId41"/>
    <sheet name="4010" sheetId="77" r:id="rId42"/>
    <sheet name="4012" sheetId="79" r:id="rId43"/>
    <sheet name="4013" sheetId="80" r:id="rId44"/>
    <sheet name="4020" sheetId="81" r:id="rId45"/>
    <sheet name="4021" sheetId="88" r:id="rId46"/>
    <sheet name="4037" sheetId="82" r:id="rId47"/>
    <sheet name="4040" sheetId="97" r:id="rId48"/>
    <sheet name="4041" sheetId="84" r:id="rId49"/>
    <sheet name="4050" sheetId="92" r:id="rId50"/>
    <sheet name="4051" sheetId="91" r:id="rId51"/>
    <sheet name="4061" sheetId="102" r:id="rId52"/>
    <sheet name="4070" sheetId="104" r:id="rId53"/>
    <sheet name="4072" sheetId="96" r:id="rId54"/>
  </sheets>
  <externalReferences>
    <externalReference r:id="rId55"/>
    <externalReference r:id="rId56"/>
    <externalReference r:id="rId57"/>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'3941'!$B$6</definedName>
    <definedName name="_1.__2009_10_FEFP_State_and_Local_Funding" localSheetId="36">'3961'!$B$6</definedName>
    <definedName name="_1.__2009_10_FEFP_State_and_Local_Funding" localSheetId="37">'3971'!$B$6</definedName>
    <definedName name="_1.__2009_10_FEFP_State_and_Local_Funding" localSheetId="38">'4000'!$B$6</definedName>
    <definedName name="_1.__2009_10_FEFP_State_and_Local_Funding" localSheetId="39">'4001'!$B$6</definedName>
    <definedName name="_1.__2009_10_FEFP_State_and_Local_Funding" localSheetId="40">'4002'!$B$6</definedName>
    <definedName name="_1.__2009_10_FEFP_State_and_Local_Funding" localSheetId="41">'4010'!$B$6</definedName>
    <definedName name="_1.__2009_10_FEFP_State_and_Local_Funding" localSheetId="42">'4012'!$B$6</definedName>
    <definedName name="_1.__2009_10_FEFP_State_and_Local_Funding" localSheetId="43">'4013'!$B$6</definedName>
    <definedName name="_1.__2009_10_FEFP_State_and_Local_Funding" localSheetId="44">'4020'!$B$6</definedName>
    <definedName name="_1.__2009_10_FEFP_State_and_Local_Funding" localSheetId="45">'4021'!$B$6</definedName>
    <definedName name="_1.__2009_10_FEFP_State_and_Local_Funding" localSheetId="46">'4037'!$B$6</definedName>
    <definedName name="_1.__2009_10_FEFP_State_and_Local_Funding" localSheetId="47">#REF!</definedName>
    <definedName name="_1.__2009_10_FEFP_State_and_Local_Funding" localSheetId="48">'4041'!$B$6</definedName>
    <definedName name="_1.__2009_10_FEFP_State_and_Local_Funding" localSheetId="49">'4050'!$B$6</definedName>
    <definedName name="_1.__2009_10_FEFP_State_and_Local_Funding" localSheetId="50">'4051'!$B$6</definedName>
    <definedName name="_1.__2009_10_FEFP_State_and_Local_Funding" localSheetId="51">'4061'!$B$6</definedName>
    <definedName name="_1.__2009_10_FEFP_State_and_Local_Funding" localSheetId="52">'4070'!$B$6</definedName>
    <definedName name="_1.__2009_10_FEFP_State_and_Local_Funding" localSheetId="53">'4072'!$B$6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'3941'!$B$6</definedName>
    <definedName name="_1.__2010_11_FEFP_State_and_Local_Funding" localSheetId="36">'3961'!$B$6</definedName>
    <definedName name="_1.__2010_11_FEFP_State_and_Local_Funding" localSheetId="37">'3971'!$B$6</definedName>
    <definedName name="_1.__2010_11_FEFP_State_and_Local_Funding" localSheetId="38">'4000'!$B$6</definedName>
    <definedName name="_1.__2010_11_FEFP_State_and_Local_Funding" localSheetId="39">'4001'!$B$6</definedName>
    <definedName name="_1.__2010_11_FEFP_State_and_Local_Funding" localSheetId="40">'4002'!$B$6</definedName>
    <definedName name="_1.__2010_11_FEFP_State_and_Local_Funding" localSheetId="41">'4010'!$B$6</definedName>
    <definedName name="_1.__2010_11_FEFP_State_and_Local_Funding" localSheetId="42">'4012'!$B$6</definedName>
    <definedName name="_1.__2010_11_FEFP_State_and_Local_Funding" localSheetId="43">'4013'!$B$6</definedName>
    <definedName name="_1.__2010_11_FEFP_State_and_Local_Funding" localSheetId="44">'4020'!$B$6</definedName>
    <definedName name="_1.__2010_11_FEFP_State_and_Local_Funding" localSheetId="45">'4021'!$B$6</definedName>
    <definedName name="_1.__2010_11_FEFP_State_and_Local_Funding" localSheetId="46">'4037'!$B$6</definedName>
    <definedName name="_1.__2010_11_FEFP_State_and_Local_Funding" localSheetId="47">#REF!</definedName>
    <definedName name="_1.__2010_11_FEFP_State_and_Local_Funding" localSheetId="48">'4041'!$B$6</definedName>
    <definedName name="_1.__2010_11_FEFP_State_and_Local_Funding" localSheetId="49">'4050'!$B$6</definedName>
    <definedName name="_1.__2010_11_FEFP_State_and_Local_Funding" localSheetId="50">'4051'!$B$6</definedName>
    <definedName name="_1.__2010_11_FEFP_State_and_Local_Funding" localSheetId="51">'4061'!$B$6</definedName>
    <definedName name="_1.__2010_11_FEFP_State_and_Local_Funding" localSheetId="52">'4070'!$B$6</definedName>
    <definedName name="_1.__2010_11_FEFP_State_and_Local_Funding" localSheetId="53">'4072'!$B$6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'3941'!$B$10</definedName>
    <definedName name="_101_Basic_K_3" localSheetId="36">'3961'!$B$10</definedName>
    <definedName name="_101_Basic_K_3" localSheetId="37">'3971'!$B$10</definedName>
    <definedName name="_101_Basic_K_3" localSheetId="38">'4000'!$B$10</definedName>
    <definedName name="_101_Basic_K_3" localSheetId="39">'4001'!$B$10</definedName>
    <definedName name="_101_Basic_K_3" localSheetId="40">'4002'!$B$10</definedName>
    <definedName name="_101_Basic_K_3" localSheetId="41">'4010'!$B$10</definedName>
    <definedName name="_101_Basic_K_3" localSheetId="42">'4012'!$B$10</definedName>
    <definedName name="_101_Basic_K_3" localSheetId="43">'4013'!$B$10</definedName>
    <definedName name="_101_Basic_K_3" localSheetId="44">'4020'!$B$10</definedName>
    <definedName name="_101_Basic_K_3" localSheetId="45">'4021'!$B$10</definedName>
    <definedName name="_101_Basic_K_3" localSheetId="46">'4037'!$B$10</definedName>
    <definedName name="_101_Basic_K_3" localSheetId="47">#REF!</definedName>
    <definedName name="_101_Basic_K_3" localSheetId="48">'4041'!$B$10</definedName>
    <definedName name="_101_Basic_K_3" localSheetId="49">'4050'!$B$10</definedName>
    <definedName name="_101_Basic_K_3" localSheetId="50">'4051'!$B$10</definedName>
    <definedName name="_101_Basic_K_3" localSheetId="51">'4061'!$B$10</definedName>
    <definedName name="_101_Basic_K_3" localSheetId="52">'4070'!$B$10</definedName>
    <definedName name="_101_Basic_K_3" localSheetId="53">'4072'!$B$10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'3941'!$B$12</definedName>
    <definedName name="_102_Basic_4_8" localSheetId="36">'3961'!$B$12</definedName>
    <definedName name="_102_Basic_4_8" localSheetId="37">'3971'!$B$12</definedName>
    <definedName name="_102_Basic_4_8" localSheetId="38">'4000'!$B$12</definedName>
    <definedName name="_102_Basic_4_8" localSheetId="39">'4001'!$B$12</definedName>
    <definedName name="_102_Basic_4_8" localSheetId="40">'4002'!$B$12</definedName>
    <definedName name="_102_Basic_4_8" localSheetId="41">'4010'!$B$12</definedName>
    <definedName name="_102_Basic_4_8" localSheetId="42">'4012'!$B$12</definedName>
    <definedName name="_102_Basic_4_8" localSheetId="43">'4013'!$B$12</definedName>
    <definedName name="_102_Basic_4_8" localSheetId="44">'4020'!$B$12</definedName>
    <definedName name="_102_Basic_4_8" localSheetId="45">'4021'!$B$12</definedName>
    <definedName name="_102_Basic_4_8" localSheetId="46">'4037'!$B$12</definedName>
    <definedName name="_102_Basic_4_8" localSheetId="47">#REF!</definedName>
    <definedName name="_102_Basic_4_8" localSheetId="48">'4041'!$B$12</definedName>
    <definedName name="_102_Basic_4_8" localSheetId="49">'4050'!$B$12</definedName>
    <definedName name="_102_Basic_4_8" localSheetId="50">'4051'!$B$12</definedName>
    <definedName name="_102_Basic_4_8" localSheetId="51">'4061'!$B$12</definedName>
    <definedName name="_102_Basic_4_8" localSheetId="52">'4070'!$B$12</definedName>
    <definedName name="_102_Basic_4_8" localSheetId="53">'4072'!$B$12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'3941'!$B$14</definedName>
    <definedName name="_103_Basic_9_12" localSheetId="36">'3961'!$B$14</definedName>
    <definedName name="_103_Basic_9_12" localSheetId="37">'3971'!$B$14</definedName>
    <definedName name="_103_Basic_9_12" localSheetId="38">'4000'!$B$14</definedName>
    <definedName name="_103_Basic_9_12" localSheetId="39">'4001'!$B$14</definedName>
    <definedName name="_103_Basic_9_12" localSheetId="40">'4002'!$B$14</definedName>
    <definedName name="_103_Basic_9_12" localSheetId="41">'4010'!$B$14</definedName>
    <definedName name="_103_Basic_9_12" localSheetId="42">'4012'!$B$14</definedName>
    <definedName name="_103_Basic_9_12" localSheetId="43">'4013'!$B$14</definedName>
    <definedName name="_103_Basic_9_12" localSheetId="44">'4020'!$B$14</definedName>
    <definedName name="_103_Basic_9_12" localSheetId="45">'4021'!$B$14</definedName>
    <definedName name="_103_Basic_9_12" localSheetId="46">'4037'!$B$14</definedName>
    <definedName name="_103_Basic_9_12" localSheetId="47">#REF!</definedName>
    <definedName name="_103_Basic_9_12" localSheetId="48">'4041'!$B$14</definedName>
    <definedName name="_103_Basic_9_12" localSheetId="49">'4050'!$B$14</definedName>
    <definedName name="_103_Basic_9_12" localSheetId="50">'4051'!$B$14</definedName>
    <definedName name="_103_Basic_9_12" localSheetId="51">'4061'!$B$14</definedName>
    <definedName name="_103_Basic_9_12" localSheetId="52">'4070'!$B$14</definedName>
    <definedName name="_103_Basic_9_12" localSheetId="53">'4072'!$B$14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'3941'!$B$11</definedName>
    <definedName name="_111_Basic_K_3_with_ESE_Services" localSheetId="36">'3961'!$B$11</definedName>
    <definedName name="_111_Basic_K_3_with_ESE_Services" localSheetId="37">'3971'!$B$11</definedName>
    <definedName name="_111_Basic_K_3_with_ESE_Services" localSheetId="38">'4000'!$B$11</definedName>
    <definedName name="_111_Basic_K_3_with_ESE_Services" localSheetId="39">'4001'!$B$11</definedName>
    <definedName name="_111_Basic_K_3_with_ESE_Services" localSheetId="40">'4002'!$B$11</definedName>
    <definedName name="_111_Basic_K_3_with_ESE_Services" localSheetId="41">'4010'!$B$11</definedName>
    <definedName name="_111_Basic_K_3_with_ESE_Services" localSheetId="42">'4012'!$B$11</definedName>
    <definedName name="_111_Basic_K_3_with_ESE_Services" localSheetId="43">'4013'!$B$11</definedName>
    <definedName name="_111_Basic_K_3_with_ESE_Services" localSheetId="44">'4020'!$B$11</definedName>
    <definedName name="_111_Basic_K_3_with_ESE_Services" localSheetId="45">'4021'!$B$11</definedName>
    <definedName name="_111_Basic_K_3_with_ESE_Services" localSheetId="46">'4037'!$B$11</definedName>
    <definedName name="_111_Basic_K_3_with_ESE_Services" localSheetId="47">#REF!</definedName>
    <definedName name="_111_Basic_K_3_with_ESE_Services" localSheetId="48">'4041'!$B$11</definedName>
    <definedName name="_111_Basic_K_3_with_ESE_Services" localSheetId="49">'4050'!$B$11</definedName>
    <definedName name="_111_Basic_K_3_with_ESE_Services" localSheetId="50">'4051'!$B$11</definedName>
    <definedName name="_111_Basic_K_3_with_ESE_Services" localSheetId="51">'4061'!$B$11</definedName>
    <definedName name="_111_Basic_K_3_with_ESE_Services" localSheetId="52">'4070'!$B$11</definedName>
    <definedName name="_111_Basic_K_3_with_ESE_Services" localSheetId="53">'4072'!$B$11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'3941'!$B$13</definedName>
    <definedName name="_112_Basic_4_8_with_ESE_Services" localSheetId="36">'3961'!$B$13</definedName>
    <definedName name="_112_Basic_4_8_with_ESE_Services" localSheetId="37">'3971'!$B$13</definedName>
    <definedName name="_112_Basic_4_8_with_ESE_Services" localSheetId="38">'4000'!$B$13</definedName>
    <definedName name="_112_Basic_4_8_with_ESE_Services" localSheetId="39">'4001'!$B$13</definedName>
    <definedName name="_112_Basic_4_8_with_ESE_Services" localSheetId="40">'4002'!$B$13</definedName>
    <definedName name="_112_Basic_4_8_with_ESE_Services" localSheetId="41">'4010'!$B$13</definedName>
    <definedName name="_112_Basic_4_8_with_ESE_Services" localSheetId="42">'4012'!$B$13</definedName>
    <definedName name="_112_Basic_4_8_with_ESE_Services" localSheetId="43">'4013'!$B$13</definedName>
    <definedName name="_112_Basic_4_8_with_ESE_Services" localSheetId="44">'4020'!$B$13</definedName>
    <definedName name="_112_Basic_4_8_with_ESE_Services" localSheetId="45">'4021'!$B$13</definedName>
    <definedName name="_112_Basic_4_8_with_ESE_Services" localSheetId="46">'4037'!$B$13</definedName>
    <definedName name="_112_Basic_4_8_with_ESE_Services" localSheetId="47">#REF!</definedName>
    <definedName name="_112_Basic_4_8_with_ESE_Services" localSheetId="48">'4041'!$B$13</definedName>
    <definedName name="_112_Basic_4_8_with_ESE_Services" localSheetId="49">'4050'!$B$13</definedName>
    <definedName name="_112_Basic_4_8_with_ESE_Services" localSheetId="50">'4051'!$B$13</definedName>
    <definedName name="_112_Basic_4_8_with_ESE_Services" localSheetId="51">'4061'!$B$13</definedName>
    <definedName name="_112_Basic_4_8_with_ESE_Services" localSheetId="52">'4070'!$B$13</definedName>
    <definedName name="_112_Basic_4_8_with_ESE_Services" localSheetId="53">'4072'!$B$13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'3941'!$B$15</definedName>
    <definedName name="_113_Basic_9_12_with_ESE_Services" localSheetId="36">'3961'!$B$15</definedName>
    <definedName name="_113_Basic_9_12_with_ESE_Services" localSheetId="37">'3971'!$B$15</definedName>
    <definedName name="_113_Basic_9_12_with_ESE_Services" localSheetId="38">'4000'!$B$15</definedName>
    <definedName name="_113_Basic_9_12_with_ESE_Services" localSheetId="39">'4001'!$B$15</definedName>
    <definedName name="_113_Basic_9_12_with_ESE_Services" localSheetId="40">'4002'!$B$15</definedName>
    <definedName name="_113_Basic_9_12_with_ESE_Services" localSheetId="41">'4010'!$B$15</definedName>
    <definedName name="_113_Basic_9_12_with_ESE_Services" localSheetId="42">'4012'!$B$15</definedName>
    <definedName name="_113_Basic_9_12_with_ESE_Services" localSheetId="43">'4013'!$B$15</definedName>
    <definedName name="_113_Basic_9_12_with_ESE_Services" localSheetId="44">'4020'!$B$15</definedName>
    <definedName name="_113_Basic_9_12_with_ESE_Services" localSheetId="45">'4021'!$B$15</definedName>
    <definedName name="_113_Basic_9_12_with_ESE_Services" localSheetId="46">'4037'!$B$15</definedName>
    <definedName name="_113_Basic_9_12_with_ESE_Services" localSheetId="47">#REF!</definedName>
    <definedName name="_113_Basic_9_12_with_ESE_Services" localSheetId="48">'4041'!$B$15</definedName>
    <definedName name="_113_Basic_9_12_with_ESE_Services" localSheetId="49">'4050'!$B$15</definedName>
    <definedName name="_113_Basic_9_12_with_ESE_Services" localSheetId="50">'4051'!$B$15</definedName>
    <definedName name="_113_Basic_9_12_with_ESE_Services" localSheetId="51">'4061'!$B$15</definedName>
    <definedName name="_113_Basic_9_12_with_ESE_Services" localSheetId="52">'4070'!$B$15</definedName>
    <definedName name="_113_Basic_9_12_with_ESE_Services" localSheetId="53">'4072'!$B$15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'3941'!$B$23</definedName>
    <definedName name="_130_ESOL__Grade_Level_4_8" localSheetId="36">'3961'!$B$23</definedName>
    <definedName name="_130_ESOL__Grade_Level_4_8" localSheetId="37">'3971'!$B$23</definedName>
    <definedName name="_130_ESOL__Grade_Level_4_8" localSheetId="38">'4000'!$B$23</definedName>
    <definedName name="_130_ESOL__Grade_Level_4_8" localSheetId="39">'4001'!$B$23</definedName>
    <definedName name="_130_ESOL__Grade_Level_4_8" localSheetId="40">'4002'!$B$23</definedName>
    <definedName name="_130_ESOL__Grade_Level_4_8" localSheetId="41">'4010'!$B$23</definedName>
    <definedName name="_130_ESOL__Grade_Level_4_8" localSheetId="42">'4012'!$B$23</definedName>
    <definedName name="_130_ESOL__Grade_Level_4_8" localSheetId="43">'4013'!$B$23</definedName>
    <definedName name="_130_ESOL__Grade_Level_4_8" localSheetId="44">'4020'!$B$23</definedName>
    <definedName name="_130_ESOL__Grade_Level_4_8" localSheetId="45">'4021'!$B$23</definedName>
    <definedName name="_130_ESOL__Grade_Level_4_8" localSheetId="46">'4037'!$B$23</definedName>
    <definedName name="_130_ESOL__Grade_Level_4_8" localSheetId="47">#REF!</definedName>
    <definedName name="_130_ESOL__Grade_Level_4_8" localSheetId="48">'4041'!$B$23</definedName>
    <definedName name="_130_ESOL__Grade_Level_4_8" localSheetId="49">'4050'!$B$23</definedName>
    <definedName name="_130_ESOL__Grade_Level_4_8" localSheetId="50">'4051'!$B$23</definedName>
    <definedName name="_130_ESOL__Grade_Level_4_8" localSheetId="51">'4061'!$B$23</definedName>
    <definedName name="_130_ESOL__Grade_Level_4_8" localSheetId="52">'4070'!$B$23</definedName>
    <definedName name="_130_ESOL__Grade_Level_4_8" localSheetId="53">'4072'!$B$23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'3941'!$B$24</definedName>
    <definedName name="_130_ESOL__Grade_Level_9_12" localSheetId="36">'3961'!$B$24</definedName>
    <definedName name="_130_ESOL__Grade_Level_9_12" localSheetId="37">'3971'!$B$24</definedName>
    <definedName name="_130_ESOL__Grade_Level_9_12" localSheetId="38">'4000'!$B$24</definedName>
    <definedName name="_130_ESOL__Grade_Level_9_12" localSheetId="39">'4001'!$B$24</definedName>
    <definedName name="_130_ESOL__Grade_Level_9_12" localSheetId="40">'4002'!$B$24</definedName>
    <definedName name="_130_ESOL__Grade_Level_9_12" localSheetId="41">'4010'!$B$24</definedName>
    <definedName name="_130_ESOL__Grade_Level_9_12" localSheetId="42">'4012'!$B$24</definedName>
    <definedName name="_130_ESOL__Grade_Level_9_12" localSheetId="43">'4013'!$B$24</definedName>
    <definedName name="_130_ESOL__Grade_Level_9_12" localSheetId="44">'4020'!$B$24</definedName>
    <definedName name="_130_ESOL__Grade_Level_9_12" localSheetId="45">'4021'!$B$24</definedName>
    <definedName name="_130_ESOL__Grade_Level_9_12" localSheetId="46">'4037'!$B$24</definedName>
    <definedName name="_130_ESOL__Grade_Level_9_12" localSheetId="47">#REF!</definedName>
    <definedName name="_130_ESOL__Grade_Level_9_12" localSheetId="48">'4041'!$B$24</definedName>
    <definedName name="_130_ESOL__Grade_Level_9_12" localSheetId="49">'4050'!$B$24</definedName>
    <definedName name="_130_ESOL__Grade_Level_9_12" localSheetId="50">'4051'!$B$24</definedName>
    <definedName name="_130_ESOL__Grade_Level_9_12" localSheetId="51">'4061'!$B$24</definedName>
    <definedName name="_130_ESOL__Grade_Level_9_12" localSheetId="52">'4070'!$B$24</definedName>
    <definedName name="_130_ESOL__Grade_Level_9_12" localSheetId="53">'4072'!$B$24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'3941'!$B$22</definedName>
    <definedName name="_130_ESOL__Grade_Level_PK_3" localSheetId="36">'3961'!$B$22</definedName>
    <definedName name="_130_ESOL__Grade_Level_PK_3" localSheetId="37">'3971'!$B$22</definedName>
    <definedName name="_130_ESOL__Grade_Level_PK_3" localSheetId="38">'4000'!$B$22</definedName>
    <definedName name="_130_ESOL__Grade_Level_PK_3" localSheetId="39">'4001'!$B$22</definedName>
    <definedName name="_130_ESOL__Grade_Level_PK_3" localSheetId="40">'4002'!$B$22</definedName>
    <definedName name="_130_ESOL__Grade_Level_PK_3" localSheetId="41">'4010'!$B$22</definedName>
    <definedName name="_130_ESOL__Grade_Level_PK_3" localSheetId="42">'4012'!$B$22</definedName>
    <definedName name="_130_ESOL__Grade_Level_PK_3" localSheetId="43">'4013'!$B$22</definedName>
    <definedName name="_130_ESOL__Grade_Level_PK_3" localSheetId="44">'4020'!$B$22</definedName>
    <definedName name="_130_ESOL__Grade_Level_PK_3" localSheetId="45">'4021'!$B$22</definedName>
    <definedName name="_130_ESOL__Grade_Level_PK_3" localSheetId="46">'4037'!$B$22</definedName>
    <definedName name="_130_ESOL__Grade_Level_PK_3" localSheetId="47">#REF!</definedName>
    <definedName name="_130_ESOL__Grade_Level_PK_3" localSheetId="48">'4041'!$B$22</definedName>
    <definedName name="_130_ESOL__Grade_Level_PK_3" localSheetId="49">'4050'!$B$22</definedName>
    <definedName name="_130_ESOL__Grade_Level_PK_3" localSheetId="50">'4051'!$B$22</definedName>
    <definedName name="_130_ESOL__Grade_Level_PK_3" localSheetId="51">'4061'!$B$22</definedName>
    <definedName name="_130_ESOL__Grade_Level_PK_3" localSheetId="52">'4070'!$B$22</definedName>
    <definedName name="_130_ESOL__Grade_Level_PK_3" localSheetId="53">'4072'!$B$22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'3941'!$B$27</definedName>
    <definedName name="_2.__ESE_Guaranteed_Allocation" localSheetId="36">'3961'!$B$27</definedName>
    <definedName name="_2.__ESE_Guaranteed_Allocation" localSheetId="37">'3971'!$B$27</definedName>
    <definedName name="_2.__ESE_Guaranteed_Allocation" localSheetId="38">'4000'!$B$27</definedName>
    <definedName name="_2.__ESE_Guaranteed_Allocation" localSheetId="39">'4001'!$B$27</definedName>
    <definedName name="_2.__ESE_Guaranteed_Allocation" localSheetId="40">'4002'!$B$27</definedName>
    <definedName name="_2.__ESE_Guaranteed_Allocation" localSheetId="41">'4010'!$B$27</definedName>
    <definedName name="_2.__ESE_Guaranteed_Allocation" localSheetId="42">'4012'!$B$27</definedName>
    <definedName name="_2.__ESE_Guaranteed_Allocation" localSheetId="43">'4013'!$B$27</definedName>
    <definedName name="_2.__ESE_Guaranteed_Allocation" localSheetId="44">'4020'!$B$27</definedName>
    <definedName name="_2.__ESE_Guaranteed_Allocation" localSheetId="45">'4021'!$B$27</definedName>
    <definedName name="_2.__ESE_Guaranteed_Allocation" localSheetId="46">'4037'!$B$27</definedName>
    <definedName name="_2.__ESE_Guaranteed_Allocation" localSheetId="47">#REF!</definedName>
    <definedName name="_2.__ESE_Guaranteed_Allocation" localSheetId="48">'4041'!$B$27</definedName>
    <definedName name="_2.__ESE_Guaranteed_Allocation" localSheetId="49">'4050'!$B$27</definedName>
    <definedName name="_2.__ESE_Guaranteed_Allocation" localSheetId="50">'4051'!$B$27</definedName>
    <definedName name="_2.__ESE_Guaranteed_Allocation" localSheetId="51">'4061'!$B$27</definedName>
    <definedName name="_2.__ESE_Guaranteed_Allocation" localSheetId="52">'4070'!$B$27</definedName>
    <definedName name="_2.__ESE_Guaranteed_Allocation" localSheetId="53">'4072'!$B$27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'3941'!$L$8</definedName>
    <definedName name="_2010_11_Base_Funding_WFTE_x_BSA_x_DCD" localSheetId="36">'3961'!$L$8</definedName>
    <definedName name="_2010_11_Base_Funding_WFTE_x_BSA_x_DCD" localSheetId="37">'3971'!$L$8</definedName>
    <definedName name="_2010_11_Base_Funding_WFTE_x_BSA_x_DCD" localSheetId="38">'4000'!$L$8</definedName>
    <definedName name="_2010_11_Base_Funding_WFTE_x_BSA_x_DCD" localSheetId="39">'4001'!$L$8</definedName>
    <definedName name="_2010_11_Base_Funding_WFTE_x_BSA_x_DCD" localSheetId="40">'4002'!$L$8</definedName>
    <definedName name="_2010_11_Base_Funding_WFTE_x_BSA_x_DCD" localSheetId="41">'4010'!$L$8</definedName>
    <definedName name="_2010_11_Base_Funding_WFTE_x_BSA_x_DCD" localSheetId="42">'4012'!$L$8</definedName>
    <definedName name="_2010_11_Base_Funding_WFTE_x_BSA_x_DCD" localSheetId="43">'4013'!$L$8</definedName>
    <definedName name="_2010_11_Base_Funding_WFTE_x_BSA_x_DCD" localSheetId="44">'4020'!$L$8</definedName>
    <definedName name="_2010_11_Base_Funding_WFTE_x_BSA_x_DCD" localSheetId="45">'4021'!$L$8</definedName>
    <definedName name="_2010_11_Base_Funding_WFTE_x_BSA_x_DCD" localSheetId="46">'4037'!$L$8</definedName>
    <definedName name="_2010_11_Base_Funding_WFTE_x_BSA_x_DCD" localSheetId="47">#REF!</definedName>
    <definedName name="_2010_11_Base_Funding_WFTE_x_BSA_x_DCD" localSheetId="48">'4041'!$L$8</definedName>
    <definedName name="_2010_11_Base_Funding_WFTE_x_BSA_x_DCD" localSheetId="49">'4050'!$L$8</definedName>
    <definedName name="_2010_11_Base_Funding_WFTE_x_BSA_x_DCD" localSheetId="50">'4051'!$L$8</definedName>
    <definedName name="_2010_11_Base_Funding_WFTE_x_BSA_x_DCD" localSheetId="51">'4061'!$L$8</definedName>
    <definedName name="_2010_11_Base_Funding_WFTE_x_BSA_x_DCD" localSheetId="52">'4070'!$L$8</definedName>
    <definedName name="_2010_11_Base_Funding_WFTE_x_BSA_x_DCD" localSheetId="53">'4072'!$L$8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'3941'!$B$17</definedName>
    <definedName name="_254_ESE_Level_4__Grade_Level_4_8" localSheetId="36">'3961'!$B$17</definedName>
    <definedName name="_254_ESE_Level_4__Grade_Level_4_8" localSheetId="37">'3971'!$B$17</definedName>
    <definedName name="_254_ESE_Level_4__Grade_Level_4_8" localSheetId="38">'4000'!$B$17</definedName>
    <definedName name="_254_ESE_Level_4__Grade_Level_4_8" localSheetId="39">'4001'!$B$17</definedName>
    <definedName name="_254_ESE_Level_4__Grade_Level_4_8" localSheetId="40">'4002'!$B$17</definedName>
    <definedName name="_254_ESE_Level_4__Grade_Level_4_8" localSheetId="41">'4010'!$B$17</definedName>
    <definedName name="_254_ESE_Level_4__Grade_Level_4_8" localSheetId="42">'4012'!$B$17</definedName>
    <definedName name="_254_ESE_Level_4__Grade_Level_4_8" localSheetId="43">'4013'!$B$17</definedName>
    <definedName name="_254_ESE_Level_4__Grade_Level_4_8" localSheetId="44">'4020'!$B$17</definedName>
    <definedName name="_254_ESE_Level_4__Grade_Level_4_8" localSheetId="45">'4021'!$B$17</definedName>
    <definedName name="_254_ESE_Level_4__Grade_Level_4_8" localSheetId="46">'4037'!$B$17</definedName>
    <definedName name="_254_ESE_Level_4__Grade_Level_4_8" localSheetId="47">#REF!</definedName>
    <definedName name="_254_ESE_Level_4__Grade_Level_4_8" localSheetId="48">'4041'!$B$17</definedName>
    <definedName name="_254_ESE_Level_4__Grade_Level_4_8" localSheetId="49">'4050'!$B$17</definedName>
    <definedName name="_254_ESE_Level_4__Grade_Level_4_8" localSheetId="50">'4051'!$B$17</definedName>
    <definedName name="_254_ESE_Level_4__Grade_Level_4_8" localSheetId="51">'4061'!$B$17</definedName>
    <definedName name="_254_ESE_Level_4__Grade_Level_4_8" localSheetId="52">'4070'!$B$17</definedName>
    <definedName name="_254_ESE_Level_4__Grade_Level_4_8" localSheetId="53">'4072'!$B$17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'3941'!$B$18</definedName>
    <definedName name="_254_ESE_Level_4__Grade_Level_9_12" localSheetId="36">'3961'!$B$18</definedName>
    <definedName name="_254_ESE_Level_4__Grade_Level_9_12" localSheetId="37">'3971'!$B$18</definedName>
    <definedName name="_254_ESE_Level_4__Grade_Level_9_12" localSheetId="38">'4000'!$B$18</definedName>
    <definedName name="_254_ESE_Level_4__Grade_Level_9_12" localSheetId="39">'4001'!$B$18</definedName>
    <definedName name="_254_ESE_Level_4__Grade_Level_9_12" localSheetId="40">'4002'!$B$18</definedName>
    <definedName name="_254_ESE_Level_4__Grade_Level_9_12" localSheetId="41">'4010'!$B$18</definedName>
    <definedName name="_254_ESE_Level_4__Grade_Level_9_12" localSheetId="42">'4012'!$B$18</definedName>
    <definedName name="_254_ESE_Level_4__Grade_Level_9_12" localSheetId="43">'4013'!$B$18</definedName>
    <definedName name="_254_ESE_Level_4__Grade_Level_9_12" localSheetId="44">'4020'!$B$18</definedName>
    <definedName name="_254_ESE_Level_4__Grade_Level_9_12" localSheetId="45">'4021'!$B$18</definedName>
    <definedName name="_254_ESE_Level_4__Grade_Level_9_12" localSheetId="46">'4037'!$B$18</definedName>
    <definedName name="_254_ESE_Level_4__Grade_Level_9_12" localSheetId="47">#REF!</definedName>
    <definedName name="_254_ESE_Level_4__Grade_Level_9_12" localSheetId="48">'4041'!$B$18</definedName>
    <definedName name="_254_ESE_Level_4__Grade_Level_9_12" localSheetId="49">'4050'!$B$18</definedName>
    <definedName name="_254_ESE_Level_4__Grade_Level_9_12" localSheetId="50">'4051'!$B$18</definedName>
    <definedName name="_254_ESE_Level_4__Grade_Level_9_12" localSheetId="51">'4061'!$B$18</definedName>
    <definedName name="_254_ESE_Level_4__Grade_Level_9_12" localSheetId="52">'4070'!$B$18</definedName>
    <definedName name="_254_ESE_Level_4__Grade_Level_9_12" localSheetId="53">'4072'!$B$18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'3941'!$B$16</definedName>
    <definedName name="_254_ESE_Level_4__Grade_Level_PK_3" localSheetId="36">'3961'!$B$16</definedName>
    <definedName name="_254_ESE_Level_4__Grade_Level_PK_3" localSheetId="37">'3971'!$B$16</definedName>
    <definedName name="_254_ESE_Level_4__Grade_Level_PK_3" localSheetId="38">'4000'!$B$16</definedName>
    <definedName name="_254_ESE_Level_4__Grade_Level_PK_3" localSheetId="39">'4001'!$B$16</definedName>
    <definedName name="_254_ESE_Level_4__Grade_Level_PK_3" localSheetId="40">'4002'!$B$16</definedName>
    <definedName name="_254_ESE_Level_4__Grade_Level_PK_3" localSheetId="41">'4010'!$B$16</definedName>
    <definedName name="_254_ESE_Level_4__Grade_Level_PK_3" localSheetId="42">'4012'!$B$16</definedName>
    <definedName name="_254_ESE_Level_4__Grade_Level_PK_3" localSheetId="43">'4013'!$B$16</definedName>
    <definedName name="_254_ESE_Level_4__Grade_Level_PK_3" localSheetId="44">'4020'!$B$16</definedName>
    <definedName name="_254_ESE_Level_4__Grade_Level_PK_3" localSheetId="45">'4021'!$B$16</definedName>
    <definedName name="_254_ESE_Level_4__Grade_Level_PK_3" localSheetId="46">'4037'!$B$16</definedName>
    <definedName name="_254_ESE_Level_4__Grade_Level_PK_3" localSheetId="47">#REF!</definedName>
    <definedName name="_254_ESE_Level_4__Grade_Level_PK_3" localSheetId="48">'4041'!$B$16</definedName>
    <definedName name="_254_ESE_Level_4__Grade_Level_PK_3" localSheetId="49">'4050'!$B$16</definedName>
    <definedName name="_254_ESE_Level_4__Grade_Level_PK_3" localSheetId="50">'4051'!$B$16</definedName>
    <definedName name="_254_ESE_Level_4__Grade_Level_PK_3" localSheetId="51">'4061'!$B$16</definedName>
    <definedName name="_254_ESE_Level_4__Grade_Level_PK_3" localSheetId="52">'4070'!$B$16</definedName>
    <definedName name="_254_ESE_Level_4__Grade_Level_PK_3" localSheetId="53">'4072'!$B$16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'3941'!$B$20</definedName>
    <definedName name="_255_ESE_Level_5__Grade_Level_4_8" localSheetId="36">'3961'!$B$20</definedName>
    <definedName name="_255_ESE_Level_5__Grade_Level_4_8" localSheetId="37">'3971'!$B$20</definedName>
    <definedName name="_255_ESE_Level_5__Grade_Level_4_8" localSheetId="38">'4000'!$B$20</definedName>
    <definedName name="_255_ESE_Level_5__Grade_Level_4_8" localSheetId="39">'4001'!$B$20</definedName>
    <definedName name="_255_ESE_Level_5__Grade_Level_4_8" localSheetId="40">'4002'!$B$20</definedName>
    <definedName name="_255_ESE_Level_5__Grade_Level_4_8" localSheetId="41">'4010'!$B$20</definedName>
    <definedName name="_255_ESE_Level_5__Grade_Level_4_8" localSheetId="42">'4012'!$B$20</definedName>
    <definedName name="_255_ESE_Level_5__Grade_Level_4_8" localSheetId="43">'4013'!$B$20</definedName>
    <definedName name="_255_ESE_Level_5__Grade_Level_4_8" localSheetId="44">'4020'!$B$20</definedName>
    <definedName name="_255_ESE_Level_5__Grade_Level_4_8" localSheetId="45">'4021'!$B$20</definedName>
    <definedName name="_255_ESE_Level_5__Grade_Level_4_8" localSheetId="46">'4037'!$B$20</definedName>
    <definedName name="_255_ESE_Level_5__Grade_Level_4_8" localSheetId="47">#REF!</definedName>
    <definedName name="_255_ESE_Level_5__Grade_Level_4_8" localSheetId="48">'4041'!$B$20</definedName>
    <definedName name="_255_ESE_Level_5__Grade_Level_4_8" localSheetId="49">'4050'!$B$20</definedName>
    <definedName name="_255_ESE_Level_5__Grade_Level_4_8" localSheetId="50">'4051'!$B$20</definedName>
    <definedName name="_255_ESE_Level_5__Grade_Level_4_8" localSheetId="51">'4061'!$B$20</definedName>
    <definedName name="_255_ESE_Level_5__Grade_Level_4_8" localSheetId="52">'4070'!$B$20</definedName>
    <definedName name="_255_ESE_Level_5__Grade_Level_4_8" localSheetId="53">'4072'!$B$20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'3941'!$B$21</definedName>
    <definedName name="_255_ESE_Level_5__Grade_Level_9_12" localSheetId="36">'3961'!$B$21</definedName>
    <definedName name="_255_ESE_Level_5__Grade_Level_9_12" localSheetId="37">'3971'!$B$21</definedName>
    <definedName name="_255_ESE_Level_5__Grade_Level_9_12" localSheetId="38">'4000'!$B$21</definedName>
    <definedName name="_255_ESE_Level_5__Grade_Level_9_12" localSheetId="39">'4001'!$B$21</definedName>
    <definedName name="_255_ESE_Level_5__Grade_Level_9_12" localSheetId="40">'4002'!$B$21</definedName>
    <definedName name="_255_ESE_Level_5__Grade_Level_9_12" localSheetId="41">'4010'!$B$21</definedName>
    <definedName name="_255_ESE_Level_5__Grade_Level_9_12" localSheetId="42">'4012'!$B$21</definedName>
    <definedName name="_255_ESE_Level_5__Grade_Level_9_12" localSheetId="43">'4013'!$B$21</definedName>
    <definedName name="_255_ESE_Level_5__Grade_Level_9_12" localSheetId="44">'4020'!$B$21</definedName>
    <definedName name="_255_ESE_Level_5__Grade_Level_9_12" localSheetId="45">'4021'!$B$21</definedName>
    <definedName name="_255_ESE_Level_5__Grade_Level_9_12" localSheetId="46">'4037'!$B$21</definedName>
    <definedName name="_255_ESE_Level_5__Grade_Level_9_12" localSheetId="47">#REF!</definedName>
    <definedName name="_255_ESE_Level_5__Grade_Level_9_12" localSheetId="48">'4041'!$B$21</definedName>
    <definedName name="_255_ESE_Level_5__Grade_Level_9_12" localSheetId="49">'4050'!$B$21</definedName>
    <definedName name="_255_ESE_Level_5__Grade_Level_9_12" localSheetId="50">'4051'!$B$21</definedName>
    <definedName name="_255_ESE_Level_5__Grade_Level_9_12" localSheetId="51">'4061'!$B$21</definedName>
    <definedName name="_255_ESE_Level_5__Grade_Level_9_12" localSheetId="52">'4070'!$B$21</definedName>
    <definedName name="_255_ESE_Level_5__Grade_Level_9_12" localSheetId="53">'4072'!$B$21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'3941'!$B$19</definedName>
    <definedName name="_255_ESE_Level_5__Grade_Level_PK_3" localSheetId="36">'3961'!$B$19</definedName>
    <definedName name="_255_ESE_Level_5__Grade_Level_PK_3" localSheetId="37">'3971'!$B$19</definedName>
    <definedName name="_255_ESE_Level_5__Grade_Level_PK_3" localSheetId="38">'4000'!$B$19</definedName>
    <definedName name="_255_ESE_Level_5__Grade_Level_PK_3" localSheetId="39">'4001'!$B$19</definedName>
    <definedName name="_255_ESE_Level_5__Grade_Level_PK_3" localSheetId="40">'4002'!$B$19</definedName>
    <definedName name="_255_ESE_Level_5__Grade_Level_PK_3" localSheetId="41">'4010'!$B$19</definedName>
    <definedName name="_255_ESE_Level_5__Grade_Level_PK_3" localSheetId="42">'4012'!$B$19</definedName>
    <definedName name="_255_ESE_Level_5__Grade_Level_PK_3" localSheetId="43">'4013'!$B$19</definedName>
    <definedName name="_255_ESE_Level_5__Grade_Level_PK_3" localSheetId="44">'4020'!$B$19</definedName>
    <definedName name="_255_ESE_Level_5__Grade_Level_PK_3" localSheetId="45">'4021'!$B$19</definedName>
    <definedName name="_255_ESE_Level_5__Grade_Level_PK_3" localSheetId="46">'4037'!$B$19</definedName>
    <definedName name="_255_ESE_Level_5__Grade_Level_PK_3" localSheetId="47">#REF!</definedName>
    <definedName name="_255_ESE_Level_5__Grade_Level_PK_3" localSheetId="48">'4041'!$B$19</definedName>
    <definedName name="_255_ESE_Level_5__Grade_Level_PK_3" localSheetId="49">'4050'!$B$19</definedName>
    <definedName name="_255_ESE_Level_5__Grade_Level_PK_3" localSheetId="50">'4051'!$B$19</definedName>
    <definedName name="_255_ESE_Level_5__Grade_Level_PK_3" localSheetId="51">'4061'!$B$19</definedName>
    <definedName name="_255_ESE_Level_5__Grade_Level_PK_3" localSheetId="52">'4070'!$B$19</definedName>
    <definedName name="_255_ESE_Level_5__Grade_Level_PK_3" localSheetId="53">'4072'!$B$19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'3941'!$B$38</definedName>
    <definedName name="_3.__Supplemental_Academic_Instruction" localSheetId="36">'3961'!$B$38</definedName>
    <definedName name="_3.__Supplemental_Academic_Instruction" localSheetId="37">'3971'!$B$38</definedName>
    <definedName name="_3.__Supplemental_Academic_Instruction" localSheetId="38">'4000'!$B$38</definedName>
    <definedName name="_3.__Supplemental_Academic_Instruction" localSheetId="39">'4001'!$B$38</definedName>
    <definedName name="_3.__Supplemental_Academic_Instruction" localSheetId="40">'4002'!$B$38</definedName>
    <definedName name="_3.__Supplemental_Academic_Instruction" localSheetId="41">'4010'!$B$38</definedName>
    <definedName name="_3.__Supplemental_Academic_Instruction" localSheetId="42">'4012'!$B$38</definedName>
    <definedName name="_3.__Supplemental_Academic_Instruction" localSheetId="43">'4013'!$B$38</definedName>
    <definedName name="_3.__Supplemental_Academic_Instruction" localSheetId="44">'4020'!$B$38</definedName>
    <definedName name="_3.__Supplemental_Academic_Instruction" localSheetId="45">'4021'!$B$38</definedName>
    <definedName name="_3.__Supplemental_Academic_Instruction" localSheetId="46">'4037'!$B$38</definedName>
    <definedName name="_3.__Supplemental_Academic_Instruction" localSheetId="47">#REF!</definedName>
    <definedName name="_3.__Supplemental_Academic_Instruction" localSheetId="48">'4041'!$B$38</definedName>
    <definedName name="_3.__Supplemental_Academic_Instruction" localSheetId="49">'4050'!$B$38</definedName>
    <definedName name="_3.__Supplemental_Academic_Instruction" localSheetId="50">'4051'!$B$38</definedName>
    <definedName name="_3.__Supplemental_Academic_Instruction" localSheetId="51">'4061'!$B$38</definedName>
    <definedName name="_3.__Supplemental_Academic_Instruction" localSheetId="52">'4070'!$B$38</definedName>
    <definedName name="_3.__Supplemental_Academic_Instruction" localSheetId="53">'4072'!$B$38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'3941'!$B$25</definedName>
    <definedName name="_300_Career_Education__Grades_9_12" localSheetId="36">'3961'!$B$25</definedName>
    <definedName name="_300_Career_Education__Grades_9_12" localSheetId="37">'3971'!$B$25</definedName>
    <definedName name="_300_Career_Education__Grades_9_12" localSheetId="38">'4000'!$B$25</definedName>
    <definedName name="_300_Career_Education__Grades_9_12" localSheetId="39">'4001'!$B$25</definedName>
    <definedName name="_300_Career_Education__Grades_9_12" localSheetId="40">'4002'!$B$25</definedName>
    <definedName name="_300_Career_Education__Grades_9_12" localSheetId="41">'4010'!$B$25</definedName>
    <definedName name="_300_Career_Education__Grades_9_12" localSheetId="42">'4012'!$B$25</definedName>
    <definedName name="_300_Career_Education__Grades_9_12" localSheetId="43">'4013'!$B$25</definedName>
    <definedName name="_300_Career_Education__Grades_9_12" localSheetId="44">'4020'!$B$25</definedName>
    <definedName name="_300_Career_Education__Grades_9_12" localSheetId="45">'4021'!$B$25</definedName>
    <definedName name="_300_Career_Education__Grades_9_12" localSheetId="46">'4037'!$B$25</definedName>
    <definedName name="_300_Career_Education__Grades_9_12" localSheetId="47">#REF!</definedName>
    <definedName name="_300_Career_Education__Grades_9_12" localSheetId="48">'4041'!$B$25</definedName>
    <definedName name="_300_Career_Education__Grades_9_12" localSheetId="49">'4050'!$B$25</definedName>
    <definedName name="_300_Career_Education__Grades_9_12" localSheetId="50">'4051'!$B$25</definedName>
    <definedName name="_300_Career_Education__Grades_9_12" localSheetId="51">'4061'!$B$25</definedName>
    <definedName name="_300_Career_Education__Grades_9_12" localSheetId="52">'4070'!$B$25</definedName>
    <definedName name="_300_Career_Education__Grades_9_12" localSheetId="53">'4072'!$B$25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'3941'!$B$48</definedName>
    <definedName name="_4_8" localSheetId="36">'3961'!$B$48</definedName>
    <definedName name="_4_8" localSheetId="37">'3971'!$B$48</definedName>
    <definedName name="_4_8" localSheetId="38">'4000'!$B$48</definedName>
    <definedName name="_4_8" localSheetId="39">'4001'!$B$48</definedName>
    <definedName name="_4_8" localSheetId="40">'4002'!$B$48</definedName>
    <definedName name="_4_8" localSheetId="41">'4010'!$B$48</definedName>
    <definedName name="_4_8" localSheetId="42">'4012'!$B$48</definedName>
    <definedName name="_4_8" localSheetId="43">'4013'!$B$48</definedName>
    <definedName name="_4_8" localSheetId="44">'4020'!$B$48</definedName>
    <definedName name="_4_8" localSheetId="45">'4021'!$B$48</definedName>
    <definedName name="_4_8" localSheetId="46">'4037'!$B$48</definedName>
    <definedName name="_4_8" localSheetId="47">#REF!</definedName>
    <definedName name="_4_8" localSheetId="48">'4041'!$B$48</definedName>
    <definedName name="_4_8" localSheetId="49">'4050'!$B$48</definedName>
    <definedName name="_4_8" localSheetId="50">'4051'!$B$48</definedName>
    <definedName name="_4_8" localSheetId="51">'4061'!$B$48</definedName>
    <definedName name="_4_8" localSheetId="52">'4070'!$B$48</definedName>
    <definedName name="_4_8" localSheetId="53">'4072'!$B$48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'3941'!$B$49</definedName>
    <definedName name="_9_12" localSheetId="36">'3961'!$B$49</definedName>
    <definedName name="_9_12" localSheetId="37">'3971'!$B$49</definedName>
    <definedName name="_9_12" localSheetId="38">'4000'!$B$49</definedName>
    <definedName name="_9_12" localSheetId="39">'4001'!$B$49</definedName>
    <definedName name="_9_12" localSheetId="40">'4002'!$B$49</definedName>
    <definedName name="_9_12" localSheetId="41">'4010'!$B$49</definedName>
    <definedName name="_9_12" localSheetId="42">'4012'!$B$49</definedName>
    <definedName name="_9_12" localSheetId="43">'4013'!$B$49</definedName>
    <definedName name="_9_12" localSheetId="44">'4020'!$B$49</definedName>
    <definedName name="_9_12" localSheetId="45">'4021'!$B$49</definedName>
    <definedName name="_9_12" localSheetId="46">'4037'!$B$49</definedName>
    <definedName name="_9_12" localSheetId="47">#REF!</definedName>
    <definedName name="_9_12" localSheetId="48">'4041'!$B$49</definedName>
    <definedName name="_9_12" localSheetId="49">'4050'!$B$49</definedName>
    <definedName name="_9_12" localSheetId="50">'4051'!$B$49</definedName>
    <definedName name="_9_12" localSheetId="51">'4061'!$B$49</definedName>
    <definedName name="_9_12" localSheetId="52">'4070'!$B$49</definedName>
    <definedName name="_9_12" localSheetId="53">'4072'!$B$49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Payment'!$A$3:$E$94</definedName>
    <definedName name="_grp1" localSheetId="51">[1]SUMMARY!#REF!</definedName>
    <definedName name="_grp1" localSheetId="52">[1]SUMMARY!#REF!</definedName>
    <definedName name="_grp1">[1]SUMMARY!#REF!</definedName>
    <definedName name="Actual_Additional_.25_Discretionary_Revenue" localSheetId="51">'[2]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'3941'!$I$46</definedName>
    <definedName name="Allocation_factors" localSheetId="36">'3961'!$I$46</definedName>
    <definedName name="Allocation_factors" localSheetId="37">'3971'!$I$46</definedName>
    <definedName name="Allocation_factors" localSheetId="38">'4000'!$I$46</definedName>
    <definedName name="Allocation_factors" localSheetId="39">'4001'!$I$46</definedName>
    <definedName name="Allocation_factors" localSheetId="40">'4002'!$I$46</definedName>
    <definedName name="Allocation_factors" localSheetId="41">'4010'!$I$46</definedName>
    <definedName name="Allocation_factors" localSheetId="42">'4012'!$I$46</definedName>
    <definedName name="Allocation_factors" localSheetId="43">'4013'!$I$46</definedName>
    <definedName name="Allocation_factors" localSheetId="44">'4020'!$I$46</definedName>
    <definedName name="Allocation_factors" localSheetId="45">'4021'!$I$46</definedName>
    <definedName name="Allocation_factors" localSheetId="46">'4037'!$I$46</definedName>
    <definedName name="Allocation_factors" localSheetId="47">#REF!</definedName>
    <definedName name="Allocation_factors" localSheetId="48">'4041'!$I$46</definedName>
    <definedName name="Allocation_factors" localSheetId="49">'4050'!$I$46</definedName>
    <definedName name="Allocation_factors" localSheetId="50">'4051'!$I$46</definedName>
    <definedName name="Allocation_factors" localSheetId="51">'4061'!$I$46</definedName>
    <definedName name="Allocation_factors" localSheetId="52">'4070'!$I$46</definedName>
    <definedName name="Allocation_factors" localSheetId="53">'4072'!$I$46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51">'[2]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'3941'!$B$7</definedName>
    <definedName name="Base_Student_Allocation" localSheetId="36">'3961'!$B$7</definedName>
    <definedName name="Base_Student_Allocation" localSheetId="37">'3971'!$B$7</definedName>
    <definedName name="Base_Student_Allocation" localSheetId="38">'4000'!$B$7</definedName>
    <definedName name="Base_Student_Allocation" localSheetId="39">'4001'!$B$7</definedName>
    <definedName name="Base_Student_Allocation" localSheetId="40">'4002'!$B$7</definedName>
    <definedName name="Base_Student_Allocation" localSheetId="41">'4010'!$B$7</definedName>
    <definedName name="Base_Student_Allocation" localSheetId="42">'4012'!$B$7</definedName>
    <definedName name="Base_Student_Allocation" localSheetId="43">'4013'!$B$7</definedName>
    <definedName name="Base_Student_Allocation" localSheetId="44">'4020'!$B$7</definedName>
    <definedName name="Base_Student_Allocation" localSheetId="45">'4021'!$B$7</definedName>
    <definedName name="Base_Student_Allocation" localSheetId="46">'4037'!$B$7</definedName>
    <definedName name="Base_Student_Allocation" localSheetId="47">#REF!</definedName>
    <definedName name="Base_Student_Allocation" localSheetId="48">'4041'!$B$7</definedName>
    <definedName name="Base_Student_Allocation" localSheetId="49">'4050'!$B$7</definedName>
    <definedName name="Base_Student_Allocation" localSheetId="50">'4051'!$B$7</definedName>
    <definedName name="Base_Student_Allocation" localSheetId="51">'4061'!$B$7</definedName>
    <definedName name="Base_Student_Allocation" localSheetId="52">'4070'!$B$7</definedName>
    <definedName name="Base_Student_Allocation" localSheetId="53">'4072'!$B$7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'3941'!$B$4</definedName>
    <definedName name="Based_on_the_Second_Calculation_of_the_FEFP_2010_11" localSheetId="36">'3961'!$B$4</definedName>
    <definedName name="Based_on_the_Second_Calculation_of_the_FEFP_2010_11" localSheetId="37">'3971'!$B$4</definedName>
    <definedName name="Based_on_the_Second_Calculation_of_the_FEFP_2010_11" localSheetId="38">'4000'!$B$4</definedName>
    <definedName name="Based_on_the_Second_Calculation_of_the_FEFP_2010_11" localSheetId="39">'4001'!$B$4</definedName>
    <definedName name="Based_on_the_Second_Calculation_of_the_FEFP_2010_11" localSheetId="40">'4002'!$B$4</definedName>
    <definedName name="Based_on_the_Second_Calculation_of_the_FEFP_2010_11" localSheetId="41">'4010'!$B$4</definedName>
    <definedName name="Based_on_the_Second_Calculation_of_the_FEFP_2010_11" localSheetId="42">'4012'!$B$4</definedName>
    <definedName name="Based_on_the_Second_Calculation_of_the_FEFP_2010_11" localSheetId="43">'4013'!$B$4</definedName>
    <definedName name="Based_on_the_Second_Calculation_of_the_FEFP_2010_11" localSheetId="44">'4020'!$B$4</definedName>
    <definedName name="Based_on_the_Second_Calculation_of_the_FEFP_2010_11" localSheetId="45">'4021'!$B$4</definedName>
    <definedName name="Based_on_the_Second_Calculation_of_the_FEFP_2010_11" localSheetId="46">'4037'!$B$4</definedName>
    <definedName name="Based_on_the_Second_Calculation_of_the_FEFP_2010_11" localSheetId="47">#REF!</definedName>
    <definedName name="Based_on_the_Second_Calculation_of_the_FEFP_2010_11" localSheetId="48">'4041'!$B$4</definedName>
    <definedName name="Based_on_the_Second_Calculation_of_the_FEFP_2010_11" localSheetId="49">'4050'!$B$4</definedName>
    <definedName name="Based_on_the_Second_Calculation_of_the_FEFP_2010_11" localSheetId="50">'4051'!$B$4</definedName>
    <definedName name="Based_on_the_Second_Calculation_of_the_FEFP_2010_11" localSheetId="51">'4061'!$B$4</definedName>
    <definedName name="Based_on_the_Second_Calculation_of_the_FEFP_2010_11" localSheetId="52">'4070'!$B$4</definedName>
    <definedName name="Based_on_the_Second_Calculation_of_the_FEFP_2010_11" localSheetId="53">'4072'!$B$4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51">[3]SUMMARY!#REF!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'3941'!$G$46</definedName>
    <definedName name="DCD" localSheetId="36">'3961'!$G$46</definedName>
    <definedName name="DCD" localSheetId="37">'3971'!$G$46</definedName>
    <definedName name="DCD" localSheetId="38">'4000'!$G$46</definedName>
    <definedName name="DCD" localSheetId="39">'4001'!$G$46</definedName>
    <definedName name="DCD" localSheetId="40">'4002'!$G$46</definedName>
    <definedName name="DCD" localSheetId="41">'4010'!$G$46</definedName>
    <definedName name="DCD" localSheetId="42">'4012'!$G$46</definedName>
    <definedName name="DCD" localSheetId="43">'4013'!$G$46</definedName>
    <definedName name="DCD" localSheetId="44">'4020'!$G$46</definedName>
    <definedName name="DCD" localSheetId="45">'4021'!$G$46</definedName>
    <definedName name="DCD" localSheetId="46">'4037'!$G$46</definedName>
    <definedName name="DCD" localSheetId="47">#REF!</definedName>
    <definedName name="DCD" localSheetId="48">'4041'!$G$46</definedName>
    <definedName name="DCD" localSheetId="49">'4050'!$G$46</definedName>
    <definedName name="DCD" localSheetId="50">'4051'!$G$46</definedName>
    <definedName name="DCD" localSheetId="51">'4061'!$G$46</definedName>
    <definedName name="DCD" localSheetId="52">'4070'!$G$46</definedName>
    <definedName name="DCD" localSheetId="53">'4072'!$G$46</definedName>
    <definedName name="DCD" localSheetId="1">#REF!</definedName>
    <definedName name="DCD" localSheetId="0">#REF!</definedName>
    <definedName name="DCD" localSheetId="2">Notes!#REF!</definedName>
    <definedName name="DCD">#REF!</definedName>
    <definedName name="Discretionary_Tax_Compression_0.25_mills" localSheetId="51">'[2]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'3941'!$I$7</definedName>
    <definedName name="District_Cost_Differential" localSheetId="36">'3961'!$I$7</definedName>
    <definedName name="District_Cost_Differential" localSheetId="37">'3971'!$I$7</definedName>
    <definedName name="District_Cost_Differential" localSheetId="38">'4000'!$I$7</definedName>
    <definedName name="District_Cost_Differential" localSheetId="39">'4001'!$I$7</definedName>
    <definedName name="District_Cost_Differential" localSheetId="40">'4002'!$I$7</definedName>
    <definedName name="District_Cost_Differential" localSheetId="41">'4010'!$I$7</definedName>
    <definedName name="District_Cost_Differential" localSheetId="42">'4012'!$I$7</definedName>
    <definedName name="District_Cost_Differential" localSheetId="43">'4013'!$I$7</definedName>
    <definedName name="District_Cost_Differential" localSheetId="44">'4020'!$I$7</definedName>
    <definedName name="District_Cost_Differential" localSheetId="45">'4021'!$I$7</definedName>
    <definedName name="District_Cost_Differential" localSheetId="46">'4037'!$I$7</definedName>
    <definedName name="District_Cost_Differential" localSheetId="47">#REF!</definedName>
    <definedName name="District_Cost_Differential" localSheetId="48">'4041'!$I$7</definedName>
    <definedName name="District_Cost_Differential" localSheetId="49">'4050'!$I$7</definedName>
    <definedName name="District_Cost_Differential" localSheetId="50">'4051'!$I$7</definedName>
    <definedName name="District_Cost_Differential" localSheetId="51">'4061'!$I$7</definedName>
    <definedName name="District_Cost_Differential" localSheetId="52">'4070'!$I$7</definedName>
    <definedName name="District_Cost_Differential" localSheetId="53">'4072'!$I$7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'3941'!$B$39</definedName>
    <definedName name="District_SAI_Allocation" localSheetId="36">'3961'!$B$39</definedName>
    <definedName name="District_SAI_Allocation" localSheetId="37">'3971'!$B$39</definedName>
    <definedName name="District_SAI_Allocation" localSheetId="38">'4000'!$B$39</definedName>
    <definedName name="District_SAI_Allocation" localSheetId="39">'4001'!$B$39</definedName>
    <definedName name="District_SAI_Allocation" localSheetId="40">'4002'!$B$39</definedName>
    <definedName name="District_SAI_Allocation" localSheetId="41">'4010'!$B$39</definedName>
    <definedName name="District_SAI_Allocation" localSheetId="42">'4012'!$B$39</definedName>
    <definedName name="District_SAI_Allocation" localSheetId="43">'4013'!$B$39</definedName>
    <definedName name="District_SAI_Allocation" localSheetId="44">'4020'!$B$39</definedName>
    <definedName name="District_SAI_Allocation" localSheetId="45">'4021'!$B$39</definedName>
    <definedName name="District_SAI_Allocation" localSheetId="46">'4037'!$B$39</definedName>
    <definedName name="District_SAI_Allocation" localSheetId="47">#REF!</definedName>
    <definedName name="District_SAI_Allocation" localSheetId="48">'4041'!$B$39</definedName>
    <definedName name="District_SAI_Allocation" localSheetId="49">'4050'!$B$39</definedName>
    <definedName name="District_SAI_Allocation" localSheetId="50">'4051'!$B$39</definedName>
    <definedName name="District_SAI_Allocation" localSheetId="51">'4061'!$B$39</definedName>
    <definedName name="District_SAI_Allocation" localSheetId="52">'4070'!$B$39</definedName>
    <definedName name="District_SAI_Allocation" localSheetId="53">'4072'!$B$39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'3941'!$B$40</definedName>
    <definedName name="divided_by_district_FTE" localSheetId="36">'3961'!$B$40</definedName>
    <definedName name="divided_by_district_FTE" localSheetId="37">'3971'!$B$40</definedName>
    <definedName name="divided_by_district_FTE" localSheetId="38">'4000'!$B$40</definedName>
    <definedName name="divided_by_district_FTE" localSheetId="39">'4001'!$B$40</definedName>
    <definedName name="divided_by_district_FTE" localSheetId="40">'4002'!$B$40</definedName>
    <definedName name="divided_by_district_FTE" localSheetId="41">'4010'!$B$40</definedName>
    <definedName name="divided_by_district_FTE" localSheetId="42">'4012'!$B$40</definedName>
    <definedName name="divided_by_district_FTE" localSheetId="43">'4013'!$B$40</definedName>
    <definedName name="divided_by_district_FTE" localSheetId="44">'4020'!$B$40</definedName>
    <definedName name="divided_by_district_FTE" localSheetId="45">'4021'!$B$40</definedName>
    <definedName name="divided_by_district_FTE" localSheetId="46">'4037'!$B$40</definedName>
    <definedName name="divided_by_district_FTE" localSheetId="47">#REF!</definedName>
    <definedName name="divided_by_district_FTE" localSheetId="48">'4041'!$B$40</definedName>
    <definedName name="divided_by_district_FTE" localSheetId="49">'4050'!$B$40</definedName>
    <definedName name="divided_by_district_FTE" localSheetId="50">'4051'!$B$40</definedName>
    <definedName name="divided_by_district_FTE" localSheetId="51">'4061'!$B$40</definedName>
    <definedName name="divided_by_district_FTE" localSheetId="52">'4070'!$B$40</definedName>
    <definedName name="divided_by_district_FTE" localSheetId="53">'4072'!$B$40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51">'[2]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'3941'!$G$27</definedName>
    <definedName name="FTE" localSheetId="36">'3961'!$G$27</definedName>
    <definedName name="FTE" localSheetId="37">'3971'!$G$27</definedName>
    <definedName name="FTE" localSheetId="38">'4000'!$G$27</definedName>
    <definedName name="FTE" localSheetId="39">'4001'!$G$27</definedName>
    <definedName name="FTE" localSheetId="40">'4002'!$G$27</definedName>
    <definedName name="FTE" localSheetId="41">'4010'!$G$27</definedName>
    <definedName name="FTE" localSheetId="42">'4012'!$G$27</definedName>
    <definedName name="FTE" localSheetId="43">'4013'!$G$27</definedName>
    <definedName name="FTE" localSheetId="44">'4020'!$G$27</definedName>
    <definedName name="FTE" localSheetId="45">'4021'!$G$27</definedName>
    <definedName name="FTE" localSheetId="46">'4037'!$G$27</definedName>
    <definedName name="FTE" localSheetId="47">#REF!</definedName>
    <definedName name="FTE" localSheetId="48">'4041'!$G$27</definedName>
    <definedName name="FTE" localSheetId="49">'4050'!$G$27</definedName>
    <definedName name="FTE" localSheetId="50">'4051'!$G$27</definedName>
    <definedName name="FTE" localSheetId="51">'4061'!$G$27</definedName>
    <definedName name="FTE" localSheetId="52">'4070'!$G$27</definedName>
    <definedName name="FTE" localSheetId="53">'4072'!$G$27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'3941'!$I$27</definedName>
    <definedName name="Grade_Level" localSheetId="36">'3961'!$I$27</definedName>
    <definedName name="Grade_Level" localSheetId="37">'3971'!$I$27</definedName>
    <definedName name="Grade_Level" localSheetId="38">'4000'!$I$27</definedName>
    <definedName name="Grade_Level" localSheetId="39">'4001'!$I$27</definedName>
    <definedName name="Grade_Level" localSheetId="40">'4002'!$I$27</definedName>
    <definedName name="Grade_Level" localSheetId="41">'4010'!$I$27</definedName>
    <definedName name="Grade_Level" localSheetId="42">'4012'!$I$27</definedName>
    <definedName name="Grade_Level" localSheetId="43">'4013'!$I$27</definedName>
    <definedName name="Grade_Level" localSheetId="44">'4020'!$I$27</definedName>
    <definedName name="Grade_Level" localSheetId="45">'4021'!$I$27</definedName>
    <definedName name="Grade_Level" localSheetId="46">'4037'!$I$27</definedName>
    <definedName name="Grade_Level" localSheetId="47">#REF!</definedName>
    <definedName name="Grade_Level" localSheetId="48">'4041'!$I$27</definedName>
    <definedName name="Grade_Level" localSheetId="49">'4050'!$I$27</definedName>
    <definedName name="Grade_Level" localSheetId="50">'4051'!$I$27</definedName>
    <definedName name="Grade_Level" localSheetId="51">'4061'!$I$27</definedName>
    <definedName name="Grade_Level" localSheetId="52">'4070'!$I$27</definedName>
    <definedName name="Grade_Level" localSheetId="53">'4072'!$I$27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'3941'!$K$27</definedName>
    <definedName name="Guarantee_Per_Student" localSheetId="36">'3961'!$K$27</definedName>
    <definedName name="Guarantee_Per_Student" localSheetId="37">'3971'!$K$27</definedName>
    <definedName name="Guarantee_Per_Student" localSheetId="38">'4000'!$K$27</definedName>
    <definedName name="Guarantee_Per_Student" localSheetId="39">'4001'!$K$27</definedName>
    <definedName name="Guarantee_Per_Student" localSheetId="40">'4002'!$K$27</definedName>
    <definedName name="Guarantee_Per_Student" localSheetId="41">'4010'!$K$27</definedName>
    <definedName name="Guarantee_Per_Student" localSheetId="42">'4012'!$K$27</definedName>
    <definedName name="Guarantee_Per_Student" localSheetId="43">'4013'!$K$27</definedName>
    <definedName name="Guarantee_Per_Student" localSheetId="44">'4020'!$K$27</definedName>
    <definedName name="Guarantee_Per_Student" localSheetId="45">'4021'!$K$27</definedName>
    <definedName name="Guarantee_Per_Student" localSheetId="46">'4037'!$K$27</definedName>
    <definedName name="Guarantee_Per_Student" localSheetId="47">#REF!</definedName>
    <definedName name="Guarantee_Per_Student" localSheetId="48">'4041'!$K$27</definedName>
    <definedName name="Guarantee_Per_Student" localSheetId="49">'4050'!$K$27</definedName>
    <definedName name="Guarantee_Per_Student" localSheetId="50">'4051'!$K$27</definedName>
    <definedName name="Guarantee_Per_Student" localSheetId="51">'4061'!$K$27</definedName>
    <definedName name="Guarantee_Per_Student" localSheetId="52">'4070'!$K$27</definedName>
    <definedName name="Guarantee_Per_Student" localSheetId="53">'4072'!$K$27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9">#REF!</definedName>
    <definedName name="IDN" localSheetId="45">#REF!</definedName>
    <definedName name="IDN" localSheetId="47">#REF!</definedName>
    <definedName name="IDN" localSheetId="49">#REF!</definedName>
    <definedName name="IDN" localSheetId="50">#REF!</definedName>
    <definedName name="IDN" localSheetId="51">#REF!</definedName>
    <definedName name="IDN" localSheetId="52">#REF!</definedName>
    <definedName name="IDN" localSheetId="53">#REF!</definedName>
    <definedName name="IDN" localSheetId="1">#REF!</definedName>
    <definedName name="IDN" localSheetId="0">#REF!</definedName>
    <definedName name="IDN">#REF!</definedName>
    <definedName name="IFN" localSheetId="39">#REF!</definedName>
    <definedName name="IFN" localSheetId="45">#REF!</definedName>
    <definedName name="IFN" localSheetId="47">#REF!</definedName>
    <definedName name="IFN" localSheetId="49">#REF!</definedName>
    <definedName name="IFN" localSheetId="50">#REF!</definedName>
    <definedName name="IFN" localSheetId="51">#REF!</definedName>
    <definedName name="IFN" localSheetId="52">#REF!</definedName>
    <definedName name="IFN" localSheetId="53">#REF!</definedName>
    <definedName name="IFN" localSheetId="1">#REF!</definedName>
    <definedName name="IFN" localSheetId="0">#REF!</definedName>
    <definedName name="IFN">#REF!</definedName>
    <definedName name="LYN" localSheetId="39">#REF!</definedName>
    <definedName name="LYN" localSheetId="45">#REF!</definedName>
    <definedName name="LYN" localSheetId="47">#REF!</definedName>
    <definedName name="LYN" localSheetId="49">#REF!</definedName>
    <definedName name="LYN" localSheetId="50">#REF!</definedName>
    <definedName name="LYN" localSheetId="51">#REF!</definedName>
    <definedName name="LYN" localSheetId="52">#REF!</definedName>
    <definedName name="LYN" localSheetId="53">#REF!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'3941'!$J$27</definedName>
    <definedName name="Matrix_Level" localSheetId="36">'3961'!$J$27</definedName>
    <definedName name="Matrix_Level" localSheetId="37">'3971'!$J$27</definedName>
    <definedName name="Matrix_Level" localSheetId="38">'4000'!$J$27</definedName>
    <definedName name="Matrix_Level" localSheetId="39">'4001'!$J$27</definedName>
    <definedName name="Matrix_Level" localSheetId="40">'4002'!$J$27</definedName>
    <definedName name="Matrix_Level" localSheetId="41">'4010'!$J$27</definedName>
    <definedName name="Matrix_Level" localSheetId="42">'4012'!$J$27</definedName>
    <definedName name="Matrix_Level" localSheetId="43">'4013'!$J$27</definedName>
    <definedName name="Matrix_Level" localSheetId="44">'4020'!$J$27</definedName>
    <definedName name="Matrix_Level" localSheetId="45">'4021'!$J$27</definedName>
    <definedName name="Matrix_Level" localSheetId="46">'4037'!$J$27</definedName>
    <definedName name="Matrix_Level" localSheetId="47">#REF!</definedName>
    <definedName name="Matrix_Level" localSheetId="48">'4041'!$J$27</definedName>
    <definedName name="Matrix_Level" localSheetId="49">'4050'!$J$27</definedName>
    <definedName name="Matrix_Level" localSheetId="50">'4051'!$J$27</definedName>
    <definedName name="Matrix_Level" localSheetId="51">'4061'!$J$27</definedName>
    <definedName name="Matrix_Level" localSheetId="52">'4070'!$J$27</definedName>
    <definedName name="Matrix_Level" localSheetId="53">'4072'!$J$27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'3941'!$G$8</definedName>
    <definedName name="Number_of_FTE" localSheetId="36">'3961'!$G$8</definedName>
    <definedName name="Number_of_FTE" localSheetId="37">'3971'!$G$8</definedName>
    <definedName name="Number_of_FTE" localSheetId="38">'4000'!$G$8</definedName>
    <definedName name="Number_of_FTE" localSheetId="39">'4001'!$G$8</definedName>
    <definedName name="Number_of_FTE" localSheetId="40">'4002'!$G$8</definedName>
    <definedName name="Number_of_FTE" localSheetId="41">'4010'!$G$8</definedName>
    <definedName name="Number_of_FTE" localSheetId="42">'4012'!$G$8</definedName>
    <definedName name="Number_of_FTE" localSheetId="43">'4013'!$G$8</definedName>
    <definedName name="Number_of_FTE" localSheetId="44">'4020'!$G$8</definedName>
    <definedName name="Number_of_FTE" localSheetId="45">'4021'!$G$8</definedName>
    <definedName name="Number_of_FTE" localSheetId="46">'4037'!$G$8</definedName>
    <definedName name="Number_of_FTE" localSheetId="47">#REF!</definedName>
    <definedName name="Number_of_FTE" localSheetId="48">'4041'!$G$8</definedName>
    <definedName name="Number_of_FTE" localSheetId="49">'4050'!$G$8</definedName>
    <definedName name="Number_of_FTE" localSheetId="50">'4051'!$G$8</definedName>
    <definedName name="Number_of_FTE" localSheetId="51">'4061'!$G$8</definedName>
    <definedName name="Number_of_FTE" localSheetId="52">'4070'!$G$8</definedName>
    <definedName name="Number_of_FTE" localSheetId="53">'4072'!$G$8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"V2014-06-30"</definedName>
    <definedName name="NvsASD" localSheetId="36">"V2014-06-30"</definedName>
    <definedName name="NvsASD" localSheetId="37">"V2014-06-30"</definedName>
    <definedName name="NvsASD" localSheetId="38">"V2014-06-30"</definedName>
    <definedName name="NvsASD" localSheetId="39">"V2014-05-28"</definedName>
    <definedName name="NvsASD" localSheetId="40">"V2014-06-30"</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"V2014-05-28"</definedName>
    <definedName name="NvsASD" localSheetId="46">"V2014-06-30"</definedName>
    <definedName name="NvsASD" localSheetId="48">"V2014-06-30"</definedName>
    <definedName name="NvsASD" localSheetId="49">"V2014-05-28"</definedName>
    <definedName name="NvsASD" localSheetId="50">"V2014-05-28"</definedName>
    <definedName name="NvsASD" localSheetId="51">"V2014-05-28"</definedName>
    <definedName name="NvsASD" localSheetId="52">"V2014-05-28"</definedName>
    <definedName name="NvsASD" localSheetId="53">"V2014-05-28"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0.0000115740695036948</definedName>
    <definedName name="NvsElapsedTime" localSheetId="36">0.0000115740767796524</definedName>
    <definedName name="NvsElapsedTime" localSheetId="37">0.0000115740695036948</definedName>
    <definedName name="NvsElapsedTime" localSheetId="38">0.0000115740767796524</definedName>
    <definedName name="NvsElapsedTime" localSheetId="39">0.0000231481462833472</definedName>
    <definedName name="NvsElapsedTime" localSheetId="40">0.0000115740695036948</definedName>
    <definedName name="NvsElapsedTime" localSheetId="41">0.0000115740767796524</definedName>
    <definedName name="NvsElapsedTime" localSheetId="42">0.0000231481462833472</definedName>
    <definedName name="NvsElapsedTime" localSheetId="43">0.0000115740767796524</definedName>
    <definedName name="NvsElapsedTime" localSheetId="44">0.0000115740767796524</definedName>
    <definedName name="NvsElapsedTime" localSheetId="45">0.0000231481462833472</definedName>
    <definedName name="NvsElapsedTime" localSheetId="46">0.0000115740767796524</definedName>
    <definedName name="NvsElapsedTime" localSheetId="48">0.0000231481462833472</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41808.6028935185</definedName>
    <definedName name="NvsEndTime" localSheetId="36">41808.6029282407</definedName>
    <definedName name="NvsEndTime" localSheetId="37">41808.6029513889</definedName>
    <definedName name="NvsEndTime" localSheetId="38">41808.602974537</definedName>
    <definedName name="NvsEndTime" localSheetId="39">41787.4127430556</definedName>
    <definedName name="NvsEndTime" localSheetId="40">41808.6029861111</definedName>
    <definedName name="NvsEndTime" localSheetId="41">41808.6030092593</definedName>
    <definedName name="NvsEndTime" localSheetId="42">41808.6030555556</definedName>
    <definedName name="NvsEndTime" localSheetId="43">41808.6030671296</definedName>
    <definedName name="NvsEndTime" localSheetId="44">41808.6030902778</definedName>
    <definedName name="NvsEndTime" localSheetId="45">41787.4127430556</definedName>
    <definedName name="NvsEndTime" localSheetId="46">41808.6031018519</definedName>
    <definedName name="NvsEndTime" localSheetId="48">41808.6031481481</definedName>
    <definedName name="NvsEndTime" localSheetId="49">41787.4127430556</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8">"CopySheet"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"%,FDEPTID,V3941"</definedName>
    <definedName name="NvsInstSpec" localSheetId="36">"%,FDEPTID,V3961"</definedName>
    <definedName name="NvsInstSpec" localSheetId="37">"%,FDEPTID,V3971"</definedName>
    <definedName name="NvsInstSpec" localSheetId="38">"%,FDEPTID,V4000"</definedName>
    <definedName name="NvsInstSpec" localSheetId="39">"%,FDEPTID,V0054"</definedName>
    <definedName name="NvsInstSpec" localSheetId="40">"%,FDEPTID,V4002"</definedName>
    <definedName name="NvsInstSpec" localSheetId="41">"%,FDEPTID,V4010"</definedName>
    <definedName name="NvsInstSpec" localSheetId="42">"%,FDEPTID,V4012"</definedName>
    <definedName name="NvsInstSpec" localSheetId="43">"%,FDEPTID,V4013"</definedName>
    <definedName name="NvsInstSpec" localSheetId="44">"%,FDEPTID,V4020"</definedName>
    <definedName name="NvsInstSpec" localSheetId="45">"%,FDEPTID,V0054"</definedName>
    <definedName name="NvsInstSpec" localSheetId="46">"%,FDEPTID,V4037"</definedName>
    <definedName name="NvsInstSpec" localSheetId="48">"%,FDEPTID,V4041"</definedName>
    <definedName name="NvsInstSpec" localSheetId="49">"%,FDEPTID,V0054"</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8">"V2007-07-01"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8">"M"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"V2014-06-30"</definedName>
    <definedName name="NvsTreeASD" localSheetId="36">"V2014-06-30"</definedName>
    <definedName name="NvsTreeASD" localSheetId="37">"V2014-06-30"</definedName>
    <definedName name="NvsTreeASD" localSheetId="38">"V2014-06-30"</definedName>
    <definedName name="NvsTreeASD" localSheetId="39">"V2014-05-28"</definedName>
    <definedName name="NvsTreeASD" localSheetId="40">"V2014-06-30"</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"V2014-05-28"</definedName>
    <definedName name="NvsTreeASD" localSheetId="46">"V2014-06-30"</definedName>
    <definedName name="NvsTreeASD" localSheetId="48">"V2014-06-30"</definedName>
    <definedName name="NvsTreeASD" localSheetId="49">"V2014-05-28"</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'3941'!$I$39</definedName>
    <definedName name="Per_Student" localSheetId="36">'3961'!$I$39</definedName>
    <definedName name="Per_Student" localSheetId="37">'3971'!$I$39</definedName>
    <definedName name="Per_Student" localSheetId="38">'4000'!$I$39</definedName>
    <definedName name="Per_Student" localSheetId="39">'4001'!$I$39</definedName>
    <definedName name="Per_Student" localSheetId="40">'4002'!$I$39</definedName>
    <definedName name="Per_Student" localSheetId="41">'4010'!$I$39</definedName>
    <definedName name="Per_Student" localSheetId="42">'4012'!$I$39</definedName>
    <definedName name="Per_Student" localSheetId="43">'4013'!$I$39</definedName>
    <definedName name="Per_Student" localSheetId="44">'4020'!$I$39</definedName>
    <definedName name="Per_Student" localSheetId="45">'4021'!$I$39</definedName>
    <definedName name="Per_Student" localSheetId="46">'4037'!$I$39</definedName>
    <definedName name="Per_Student" localSheetId="47">#REF!</definedName>
    <definedName name="Per_Student" localSheetId="48">'4041'!$I$39</definedName>
    <definedName name="Per_Student" localSheetId="49">'4050'!$I$39</definedName>
    <definedName name="Per_Student" localSheetId="50">'4051'!$I$39</definedName>
    <definedName name="Per_Student" localSheetId="51">'4061'!$I$39</definedName>
    <definedName name="Per_Student" localSheetId="52">'4070'!$I$39</definedName>
    <definedName name="Per_Student" localSheetId="53">'4072'!$I$39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'3941'!$B$47</definedName>
    <definedName name="PK___3" localSheetId="36">'3961'!$B$47</definedName>
    <definedName name="PK___3" localSheetId="37">'3971'!$B$47</definedName>
    <definedName name="PK___3" localSheetId="38">'4000'!$B$47</definedName>
    <definedName name="PK___3" localSheetId="39">'4001'!$B$47</definedName>
    <definedName name="PK___3" localSheetId="40">'4002'!$B$47</definedName>
    <definedName name="PK___3" localSheetId="41">'4010'!$B$47</definedName>
    <definedName name="PK___3" localSheetId="42">'4012'!$B$47</definedName>
    <definedName name="PK___3" localSheetId="43">'4013'!$B$47</definedName>
    <definedName name="PK___3" localSheetId="44">'4020'!$B$47</definedName>
    <definedName name="PK___3" localSheetId="45">'4021'!$B$47</definedName>
    <definedName name="PK___3" localSheetId="46">'4037'!$B$47</definedName>
    <definedName name="PK___3" localSheetId="47">#REF!</definedName>
    <definedName name="PK___3" localSheetId="48">'4041'!$B$47</definedName>
    <definedName name="PK___3" localSheetId="49">'4050'!$B$47</definedName>
    <definedName name="PK___3" localSheetId="50">'4051'!$B$47</definedName>
    <definedName name="PK___3" localSheetId="51">'4061'!$B$47</definedName>
    <definedName name="PK___3" localSheetId="52">'4070'!$B$47</definedName>
    <definedName name="PK___3" localSheetId="53">'4072'!$B$47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'3941'!$B$3:$L$95</definedName>
    <definedName name="_xlnm.Print_Area" localSheetId="36">'3961'!$B$3:$L$95</definedName>
    <definedName name="_xlnm.Print_Area" localSheetId="37">'3971'!$B$3:$L$95</definedName>
    <definedName name="_xlnm.Print_Area" localSheetId="38">'4000'!$B$3:$L$95</definedName>
    <definedName name="_xlnm.Print_Area" localSheetId="39">'4001'!$B$3:$L$95</definedName>
    <definedName name="_xlnm.Print_Area" localSheetId="40">'4002'!$B$3:$L$95</definedName>
    <definedName name="_xlnm.Print_Area" localSheetId="41">'4010'!$B$3:$L$95</definedName>
    <definedName name="_xlnm.Print_Area" localSheetId="42">'4012'!$B$3:$L$95</definedName>
    <definedName name="_xlnm.Print_Area" localSheetId="43">'4013'!$B$3:$L$95</definedName>
    <definedName name="_xlnm.Print_Area" localSheetId="44">'4020'!$B$3:$L$95</definedName>
    <definedName name="_xlnm.Print_Area" localSheetId="45">'4021'!$B$3:$L$95</definedName>
    <definedName name="_xlnm.Print_Area" localSheetId="46">'4037'!$B$3:$L$95</definedName>
    <definedName name="_xlnm.Print_Area" localSheetId="47">'4040'!$A$3:$D$19</definedName>
    <definedName name="_xlnm.Print_Area" localSheetId="48">'4041'!$B$3:$L$95</definedName>
    <definedName name="_xlnm.Print_Area" localSheetId="49">'4050'!$B$3:$L$95</definedName>
    <definedName name="_xlnm.Print_Area" localSheetId="50">'4051'!$B$3:$L$95</definedName>
    <definedName name="_xlnm.Print_Area" localSheetId="51">'4061'!$B$3:$L$95</definedName>
    <definedName name="_xlnm.Print_Area" localSheetId="52">'4070'!$B$3:$L$95</definedName>
    <definedName name="_xlnm.Print_Area" localSheetId="53">'4072'!$B$3:$L$95</definedName>
    <definedName name="_xlnm.Print_Area" localSheetId="0">'Net Payment'!$B$4:$D$86</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'3941'!$B$8</definedName>
    <definedName name="Program" localSheetId="36">'3961'!$B$8</definedName>
    <definedName name="Program" localSheetId="37">'3971'!$B$8</definedName>
    <definedName name="Program" localSheetId="38">'4000'!$B$8</definedName>
    <definedName name="Program" localSheetId="39">'4001'!$B$8</definedName>
    <definedName name="Program" localSheetId="40">'4002'!$B$8</definedName>
    <definedName name="Program" localSheetId="41">'4010'!$B$8</definedName>
    <definedName name="Program" localSheetId="42">'4012'!$B$8</definedName>
    <definedName name="Program" localSheetId="43">'4013'!$B$8</definedName>
    <definedName name="Program" localSheetId="44">'4020'!$B$8</definedName>
    <definedName name="Program" localSheetId="45">'4021'!$B$8</definedName>
    <definedName name="Program" localSheetId="46">'4037'!$B$8</definedName>
    <definedName name="Program" localSheetId="47">#REF!</definedName>
    <definedName name="Program" localSheetId="48">'4041'!$B$8</definedName>
    <definedName name="Program" localSheetId="49">'4050'!$B$8</definedName>
    <definedName name="Program" localSheetId="50">'4051'!$B$8</definedName>
    <definedName name="Program" localSheetId="51">'4061'!$B$8</definedName>
    <definedName name="Program" localSheetId="52">'4070'!$B$8</definedName>
    <definedName name="Program" localSheetId="53">'4072'!$B$8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'3941'!$I$8</definedName>
    <definedName name="Program______________________________Cost_Factor" localSheetId="36">'3961'!$I$8</definedName>
    <definedName name="Program______________________________Cost_Factor" localSheetId="37">'3971'!$I$8</definedName>
    <definedName name="Program______________________________Cost_Factor" localSheetId="38">'4000'!$I$8</definedName>
    <definedName name="Program______________________________Cost_Factor" localSheetId="39">'4001'!$I$8</definedName>
    <definedName name="Program______________________________Cost_Factor" localSheetId="40">'4002'!$I$8</definedName>
    <definedName name="Program______________________________Cost_Factor" localSheetId="41">'4010'!$I$8</definedName>
    <definedName name="Program______________________________Cost_Factor" localSheetId="42">'4012'!$I$8</definedName>
    <definedName name="Program______________________________Cost_Factor" localSheetId="43">'4013'!$I$8</definedName>
    <definedName name="Program______________________________Cost_Factor" localSheetId="44">'4020'!$I$8</definedName>
    <definedName name="Program______________________________Cost_Factor" localSheetId="45">'4021'!$I$8</definedName>
    <definedName name="Program______________________________Cost_Factor" localSheetId="46">'4037'!$I$8</definedName>
    <definedName name="Program______________________________Cost_Factor" localSheetId="47">#REF!</definedName>
    <definedName name="Program______________________________Cost_Factor" localSheetId="48">'4041'!$I$8</definedName>
    <definedName name="Program______________________________Cost_Factor" localSheetId="49">'4050'!$I$8</definedName>
    <definedName name="Program______________________________Cost_Factor" localSheetId="50">'4051'!$I$8</definedName>
    <definedName name="Program______________________________Cost_Factor" localSheetId="51">'4061'!$I$8</definedName>
    <definedName name="Program______________________________Cost_Factor" localSheetId="52">'4070'!$I$8</definedName>
    <definedName name="Program______________________________Cost_Factor" localSheetId="53">'4072'!$I$8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'3941'!$B$3</definedName>
    <definedName name="Revenue_Estimate_Worksheet_for___________Charter_School" localSheetId="36">'3961'!$B$3</definedName>
    <definedName name="Revenue_Estimate_Worksheet_for___________Charter_School" localSheetId="37">'3971'!$B$3</definedName>
    <definedName name="Revenue_Estimate_Worksheet_for___________Charter_School" localSheetId="38">'4000'!$B$3</definedName>
    <definedName name="Revenue_Estimate_Worksheet_for___________Charter_School" localSheetId="39">'4001'!$B$3</definedName>
    <definedName name="Revenue_Estimate_Worksheet_for___________Charter_School" localSheetId="40">'4002'!$B$3</definedName>
    <definedName name="Revenue_Estimate_Worksheet_for___________Charter_School" localSheetId="41">'4010'!$B$3</definedName>
    <definedName name="Revenue_Estimate_Worksheet_for___________Charter_School" localSheetId="42">'4012'!$B$3</definedName>
    <definedName name="Revenue_Estimate_Worksheet_for___________Charter_School" localSheetId="43">'4013'!$B$3</definedName>
    <definedName name="Revenue_Estimate_Worksheet_for___________Charter_School" localSheetId="44">'4020'!$B$3</definedName>
    <definedName name="Revenue_Estimate_Worksheet_for___________Charter_School" localSheetId="45">'4021'!$B$3</definedName>
    <definedName name="Revenue_Estimate_Worksheet_for___________Charter_School" localSheetId="46">'4037'!$B$3</definedName>
    <definedName name="Revenue_Estimate_Worksheet_for___________Charter_School" localSheetId="47">#REF!</definedName>
    <definedName name="Revenue_Estimate_Worksheet_for___________Charter_School" localSheetId="48">'4041'!$B$3</definedName>
    <definedName name="Revenue_Estimate_Worksheet_for___________Charter_School" localSheetId="49">'4050'!$B$3</definedName>
    <definedName name="Revenue_Estimate_Worksheet_for___________Charter_School" localSheetId="50">'4051'!$B$3</definedName>
    <definedName name="Revenue_Estimate_Worksheet_for___________Charter_School" localSheetId="51">'4061'!$B$3</definedName>
    <definedName name="Revenue_Estimate_Worksheet_for___________Charter_School" localSheetId="52">'4070'!$B$3</definedName>
    <definedName name="Revenue_Estimate_Worksheet_for___________Charter_School" localSheetId="53">'4072'!$B$3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39">#REF!</definedName>
    <definedName name="RID" localSheetId="45">#REF!</definedName>
    <definedName name="RID" localSheetId="47">#REF!</definedName>
    <definedName name="RID" localSheetId="49">#REF!</definedName>
    <definedName name="RID" localSheetId="50">#REF!</definedName>
    <definedName name="RID" localSheetId="51">#REF!</definedName>
    <definedName name="RID" localSheetId="52">#REF!</definedName>
    <definedName name="RID" localSheetId="53">#REF!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'3941'!$B$5</definedName>
    <definedName name="School_District" localSheetId="36">'3961'!$B$5</definedName>
    <definedName name="School_District" localSheetId="37">'3971'!$B$5</definedName>
    <definedName name="School_District" localSheetId="38">'4000'!$B$5</definedName>
    <definedName name="School_District" localSheetId="39">'4001'!$B$5</definedName>
    <definedName name="School_District" localSheetId="40">'4002'!$B$5</definedName>
    <definedName name="School_District" localSheetId="41">'4010'!$B$5</definedName>
    <definedName name="School_District" localSheetId="42">'4012'!$B$5</definedName>
    <definedName name="School_District" localSheetId="43">'4013'!$B$5</definedName>
    <definedName name="School_District" localSheetId="44">'4020'!$B$5</definedName>
    <definedName name="School_District" localSheetId="45">'4021'!$B$5</definedName>
    <definedName name="School_District" localSheetId="46">'4037'!$B$5</definedName>
    <definedName name="School_District" localSheetId="47">#REF!</definedName>
    <definedName name="School_District" localSheetId="48">'4041'!$B$5</definedName>
    <definedName name="School_District" localSheetId="49">'4050'!$B$5</definedName>
    <definedName name="School_District" localSheetId="50">'4051'!$B$5</definedName>
    <definedName name="School_District" localSheetId="51">'4061'!$B$5</definedName>
    <definedName name="School_District" localSheetId="52">'4070'!$B$5</definedName>
    <definedName name="School_District" localSheetId="53">'4072'!$B$5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51">'[2] Detail 2014-15 Conf FEFP'!#REF!</definedName>
    <definedName name="Science_Lab_Materials_Allocation" localSheetId="52">'[2] Detail 2014-15 Conf FEFP'!#REF!</definedName>
    <definedName name="Science_Lab_Materials_Allocation">'[2] Detail 2014-15 Conf FEFP'!#REF!</definedName>
    <definedName name="SFV_QFUND_CODE" localSheetId="39">#REF!</definedName>
    <definedName name="SFV_QFUND_CODE" localSheetId="45">#REF!</definedName>
    <definedName name="SFV_QFUND_CODE" localSheetId="47">#REF!</definedName>
    <definedName name="SFV_QFUND_CODE" localSheetId="49">#REF!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'3941'!$B$50</definedName>
    <definedName name="Total" localSheetId="36">'3961'!$B$50</definedName>
    <definedName name="Total" localSheetId="37">'3971'!$B$50</definedName>
    <definedName name="Total" localSheetId="38">'4000'!$B$50</definedName>
    <definedName name="Total" localSheetId="39">'4001'!$B$50</definedName>
    <definedName name="Total" localSheetId="40">'4002'!$B$50</definedName>
    <definedName name="Total" localSheetId="41">'4010'!$B$50</definedName>
    <definedName name="Total" localSheetId="42">'4012'!$B$50</definedName>
    <definedName name="Total" localSheetId="43">'4013'!$B$50</definedName>
    <definedName name="Total" localSheetId="44">'4020'!$B$50</definedName>
    <definedName name="Total" localSheetId="45">'4021'!$B$50</definedName>
    <definedName name="Total" localSheetId="46">'4037'!$B$50</definedName>
    <definedName name="Total" localSheetId="47">#REF!</definedName>
    <definedName name="Total" localSheetId="48">'4041'!$B$50</definedName>
    <definedName name="Total" localSheetId="49">'4050'!$B$50</definedName>
    <definedName name="Total" localSheetId="50">'4051'!$B$50</definedName>
    <definedName name="Total" localSheetId="51">'4061'!$B$50</definedName>
    <definedName name="Total" localSheetId="52">'4070'!$B$50</definedName>
    <definedName name="Total" localSheetId="53">'4072'!$B$50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'3941'!$G$50</definedName>
    <definedName name="Total_Class_Size_Reduction_Funds" localSheetId="36">'3961'!$G$50</definedName>
    <definedName name="Total_Class_Size_Reduction_Funds" localSheetId="37">'3971'!$G$50</definedName>
    <definedName name="Total_Class_Size_Reduction_Funds" localSheetId="38">'4000'!$G$50</definedName>
    <definedName name="Total_Class_Size_Reduction_Funds" localSheetId="39">'4001'!$G$50</definedName>
    <definedName name="Total_Class_Size_Reduction_Funds" localSheetId="40">'4002'!$G$50</definedName>
    <definedName name="Total_Class_Size_Reduction_Funds" localSheetId="41">'4010'!$G$50</definedName>
    <definedName name="Total_Class_Size_Reduction_Funds" localSheetId="42">'4012'!$G$50</definedName>
    <definedName name="Total_Class_Size_Reduction_Funds" localSheetId="43">'4013'!$G$50</definedName>
    <definedName name="Total_Class_Size_Reduction_Funds" localSheetId="44">'4020'!$G$50</definedName>
    <definedName name="Total_Class_Size_Reduction_Funds" localSheetId="45">'4021'!$G$50</definedName>
    <definedName name="Total_Class_Size_Reduction_Funds" localSheetId="46">'4037'!$G$50</definedName>
    <definedName name="Total_Class_Size_Reduction_Funds" localSheetId="47">#REF!</definedName>
    <definedName name="Total_Class_Size_Reduction_Funds" localSheetId="48">'4041'!$G$50</definedName>
    <definedName name="Total_Class_Size_Reduction_Funds" localSheetId="49">'4050'!$G$50</definedName>
    <definedName name="Total_Class_Size_Reduction_Funds" localSheetId="50">'4051'!$G$50</definedName>
    <definedName name="Total_Class_Size_Reduction_Funds" localSheetId="51">'4061'!$G$50</definedName>
    <definedName name="Total_Class_Size_Reduction_Funds" localSheetId="52">'4070'!$G$50</definedName>
    <definedName name="Total_Class_Size_Reduction_Funds" localSheetId="53">'4072'!$G$50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'3941'!$I$37</definedName>
    <definedName name="Total_from_ESE_Guarantee" localSheetId="36">'3961'!$I$37</definedName>
    <definedName name="Total_from_ESE_Guarantee" localSheetId="37">'3971'!$I$37</definedName>
    <definedName name="Total_from_ESE_Guarantee" localSheetId="38">'4000'!$I$37</definedName>
    <definedName name="Total_from_ESE_Guarantee" localSheetId="39">'4001'!$I$37</definedName>
    <definedName name="Total_from_ESE_Guarantee" localSheetId="40">'4002'!$I$37</definedName>
    <definedName name="Total_from_ESE_Guarantee" localSheetId="41">'4010'!$I$37</definedName>
    <definedName name="Total_from_ESE_Guarantee" localSheetId="42">'4012'!$I$37</definedName>
    <definedName name="Total_from_ESE_Guarantee" localSheetId="43">'4013'!$I$37</definedName>
    <definedName name="Total_from_ESE_Guarantee" localSheetId="44">'4020'!$I$37</definedName>
    <definedName name="Total_from_ESE_Guarantee" localSheetId="45">'4021'!$I$37</definedName>
    <definedName name="Total_from_ESE_Guarantee" localSheetId="46">'4037'!$I$37</definedName>
    <definedName name="Total_from_ESE_Guarantee" localSheetId="47">#REF!</definedName>
    <definedName name="Total_from_ESE_Guarantee" localSheetId="48">'4041'!$I$37</definedName>
    <definedName name="Total_from_ESE_Guarantee" localSheetId="49">'4050'!$I$37</definedName>
    <definedName name="Total_from_ESE_Guarantee" localSheetId="50">'4051'!$I$37</definedName>
    <definedName name="Total_from_ESE_Guarantee" localSheetId="51">'4061'!$I$37</definedName>
    <definedName name="Total_from_ESE_Guarantee" localSheetId="52">'4070'!$I$37</definedName>
    <definedName name="Total_from_ESE_Guarantee" localSheetId="53">'4072'!$I$37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'3941'!$B$37</definedName>
    <definedName name="Total_FTE_with_ESE_Services" localSheetId="36">'3961'!$B$37</definedName>
    <definedName name="Total_FTE_with_ESE_Services" localSheetId="37">'3971'!$B$37</definedName>
    <definedName name="Total_FTE_with_ESE_Services" localSheetId="38">'4000'!$B$37</definedName>
    <definedName name="Total_FTE_with_ESE_Services" localSheetId="39">'4001'!$B$37</definedName>
    <definedName name="Total_FTE_with_ESE_Services" localSheetId="40">'4002'!$B$37</definedName>
    <definedName name="Total_FTE_with_ESE_Services" localSheetId="41">'4010'!$B$37</definedName>
    <definedName name="Total_FTE_with_ESE_Services" localSheetId="42">'4012'!$B$37</definedName>
    <definedName name="Total_FTE_with_ESE_Services" localSheetId="43">'4013'!$B$37</definedName>
    <definedName name="Total_FTE_with_ESE_Services" localSheetId="44">'4020'!$B$37</definedName>
    <definedName name="Total_FTE_with_ESE_Services" localSheetId="45">'4021'!$B$37</definedName>
    <definedName name="Total_FTE_with_ESE_Services" localSheetId="46">'4037'!$B$37</definedName>
    <definedName name="Total_FTE_with_ESE_Services" localSheetId="47">#REF!</definedName>
    <definedName name="Total_FTE_with_ESE_Services" localSheetId="48">'4041'!$B$37</definedName>
    <definedName name="Total_FTE_with_ESE_Services" localSheetId="49">'4050'!$B$37</definedName>
    <definedName name="Total_FTE_with_ESE_Services" localSheetId="50">'4051'!$B$37</definedName>
    <definedName name="Total_FTE_with_ESE_Services" localSheetId="51">'4061'!$B$37</definedName>
    <definedName name="Total_FTE_with_ESE_Services" localSheetId="52">'4070'!$B$37</definedName>
    <definedName name="Total_FTE_with_ESE_Services" localSheetId="53">'4072'!$B$37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'3941'!$B$26</definedName>
    <definedName name="Totals" localSheetId="36">'3961'!$B$26</definedName>
    <definedName name="Totals" localSheetId="37">'3971'!$B$26</definedName>
    <definedName name="Totals" localSheetId="38">'4000'!$B$26</definedName>
    <definedName name="Totals" localSheetId="39">'4001'!$B$26</definedName>
    <definedName name="Totals" localSheetId="40">'4002'!$B$26</definedName>
    <definedName name="Totals" localSheetId="41">'4010'!$B$26</definedName>
    <definedName name="Totals" localSheetId="42">'4012'!$B$26</definedName>
    <definedName name="Totals" localSheetId="43">'4013'!$B$26</definedName>
    <definedName name="Totals" localSheetId="44">'4020'!$B$26</definedName>
    <definedName name="Totals" localSheetId="45">'4021'!$B$26</definedName>
    <definedName name="Totals" localSheetId="46">'4037'!$B$26</definedName>
    <definedName name="Totals" localSheetId="47">#REF!</definedName>
    <definedName name="Totals" localSheetId="48">'4041'!$B$26</definedName>
    <definedName name="Totals" localSheetId="49">'4050'!$B$26</definedName>
    <definedName name="Totals" localSheetId="50">'4051'!$B$26</definedName>
    <definedName name="Totals" localSheetId="51">'4061'!$B$26</definedName>
    <definedName name="Totals" localSheetId="52">'4070'!$B$26</definedName>
    <definedName name="Totals" localSheetId="53">'4072'!$B$26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'3941'!$K$8</definedName>
    <definedName name="Weighted_FTE____________b__x__c" localSheetId="36">'3961'!$K$8</definedName>
    <definedName name="Weighted_FTE____________b__x__c" localSheetId="37">'3971'!$K$8</definedName>
    <definedName name="Weighted_FTE____________b__x__c" localSheetId="38">'4000'!$K$8</definedName>
    <definedName name="Weighted_FTE____________b__x__c" localSheetId="39">'4001'!$K$8</definedName>
    <definedName name="Weighted_FTE____________b__x__c" localSheetId="40">'4002'!$K$8</definedName>
    <definedName name="Weighted_FTE____________b__x__c" localSheetId="41">'4010'!$K$8</definedName>
    <definedName name="Weighted_FTE____________b__x__c" localSheetId="42">'4012'!$K$8</definedName>
    <definedName name="Weighted_FTE____________b__x__c" localSheetId="43">'4013'!$K$8</definedName>
    <definedName name="Weighted_FTE____________b__x__c" localSheetId="44">'4020'!$K$8</definedName>
    <definedName name="Weighted_FTE____________b__x__c" localSheetId="45">'4021'!$K$8</definedName>
    <definedName name="Weighted_FTE____________b__x__c" localSheetId="46">'4037'!$K$8</definedName>
    <definedName name="Weighted_FTE____________b__x__c" localSheetId="47">#REF!</definedName>
    <definedName name="Weighted_FTE____________b__x__c" localSheetId="48">'4041'!$K$8</definedName>
    <definedName name="Weighted_FTE____________b__x__c" localSheetId="49">'4050'!$K$8</definedName>
    <definedName name="Weighted_FTE____________b__x__c" localSheetId="50">'4051'!$K$8</definedName>
    <definedName name="Weighted_FTE____________b__x__c" localSheetId="51">'4061'!$K$8</definedName>
    <definedName name="Weighted_FTE____________b__x__c" localSheetId="52">'4070'!$K$8</definedName>
    <definedName name="Weighted_FTE____________b__x__c" localSheetId="53">'4072'!$K$8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'3941'!$C$46</definedName>
    <definedName name="Weighted_FTE__From_Section_1" localSheetId="36">'3961'!$C$46</definedName>
    <definedName name="Weighted_FTE__From_Section_1" localSheetId="37">'3971'!$C$46</definedName>
    <definedName name="Weighted_FTE__From_Section_1" localSheetId="38">'4000'!$C$46</definedName>
    <definedName name="Weighted_FTE__From_Section_1" localSheetId="39">'4001'!$C$46</definedName>
    <definedName name="Weighted_FTE__From_Section_1" localSheetId="40">'4002'!$C$46</definedName>
    <definedName name="Weighted_FTE__From_Section_1" localSheetId="41">'4010'!$C$46</definedName>
    <definedName name="Weighted_FTE__From_Section_1" localSheetId="42">'4012'!$C$46</definedName>
    <definedName name="Weighted_FTE__From_Section_1" localSheetId="43">'4013'!$C$46</definedName>
    <definedName name="Weighted_FTE__From_Section_1" localSheetId="44">'4020'!$C$46</definedName>
    <definedName name="Weighted_FTE__From_Section_1" localSheetId="45">'4021'!$C$46</definedName>
    <definedName name="Weighted_FTE__From_Section_1" localSheetId="46">'4037'!$C$46</definedName>
    <definedName name="Weighted_FTE__From_Section_1" localSheetId="47">#REF!</definedName>
    <definedName name="Weighted_FTE__From_Section_1" localSheetId="48">'4041'!$C$46</definedName>
    <definedName name="Weighted_FTE__From_Section_1" localSheetId="49">'4050'!$C$46</definedName>
    <definedName name="Weighted_FTE__From_Section_1" localSheetId="50">'4051'!$C$46</definedName>
    <definedName name="Weighted_FTE__From_Section_1" localSheetId="51">'4061'!$C$46</definedName>
    <definedName name="Weighted_FTE__From_Section_1" localSheetId="52">'4070'!$C$46</definedName>
    <definedName name="Weighted_FTE__From_Section_1" localSheetId="53">'4072'!$C$46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C88" i="99" l="1"/>
  <c r="B136" i="104" l="1"/>
  <c r="B135" i="104"/>
  <c r="L89" i="104"/>
  <c r="V79" i="104"/>
  <c r="V78" i="104"/>
  <c r="Y77" i="104"/>
  <c r="V77" i="104"/>
  <c r="Y76" i="104"/>
  <c r="V76" i="104"/>
  <c r="G76" i="104"/>
  <c r="I76" i="104" s="1"/>
  <c r="AB75" i="104"/>
  <c r="G75" i="104"/>
  <c r="I75" i="104" s="1"/>
  <c r="AB74" i="104"/>
  <c r="Y71" i="104"/>
  <c r="Y70" i="104"/>
  <c r="Y69" i="104"/>
  <c r="Y68" i="104"/>
  <c r="Y66" i="104"/>
  <c r="X65" i="104"/>
  <c r="G65" i="104"/>
  <c r="X64" i="104" s="1"/>
  <c r="Y58" i="104" s="1"/>
  <c r="X61" i="104"/>
  <c r="X60" i="104"/>
  <c r="J56" i="104"/>
  <c r="AA56" i="104" s="1"/>
  <c r="AA53" i="104"/>
  <c r="Z49" i="104"/>
  <c r="X49" i="104"/>
  <c r="G49" i="104"/>
  <c r="Z48" i="104"/>
  <c r="G48" i="104"/>
  <c r="Z47" i="104"/>
  <c r="G47" i="104"/>
  <c r="X40" i="104"/>
  <c r="K40" i="104"/>
  <c r="X39" i="104"/>
  <c r="AB40" i="104" s="1"/>
  <c r="X37" i="104"/>
  <c r="E37" i="104"/>
  <c r="D37" i="104"/>
  <c r="AC36" i="104"/>
  <c r="AB36" i="104"/>
  <c r="G36" i="104"/>
  <c r="L36" i="104" s="1"/>
  <c r="AC35" i="104"/>
  <c r="AB35" i="104"/>
  <c r="G35" i="104"/>
  <c r="L35" i="104" s="1"/>
  <c r="AC34" i="104"/>
  <c r="AB34" i="104"/>
  <c r="G34" i="104"/>
  <c r="L34" i="104" s="1"/>
  <c r="AC33" i="104"/>
  <c r="AB33" i="104"/>
  <c r="G33" i="104"/>
  <c r="L33" i="104" s="1"/>
  <c r="AC32" i="104"/>
  <c r="AB32" i="104"/>
  <c r="G32" i="104"/>
  <c r="L32" i="104" s="1"/>
  <c r="AC31" i="104"/>
  <c r="AB31" i="104"/>
  <c r="G31" i="104"/>
  <c r="L31" i="104" s="1"/>
  <c r="AC30" i="104"/>
  <c r="AB30" i="104"/>
  <c r="G30" i="104"/>
  <c r="L30" i="104" s="1"/>
  <c r="AC29" i="104"/>
  <c r="AB29" i="104"/>
  <c r="G29" i="104"/>
  <c r="L29" i="104" s="1"/>
  <c r="AC28" i="104"/>
  <c r="AC37" i="104" s="1"/>
  <c r="AB28" i="104"/>
  <c r="G28" i="104"/>
  <c r="G37" i="104" s="1"/>
  <c r="E26" i="104"/>
  <c r="D26" i="104"/>
  <c r="L25" i="104"/>
  <c r="K25" i="104"/>
  <c r="G25" i="104"/>
  <c r="I24" i="104"/>
  <c r="G24" i="104"/>
  <c r="K24" i="104" s="1"/>
  <c r="L24" i="104" s="1"/>
  <c r="I23" i="104"/>
  <c r="G23" i="104"/>
  <c r="K23" i="104" s="1"/>
  <c r="L23" i="104" s="1"/>
  <c r="L22" i="104"/>
  <c r="K22" i="104"/>
  <c r="G22" i="104"/>
  <c r="I21" i="104"/>
  <c r="G21" i="104"/>
  <c r="K21" i="104" s="1"/>
  <c r="L21" i="104" s="1"/>
  <c r="I20" i="104"/>
  <c r="G20" i="104"/>
  <c r="K20" i="104" s="1"/>
  <c r="L20" i="104" s="1"/>
  <c r="L19" i="104"/>
  <c r="K19" i="104"/>
  <c r="G19" i="104"/>
  <c r="I18" i="104"/>
  <c r="G18" i="104"/>
  <c r="K18" i="104" s="1"/>
  <c r="L18" i="104" s="1"/>
  <c r="I17" i="104"/>
  <c r="G17" i="104"/>
  <c r="K17" i="104" s="1"/>
  <c r="L17" i="104" s="1"/>
  <c r="L16" i="104"/>
  <c r="K16" i="104"/>
  <c r="G16" i="104"/>
  <c r="K15" i="104"/>
  <c r="L15" i="104" s="1"/>
  <c r="I15" i="104"/>
  <c r="G15" i="104"/>
  <c r="M15" i="104" s="1"/>
  <c r="G14" i="104"/>
  <c r="K14" i="104" s="1"/>
  <c r="I13" i="104"/>
  <c r="G13" i="104"/>
  <c r="K13" i="104" s="1"/>
  <c r="L13" i="104" s="1"/>
  <c r="L12" i="104"/>
  <c r="K12" i="104"/>
  <c r="G12" i="104"/>
  <c r="K11" i="104"/>
  <c r="L11" i="104" s="1"/>
  <c r="I11" i="104"/>
  <c r="G11" i="104"/>
  <c r="M11" i="104" s="1"/>
  <c r="G10" i="104"/>
  <c r="G26" i="104" s="1"/>
  <c r="AB7" i="104"/>
  <c r="X47" i="104" s="1"/>
  <c r="X7" i="104"/>
  <c r="V4" i="104"/>
  <c r="V2" i="104"/>
  <c r="C48" i="104" l="1"/>
  <c r="K48" i="104" s="1"/>
  <c r="L14" i="104"/>
  <c r="C49" i="104"/>
  <c r="K49" i="104" s="1"/>
  <c r="Z75" i="104"/>
  <c r="AC75" i="104" s="1"/>
  <c r="L76" i="104"/>
  <c r="K84" i="104"/>
  <c r="G56" i="104"/>
  <c r="K57" i="104" s="1"/>
  <c r="L40" i="104"/>
  <c r="L75" i="104"/>
  <c r="Z74" i="104"/>
  <c r="AC74" i="104" s="1"/>
  <c r="K10" i="104"/>
  <c r="L28" i="104"/>
  <c r="L37" i="104" s="1"/>
  <c r="X48" i="104"/>
  <c r="M13" i="104"/>
  <c r="K26" i="104" l="1"/>
  <c r="G53" i="104" s="1"/>
  <c r="K54" i="104" s="1"/>
  <c r="C47" i="104"/>
  <c r="L10" i="104"/>
  <c r="L26" i="104" s="1"/>
  <c r="L44" i="104" s="1"/>
  <c r="K72" i="104"/>
  <c r="L72" i="104" s="1"/>
  <c r="K69" i="104"/>
  <c r="L69" i="104" s="1"/>
  <c r="K77" i="104"/>
  <c r="X24" i="104"/>
  <c r="AB24" i="104" s="1"/>
  <c r="AC24" i="104" s="1"/>
  <c r="X21" i="104"/>
  <c r="AB21" i="104" s="1"/>
  <c r="AC21" i="104" s="1"/>
  <c r="X18" i="104"/>
  <c r="AB18" i="104" s="1"/>
  <c r="AC18" i="104" s="1"/>
  <c r="X15" i="104"/>
  <c r="AB15" i="104" s="1"/>
  <c r="AC15" i="104" s="1"/>
  <c r="X14" i="104"/>
  <c r="AB14" i="104" s="1"/>
  <c r="X11" i="104"/>
  <c r="AB11" i="104" s="1"/>
  <c r="AC11" i="104" s="1"/>
  <c r="X10" i="104"/>
  <c r="X23" i="104"/>
  <c r="AB23" i="104" s="1"/>
  <c r="AC23" i="104" s="1"/>
  <c r="X17" i="104"/>
  <c r="AB17" i="104" s="1"/>
  <c r="AC17" i="104" s="1"/>
  <c r="X25" i="104"/>
  <c r="AB25" i="104" s="1"/>
  <c r="AC25" i="104" s="1"/>
  <c r="X22" i="104"/>
  <c r="AB22" i="104" s="1"/>
  <c r="AC22" i="104" s="1"/>
  <c r="X19" i="104"/>
  <c r="AB19" i="104" s="1"/>
  <c r="AC19" i="104" s="1"/>
  <c r="X16" i="104"/>
  <c r="AB16" i="104" s="1"/>
  <c r="AC16" i="104" s="1"/>
  <c r="X13" i="104"/>
  <c r="AB13" i="104" s="1"/>
  <c r="AC13" i="104" s="1"/>
  <c r="X12" i="104"/>
  <c r="AB12" i="104" s="1"/>
  <c r="X20" i="104"/>
  <c r="AB20" i="104" s="1"/>
  <c r="AC20" i="104" s="1"/>
  <c r="W49" i="104" l="1"/>
  <c r="AB49" i="104" s="1"/>
  <c r="AC14" i="104"/>
  <c r="AC12" i="104"/>
  <c r="W48" i="104"/>
  <c r="AB48" i="104" s="1"/>
  <c r="C50" i="104"/>
  <c r="K47" i="104"/>
  <c r="L50" i="104" s="1"/>
  <c r="L82" i="104" s="1"/>
  <c r="AB10" i="104"/>
  <c r="X26" i="104"/>
  <c r="K67" i="104"/>
  <c r="L67" i="104" s="1"/>
  <c r="K78" i="104"/>
  <c r="L78" i="104" s="1"/>
  <c r="K71" i="104"/>
  <c r="L71" i="104" s="1"/>
  <c r="K70" i="104"/>
  <c r="L70" i="104" s="1"/>
  <c r="K59" i="104"/>
  <c r="L59" i="104" s="1"/>
  <c r="K86" i="104" l="1"/>
  <c r="AB26" i="104"/>
  <c r="X53" i="104" s="1"/>
  <c r="AB54" i="104" s="1"/>
  <c r="W47" i="104"/>
  <c r="AC10" i="104"/>
  <c r="AC26" i="104" s="1"/>
  <c r="AC44" i="104" s="1"/>
  <c r="X56" i="104"/>
  <c r="AB57" i="104" s="1"/>
  <c r="AC40" i="104"/>
  <c r="AB47" i="104" l="1"/>
  <c r="AC50" i="104" s="1"/>
  <c r="W50" i="104"/>
  <c r="AB69" i="104"/>
  <c r="AC69" i="104" s="1"/>
  <c r="AB58" i="104"/>
  <c r="AC58" i="104" s="1"/>
  <c r="AC81" i="104" s="1"/>
  <c r="L84" i="104" s="1"/>
  <c r="AB77" i="104"/>
  <c r="AC77" i="104" s="1"/>
  <c r="AB70" i="104"/>
  <c r="AC70" i="104" s="1"/>
  <c r="AB66" i="104"/>
  <c r="AC66" i="104" s="1"/>
  <c r="AB76" i="104"/>
  <c r="AC76" i="104" s="1"/>
  <c r="AB68" i="104"/>
  <c r="AC68" i="104" s="1"/>
  <c r="AB71" i="104"/>
  <c r="AC71" i="104" s="1"/>
  <c r="L86" i="104"/>
  <c r="L87" i="104" s="1"/>
  <c r="L90" i="104" s="1"/>
  <c r="L92" i="104" s="1"/>
  <c r="L94" i="104" l="1"/>
  <c r="D90" i="99" l="1"/>
  <c r="C89" i="99"/>
  <c r="C87" i="99"/>
  <c r="C80" i="99"/>
  <c r="B136" i="102" l="1"/>
  <c r="B135" i="102"/>
  <c r="M86" i="102"/>
  <c r="V79" i="102"/>
  <c r="V78" i="102"/>
  <c r="Y77" i="102"/>
  <c r="V77" i="102"/>
  <c r="Y76" i="102"/>
  <c r="V76" i="102"/>
  <c r="I76" i="102"/>
  <c r="L76" i="102" s="1"/>
  <c r="G76" i="102"/>
  <c r="AB75" i="102"/>
  <c r="Z75" i="102"/>
  <c r="AC75" i="102" s="1"/>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AB40" i="102" s="1"/>
  <c r="X37" i="102"/>
  <c r="E37" i="102"/>
  <c r="D37" i="102"/>
  <c r="AB36" i="102"/>
  <c r="AC36" i="102" s="1"/>
  <c r="G36" i="102"/>
  <c r="L36" i="102" s="1"/>
  <c r="AB35" i="102"/>
  <c r="AC35" i="102" s="1"/>
  <c r="G35" i="102"/>
  <c r="L35" i="102" s="1"/>
  <c r="AB34" i="102"/>
  <c r="AC34" i="102" s="1"/>
  <c r="G34" i="102"/>
  <c r="L34" i="102" s="1"/>
  <c r="AB33" i="102"/>
  <c r="AC33" i="102" s="1"/>
  <c r="G33" i="102"/>
  <c r="L33" i="102" s="1"/>
  <c r="AB32" i="102"/>
  <c r="AC32" i="102" s="1"/>
  <c r="G32" i="102"/>
  <c r="L32" i="102" s="1"/>
  <c r="AB31" i="102"/>
  <c r="AC31" i="102" s="1"/>
  <c r="G31" i="102"/>
  <c r="L31" i="102" s="1"/>
  <c r="AB30" i="102"/>
  <c r="AC30" i="102" s="1"/>
  <c r="G30" i="102"/>
  <c r="L30" i="102" s="1"/>
  <c r="AB29" i="102"/>
  <c r="AC29" i="102" s="1"/>
  <c r="G29" i="102"/>
  <c r="L29" i="102" s="1"/>
  <c r="AB28" i="102"/>
  <c r="AC28" i="102" s="1"/>
  <c r="AC37" i="102" s="1"/>
  <c r="G28" i="102"/>
  <c r="L28" i="102" s="1"/>
  <c r="L37" i="102" s="1"/>
  <c r="E26" i="102"/>
  <c r="D26" i="102"/>
  <c r="G25" i="102"/>
  <c r="K25" i="102" s="1"/>
  <c r="L25" i="102" s="1"/>
  <c r="I24" i="102"/>
  <c r="G24" i="102"/>
  <c r="K24" i="102" s="1"/>
  <c r="L24" i="102" s="1"/>
  <c r="I23" i="102"/>
  <c r="G23" i="102"/>
  <c r="K23" i="102" s="1"/>
  <c r="L23" i="102" s="1"/>
  <c r="G22" i="102"/>
  <c r="K22" i="102" s="1"/>
  <c r="L22" i="102" s="1"/>
  <c r="I21" i="102"/>
  <c r="G21" i="102"/>
  <c r="K21" i="102" s="1"/>
  <c r="L21" i="102" s="1"/>
  <c r="I20" i="102"/>
  <c r="G20" i="102"/>
  <c r="K20" i="102" s="1"/>
  <c r="L20" i="102" s="1"/>
  <c r="G19" i="102"/>
  <c r="K19" i="102" s="1"/>
  <c r="L19" i="102" s="1"/>
  <c r="G18" i="102"/>
  <c r="K18" i="102" s="1"/>
  <c r="L18" i="102" s="1"/>
  <c r="I17" i="102"/>
  <c r="I18" i="102" s="1"/>
  <c r="G17" i="102"/>
  <c r="K17" i="102" s="1"/>
  <c r="L17" i="102" s="1"/>
  <c r="K16" i="102"/>
  <c r="L16" i="102" s="1"/>
  <c r="G16" i="102"/>
  <c r="I15" i="102"/>
  <c r="G15" i="102"/>
  <c r="M15" i="102" s="1"/>
  <c r="K14" i="102"/>
  <c r="G14" i="102"/>
  <c r="I13" i="102"/>
  <c r="G13" i="102"/>
  <c r="M13" i="102" s="1"/>
  <c r="G12" i="102"/>
  <c r="K12" i="102" s="1"/>
  <c r="I11" i="102"/>
  <c r="G11" i="102"/>
  <c r="M11" i="102" s="1"/>
  <c r="K10" i="102"/>
  <c r="G10" i="102"/>
  <c r="AB7" i="102"/>
  <c r="X7" i="102"/>
  <c r="V4" i="102"/>
  <c r="V2" i="102"/>
  <c r="C30" i="97"/>
  <c r="C32" i="97" s="1"/>
  <c r="B3" i="96"/>
  <c r="G26" i="102" l="1"/>
  <c r="K84" i="102" s="1"/>
  <c r="X48" i="102"/>
  <c r="X49" i="102"/>
  <c r="X47" i="102"/>
  <c r="C49" i="102"/>
  <c r="K49" i="102" s="1"/>
  <c r="G75" i="102"/>
  <c r="I75" i="102" s="1"/>
  <c r="G56" i="102"/>
  <c r="K57" i="102" s="1"/>
  <c r="L40" i="102"/>
  <c r="L10" i="102"/>
  <c r="K11" i="102"/>
  <c r="L11" i="102" s="1"/>
  <c r="L12" i="102"/>
  <c r="K13" i="102"/>
  <c r="L13" i="102" s="1"/>
  <c r="L14" i="102"/>
  <c r="K15" i="102"/>
  <c r="L15" i="102" s="1"/>
  <c r="G37" i="102"/>
  <c r="AB76" i="34"/>
  <c r="AB76" i="35"/>
  <c r="AB76" i="36"/>
  <c r="AB76" i="37"/>
  <c r="AB76" i="38"/>
  <c r="AB76" i="39"/>
  <c r="AB76" i="40"/>
  <c r="AB76" i="42"/>
  <c r="AB76" i="43"/>
  <c r="AB76" i="45"/>
  <c r="AB76" i="46"/>
  <c r="AB76" i="48"/>
  <c r="AB76" i="49"/>
  <c r="AB76" i="50"/>
  <c r="AB76" i="51"/>
  <c r="AB76" i="52"/>
  <c r="AB76" i="53"/>
  <c r="AB76" i="54"/>
  <c r="AB76" i="55"/>
  <c r="AB76" i="58"/>
  <c r="AB76" i="59"/>
  <c r="AB76" i="60"/>
  <c r="AB76" i="61"/>
  <c r="AB76" i="62"/>
  <c r="AB76" i="64"/>
  <c r="AB76" i="65"/>
  <c r="AB76" i="66"/>
  <c r="AB76" i="69"/>
  <c r="AB76" i="70"/>
  <c r="AB76" i="71"/>
  <c r="AB76" i="73"/>
  <c r="AB76" i="74"/>
  <c r="AB76" i="75"/>
  <c r="AB76" i="76"/>
  <c r="AB76" i="77"/>
  <c r="AB76" i="79"/>
  <c r="AB76" i="80"/>
  <c r="AB76" i="81"/>
  <c r="AB76" i="82"/>
  <c r="AB76" i="97"/>
  <c r="AB76" i="84"/>
  <c r="AB76" i="96"/>
  <c r="AB76" i="33"/>
  <c r="K77" i="34"/>
  <c r="K77" i="35"/>
  <c r="K77" i="36"/>
  <c r="K77" i="37"/>
  <c r="K77" i="38"/>
  <c r="K77" i="39"/>
  <c r="K77" i="40"/>
  <c r="K77" i="42"/>
  <c r="K77" i="43"/>
  <c r="K77" i="45"/>
  <c r="K77" i="46"/>
  <c r="K77" i="48"/>
  <c r="K77" i="49"/>
  <c r="K77" i="50"/>
  <c r="K77" i="51"/>
  <c r="K77" i="52"/>
  <c r="K77" i="53"/>
  <c r="K77" i="54"/>
  <c r="K77" i="55"/>
  <c r="K77" i="58"/>
  <c r="K77" i="59"/>
  <c r="K77" i="60"/>
  <c r="K77" i="61"/>
  <c r="K77" i="62"/>
  <c r="K77" i="64"/>
  <c r="K77" i="65"/>
  <c r="K77" i="66"/>
  <c r="K77" i="69"/>
  <c r="K77" i="70"/>
  <c r="K77" i="71"/>
  <c r="K77" i="73"/>
  <c r="K77" i="74"/>
  <c r="K77" i="75"/>
  <c r="K77" i="76"/>
  <c r="K77" i="77"/>
  <c r="K77" i="79"/>
  <c r="K77" i="80"/>
  <c r="K77" i="81"/>
  <c r="K77" i="82"/>
  <c r="K77" i="97"/>
  <c r="K77" i="84"/>
  <c r="K77" i="96"/>
  <c r="K77" i="33"/>
  <c r="L26" i="102" l="1"/>
  <c r="L44" i="102" s="1"/>
  <c r="K72" i="102"/>
  <c r="L72" i="102" s="1"/>
  <c r="K77" i="102"/>
  <c r="L77" i="102" s="1"/>
  <c r="K69" i="102"/>
  <c r="L69" i="102" s="1"/>
  <c r="X25" i="102"/>
  <c r="AB25" i="102" s="1"/>
  <c r="AC25" i="102" s="1"/>
  <c r="X24" i="102"/>
  <c r="AB24" i="102" s="1"/>
  <c r="AC24" i="102" s="1"/>
  <c r="X22" i="102"/>
  <c r="AB22" i="102" s="1"/>
  <c r="AC22" i="102" s="1"/>
  <c r="X21" i="102"/>
  <c r="AB21" i="102" s="1"/>
  <c r="AC21" i="102" s="1"/>
  <c r="X19" i="102"/>
  <c r="AB19" i="102" s="1"/>
  <c r="AC19" i="102" s="1"/>
  <c r="X23" i="102"/>
  <c r="AB23" i="102" s="1"/>
  <c r="AC23" i="102" s="1"/>
  <c r="X17" i="102"/>
  <c r="AB17" i="102" s="1"/>
  <c r="AC17" i="102" s="1"/>
  <c r="X20" i="102"/>
  <c r="AB20" i="102" s="1"/>
  <c r="AC20" i="102" s="1"/>
  <c r="X18" i="102"/>
  <c r="AB18" i="102" s="1"/>
  <c r="AC18" i="102" s="1"/>
  <c r="X16" i="102"/>
  <c r="AB16" i="102" s="1"/>
  <c r="AC16" i="102" s="1"/>
  <c r="X15" i="102"/>
  <c r="AB15" i="102" s="1"/>
  <c r="AC15" i="102" s="1"/>
  <c r="X14" i="102"/>
  <c r="AB14" i="102" s="1"/>
  <c r="X13" i="102"/>
  <c r="AB13" i="102" s="1"/>
  <c r="AC13" i="102" s="1"/>
  <c r="X12" i="102"/>
  <c r="AB12" i="102" s="1"/>
  <c r="X11" i="102"/>
  <c r="AB11" i="102" s="1"/>
  <c r="AC11" i="102" s="1"/>
  <c r="X10" i="102"/>
  <c r="L75" i="102"/>
  <c r="Z74" i="102"/>
  <c r="AC74" i="102" s="1"/>
  <c r="C48" i="102"/>
  <c r="K48" i="102" s="1"/>
  <c r="K26" i="102"/>
  <c r="G53" i="102" s="1"/>
  <c r="K54" i="102" s="1"/>
  <c r="C47" i="102"/>
  <c r="C86" i="99"/>
  <c r="C85" i="99"/>
  <c r="C84" i="99"/>
  <c r="C83" i="99"/>
  <c r="C81" i="99"/>
  <c r="C78" i="99"/>
  <c r="C77" i="99"/>
  <c r="C76" i="99"/>
  <c r="C75" i="99"/>
  <c r="C73" i="99"/>
  <c r="C72" i="99"/>
  <c r="C70" i="99"/>
  <c r="C69" i="99"/>
  <c r="C67" i="99"/>
  <c r="C65" i="99"/>
  <c r="C64" i="99"/>
  <c r="C63" i="99"/>
  <c r="C61" i="99"/>
  <c r="C60" i="99"/>
  <c r="C58" i="99"/>
  <c r="C57" i="99"/>
  <c r="C56" i="99"/>
  <c r="C55" i="99"/>
  <c r="C54" i="99"/>
  <c r="C52" i="99"/>
  <c r="C50" i="99"/>
  <c r="C49" i="99"/>
  <c r="C45" i="99"/>
  <c r="C43" i="99"/>
  <c r="C41" i="99"/>
  <c r="C39" i="99"/>
  <c r="C37" i="99"/>
  <c r="C36" i="99"/>
  <c r="C35" i="99"/>
  <c r="C34" i="99"/>
  <c r="C32" i="99"/>
  <c r="C31" i="99"/>
  <c r="C29" i="99"/>
  <c r="C27" i="99"/>
  <c r="C25" i="99"/>
  <c r="C23" i="99"/>
  <c r="C22" i="99"/>
  <c r="C15" i="99"/>
  <c r="C10" i="99"/>
  <c r="C8" i="99"/>
  <c r="C6" i="99"/>
  <c r="C50" i="102" l="1"/>
  <c r="K47" i="102"/>
  <c r="L50" i="102" s="1"/>
  <c r="X26" i="102"/>
  <c r="AB10" i="102"/>
  <c r="W48" i="102"/>
  <c r="AB48" i="102" s="1"/>
  <c r="AC12" i="102"/>
  <c r="W49" i="102"/>
  <c r="AB49" i="102" s="1"/>
  <c r="AC14" i="102"/>
  <c r="K70" i="102"/>
  <c r="L70" i="102" s="1"/>
  <c r="K67" i="102"/>
  <c r="L67" i="102" s="1"/>
  <c r="K59" i="102"/>
  <c r="L59" i="102" s="1"/>
  <c r="K78" i="102"/>
  <c r="L78" i="102" s="1"/>
  <c r="K71" i="102"/>
  <c r="L71" i="102" s="1"/>
  <c r="I17" i="42"/>
  <c r="L82" i="102" l="1"/>
  <c r="K86" i="102" s="1"/>
  <c r="W47" i="102"/>
  <c r="AB26" i="102"/>
  <c r="X53" i="102" s="1"/>
  <c r="AB54" i="102" s="1"/>
  <c r="AC10" i="102"/>
  <c r="AC26" i="102" s="1"/>
  <c r="X56" i="102"/>
  <c r="AB57" i="102" s="1"/>
  <c r="AC40" i="102"/>
  <c r="C15" i="97"/>
  <c r="C17" i="97" s="1"/>
  <c r="C18" i="97" s="1"/>
  <c r="AC44" i="102" l="1"/>
  <c r="AB71" i="102"/>
  <c r="AC71" i="102" s="1"/>
  <c r="AB76" i="102"/>
  <c r="AC76" i="102" s="1"/>
  <c r="AB68" i="102"/>
  <c r="AC68" i="102" s="1"/>
  <c r="W50" i="102"/>
  <c r="AB47" i="102"/>
  <c r="AC50" i="102" s="1"/>
  <c r="AB69" i="102"/>
  <c r="AC69" i="102" s="1"/>
  <c r="AB66" i="102"/>
  <c r="AC66" i="102" s="1"/>
  <c r="AB58" i="102"/>
  <c r="AC58" i="102" s="1"/>
  <c r="AB77" i="102"/>
  <c r="AC77" i="102" s="1"/>
  <c r="AB70" i="102"/>
  <c r="AC70" i="102" s="1"/>
  <c r="L86" i="102"/>
  <c r="L87" i="102" s="1"/>
  <c r="L90" i="102" s="1"/>
  <c r="L92" i="102" s="1"/>
  <c r="C19" i="97"/>
  <c r="AC81" i="102" l="1"/>
  <c r="L84" i="102" s="1"/>
  <c r="L94" i="102"/>
  <c r="C23" i="97"/>
  <c r="C25" i="97" s="1"/>
  <c r="C21" i="97"/>
  <c r="C26" i="97" l="1"/>
  <c r="C27" i="97" s="1"/>
  <c r="B136" i="96" l="1"/>
  <c r="B135" i="96"/>
  <c r="M86" i="96"/>
  <c r="V79" i="96"/>
  <c r="V78" i="96"/>
  <c r="Y77" i="96"/>
  <c r="V77" i="96"/>
  <c r="Y76" i="96"/>
  <c r="V76" i="96"/>
  <c r="I76" i="96"/>
  <c r="L76" i="96" s="1"/>
  <c r="G76" i="96"/>
  <c r="AB75" i="96"/>
  <c r="Z75" i="96"/>
  <c r="AC75" i="96" s="1"/>
  <c r="I75" i="96"/>
  <c r="L75" i="96" s="1"/>
  <c r="G75" i="96"/>
  <c r="AB74" i="96"/>
  <c r="Z74" i="96"/>
  <c r="AC74" i="96" s="1"/>
  <c r="Y71" i="96"/>
  <c r="Y70" i="96"/>
  <c r="Y69" i="96"/>
  <c r="Y68" i="96"/>
  <c r="Y66" i="96"/>
  <c r="X65" i="96"/>
  <c r="Y58" i="96" s="1"/>
  <c r="G65" i="96"/>
  <c r="X64" i="96"/>
  <c r="X61" i="96"/>
  <c r="X60" i="96"/>
  <c r="J56" i="96"/>
  <c r="AA56" i="96" s="1"/>
  <c r="AA53" i="96"/>
  <c r="Z49" i="96"/>
  <c r="G49" i="96"/>
  <c r="Z48" i="96"/>
  <c r="G48" i="96"/>
  <c r="Z47" i="96"/>
  <c r="G47" i="96"/>
  <c r="X40" i="96"/>
  <c r="K40" i="96"/>
  <c r="X39" i="96"/>
  <c r="AB40" i="96" s="1"/>
  <c r="X37" i="96"/>
  <c r="E37" i="96"/>
  <c r="D37" i="96"/>
  <c r="AC36" i="96"/>
  <c r="AB36" i="96"/>
  <c r="L36" i="96"/>
  <c r="G36" i="96"/>
  <c r="AC35" i="96"/>
  <c r="AB35" i="96"/>
  <c r="L35" i="96"/>
  <c r="G35" i="96"/>
  <c r="AC34" i="96"/>
  <c r="AB34" i="96"/>
  <c r="L34" i="96"/>
  <c r="G34" i="96"/>
  <c r="AC33" i="96"/>
  <c r="AB33" i="96"/>
  <c r="L33" i="96"/>
  <c r="G33" i="96"/>
  <c r="AC32" i="96"/>
  <c r="AB32" i="96"/>
  <c r="L32" i="96"/>
  <c r="G32" i="96"/>
  <c r="AC31" i="96"/>
  <c r="AB31" i="96"/>
  <c r="L31" i="96"/>
  <c r="G31" i="96"/>
  <c r="AC30" i="96"/>
  <c r="AB30" i="96"/>
  <c r="L30" i="96"/>
  <c r="G30" i="96"/>
  <c r="AC29" i="96"/>
  <c r="AB29" i="96"/>
  <c r="L29" i="96"/>
  <c r="G29" i="96"/>
  <c r="AC28" i="96"/>
  <c r="AC37" i="96" s="1"/>
  <c r="AB28" i="96"/>
  <c r="L28" i="96"/>
  <c r="L37" i="96" s="1"/>
  <c r="G28" i="96"/>
  <c r="G37" i="96" s="1"/>
  <c r="E26" i="96"/>
  <c r="K25" i="96"/>
  <c r="L25" i="96" s="1"/>
  <c r="G25" i="96"/>
  <c r="G24" i="96"/>
  <c r="I23" i="96"/>
  <c r="I24" i="96" s="1"/>
  <c r="K24" i="96" s="1"/>
  <c r="L24" i="96" s="1"/>
  <c r="G23" i="96"/>
  <c r="G22" i="96"/>
  <c r="K22" i="96" s="1"/>
  <c r="L22" i="96" s="1"/>
  <c r="G21" i="96"/>
  <c r="I20" i="96"/>
  <c r="I21" i="96" s="1"/>
  <c r="K21" i="96" s="1"/>
  <c r="L21" i="96" s="1"/>
  <c r="G20" i="96"/>
  <c r="K19" i="96"/>
  <c r="L19" i="96" s="1"/>
  <c r="G19" i="96"/>
  <c r="G18" i="96"/>
  <c r="I17" i="96"/>
  <c r="I18" i="96" s="1"/>
  <c r="K18" i="96" s="1"/>
  <c r="L18" i="96" s="1"/>
  <c r="G17" i="96"/>
  <c r="K16" i="96"/>
  <c r="L16" i="96" s="1"/>
  <c r="G16" i="96"/>
  <c r="I15" i="96"/>
  <c r="G15" i="96"/>
  <c r="M15" i="96" s="1"/>
  <c r="G14" i="96"/>
  <c r="K14" i="96" s="1"/>
  <c r="I13" i="96"/>
  <c r="G13" i="96"/>
  <c r="M13" i="96" s="1"/>
  <c r="G12" i="96"/>
  <c r="K12" i="96" s="1"/>
  <c r="I11" i="96"/>
  <c r="G11" i="96"/>
  <c r="M11" i="96" s="1"/>
  <c r="G10" i="96"/>
  <c r="K10" i="96" s="1"/>
  <c r="AB7" i="96"/>
  <c r="X7" i="96"/>
  <c r="V4" i="96"/>
  <c r="V2" i="96"/>
  <c r="L12" i="96" l="1"/>
  <c r="L10" i="96"/>
  <c r="D26" i="96"/>
  <c r="L14" i="96"/>
  <c r="K17" i="96"/>
  <c r="L17" i="96" s="1"/>
  <c r="K20" i="96"/>
  <c r="L20" i="96" s="1"/>
  <c r="K23" i="96"/>
  <c r="L23" i="96" s="1"/>
  <c r="X48" i="96"/>
  <c r="X49" i="96"/>
  <c r="X47" i="96"/>
  <c r="G26" i="96"/>
  <c r="K11" i="96"/>
  <c r="L11" i="96" s="1"/>
  <c r="L40" i="96"/>
  <c r="K13" i="96"/>
  <c r="L13" i="96" s="1"/>
  <c r="K15" i="96"/>
  <c r="L15" i="96" s="1"/>
  <c r="V76" i="93"/>
  <c r="V76" i="92"/>
  <c r="V76" i="91"/>
  <c r="V76" i="88"/>
  <c r="I76" i="88"/>
  <c r="I76" i="91"/>
  <c r="I75" i="91"/>
  <c r="L75" i="91" s="1"/>
  <c r="I76" i="92"/>
  <c r="I75" i="92"/>
  <c r="L75" i="92" s="1"/>
  <c r="I76" i="93"/>
  <c r="I75" i="93"/>
  <c r="I23" i="93"/>
  <c r="K23" i="93" s="1"/>
  <c r="L23" i="93" s="1"/>
  <c r="I20" i="93"/>
  <c r="I21" i="93" s="1"/>
  <c r="K21" i="93" s="1"/>
  <c r="L21" i="93" s="1"/>
  <c r="I17" i="93"/>
  <c r="I18" i="93" s="1"/>
  <c r="K18" i="93" s="1"/>
  <c r="L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K17" i="88" s="1"/>
  <c r="L17" i="88" s="1"/>
  <c r="I15" i="88"/>
  <c r="I13" i="88"/>
  <c r="I11" i="88"/>
  <c r="B136" i="93"/>
  <c r="B135" i="93"/>
  <c r="M86" i="93"/>
  <c r="V79" i="93"/>
  <c r="V78" i="93"/>
  <c r="Y77" i="93"/>
  <c r="V77" i="93"/>
  <c r="Y76" i="93"/>
  <c r="L76" i="93"/>
  <c r="G76" i="93"/>
  <c r="Z75" i="93" s="1"/>
  <c r="AB75" i="93"/>
  <c r="AC75" i="93" s="1"/>
  <c r="G75" i="93"/>
  <c r="AB74" i="93"/>
  <c r="Y71" i="93"/>
  <c r="Y70" i="93"/>
  <c r="Y69" i="93"/>
  <c r="Y68" i="93"/>
  <c r="Y66" i="93"/>
  <c r="X65" i="93"/>
  <c r="G65" i="93"/>
  <c r="X64" i="93" s="1"/>
  <c r="X61" i="93"/>
  <c r="X60" i="93"/>
  <c r="J56" i="93"/>
  <c r="AA56" i="93" s="1"/>
  <c r="AA53" i="93"/>
  <c r="Z49" i="93"/>
  <c r="X49" i="93"/>
  <c r="G49" i="93"/>
  <c r="Z48" i="93"/>
  <c r="G48" i="93"/>
  <c r="Z47" i="93"/>
  <c r="X47" i="93"/>
  <c r="G47" i="93"/>
  <c r="X40" i="93"/>
  <c r="K40" i="93"/>
  <c r="X39" i="93"/>
  <c r="AB40" i="93" s="1"/>
  <c r="X37" i="93"/>
  <c r="E37" i="93"/>
  <c r="AB36" i="93"/>
  <c r="AC36" i="93" s="1"/>
  <c r="G36" i="93"/>
  <c r="L36" i="93" s="1"/>
  <c r="AB35" i="93"/>
  <c r="AC35" i="93" s="1"/>
  <c r="G35" i="93"/>
  <c r="L35" i="93" s="1"/>
  <c r="AB34" i="93"/>
  <c r="AC34" i="93" s="1"/>
  <c r="G34" i="93"/>
  <c r="L34" i="93" s="1"/>
  <c r="AB33" i="93"/>
  <c r="AC33" i="93" s="1"/>
  <c r="G33" i="93"/>
  <c r="L33" i="93" s="1"/>
  <c r="AB32" i="93"/>
  <c r="AC32" i="93" s="1"/>
  <c r="AC31" i="93"/>
  <c r="AB31" i="93"/>
  <c r="AB30" i="93"/>
  <c r="AC30" i="93" s="1"/>
  <c r="G30" i="93"/>
  <c r="L30" i="93" s="1"/>
  <c r="AB29" i="93"/>
  <c r="AC29" i="93" s="1"/>
  <c r="G29" i="93"/>
  <c r="L29" i="93" s="1"/>
  <c r="AB28" i="93"/>
  <c r="AC28" i="93" s="1"/>
  <c r="G28" i="93"/>
  <c r="L28" i="93" s="1"/>
  <c r="E26" i="93"/>
  <c r="G25" i="93"/>
  <c r="K25" i="93" s="1"/>
  <c r="L25" i="93" s="1"/>
  <c r="G24" i="93"/>
  <c r="G23" i="93"/>
  <c r="L22" i="93"/>
  <c r="G22" i="93"/>
  <c r="K22" i="93" s="1"/>
  <c r="G21" i="93"/>
  <c r="G20" i="93"/>
  <c r="K20" i="93" s="1"/>
  <c r="L20" i="93" s="1"/>
  <c r="G19" i="93"/>
  <c r="K19" i="93" s="1"/>
  <c r="L19" i="93" s="1"/>
  <c r="G18" i="93"/>
  <c r="G17" i="93"/>
  <c r="G16" i="93"/>
  <c r="K16" i="93" s="1"/>
  <c r="L16" i="93" s="1"/>
  <c r="K15" i="93"/>
  <c r="L15" i="93" s="1"/>
  <c r="G15" i="93"/>
  <c r="M15" i="93" s="1"/>
  <c r="G14" i="93"/>
  <c r="K14" i="93" s="1"/>
  <c r="L14" i="93" s="1"/>
  <c r="G11" i="93"/>
  <c r="M11" i="93" s="1"/>
  <c r="G10" i="93"/>
  <c r="K10" i="93" s="1"/>
  <c r="AB7" i="93"/>
  <c r="X48" i="93" s="1"/>
  <c r="X7" i="93"/>
  <c r="V4" i="93"/>
  <c r="V2" i="93"/>
  <c r="B136" i="92"/>
  <c r="B135" i="92"/>
  <c r="M86" i="92"/>
  <c r="V79" i="92"/>
  <c r="V78" i="92"/>
  <c r="Y77" i="92"/>
  <c r="V77" i="92"/>
  <c r="Y76" i="92"/>
  <c r="L76" i="92"/>
  <c r="G76" i="92"/>
  <c r="AB75" i="92"/>
  <c r="Z75" i="92"/>
  <c r="AC75" i="92" s="1"/>
  <c r="G75" i="92"/>
  <c r="AB74" i="92"/>
  <c r="Z74" i="92"/>
  <c r="AC74" i="92" s="1"/>
  <c r="Y71" i="92"/>
  <c r="Y70" i="92"/>
  <c r="Y69" i="92"/>
  <c r="Y68" i="92"/>
  <c r="Y66" i="92"/>
  <c r="X65" i="92"/>
  <c r="G65" i="92"/>
  <c r="X64" i="92"/>
  <c r="X61" i="92"/>
  <c r="X60" i="92"/>
  <c r="AA56" i="92"/>
  <c r="J56" i="92"/>
  <c r="AA53" i="92"/>
  <c r="Z49" i="92"/>
  <c r="G49" i="92"/>
  <c r="Z48" i="92"/>
  <c r="G48" i="92"/>
  <c r="Z47" i="92"/>
  <c r="G47" i="92"/>
  <c r="X40" i="92"/>
  <c r="K40" i="92"/>
  <c r="X39" i="92"/>
  <c r="X37" i="92"/>
  <c r="E37" i="92"/>
  <c r="AB36" i="92"/>
  <c r="AC36" i="92" s="1"/>
  <c r="G36" i="92"/>
  <c r="L36" i="92" s="1"/>
  <c r="AB35" i="92"/>
  <c r="AC35" i="92" s="1"/>
  <c r="G35" i="92"/>
  <c r="L35" i="92" s="1"/>
  <c r="AB34" i="92"/>
  <c r="AC34" i="92" s="1"/>
  <c r="G34" i="92"/>
  <c r="L34" i="92" s="1"/>
  <c r="AC33" i="92"/>
  <c r="AB33" i="92"/>
  <c r="G33" i="92"/>
  <c r="L33" i="92" s="1"/>
  <c r="AB32" i="92"/>
  <c r="AC32" i="92" s="1"/>
  <c r="AB31" i="92"/>
  <c r="AC31" i="92" s="1"/>
  <c r="AB30" i="92"/>
  <c r="AC30" i="92" s="1"/>
  <c r="L30" i="92"/>
  <c r="G30" i="92"/>
  <c r="AB29" i="92"/>
  <c r="AC29" i="92" s="1"/>
  <c r="L29" i="92"/>
  <c r="G29" i="92"/>
  <c r="AB28" i="92"/>
  <c r="AC28" i="92" s="1"/>
  <c r="L28" i="92"/>
  <c r="G28" i="92"/>
  <c r="E26" i="92"/>
  <c r="K25" i="92"/>
  <c r="L25" i="92" s="1"/>
  <c r="G25" i="92"/>
  <c r="G24" i="92"/>
  <c r="G23" i="92"/>
  <c r="G22" i="92"/>
  <c r="K22" i="92" s="1"/>
  <c r="L22" i="92" s="1"/>
  <c r="G21" i="92"/>
  <c r="G20" i="92"/>
  <c r="K20" i="92" s="1"/>
  <c r="L20" i="92" s="1"/>
  <c r="G19" i="92"/>
  <c r="K19" i="92" s="1"/>
  <c r="L19" i="92" s="1"/>
  <c r="G18" i="92"/>
  <c r="K17" i="92"/>
  <c r="L17" i="92" s="1"/>
  <c r="G17" i="92"/>
  <c r="G16" i="92"/>
  <c r="K16" i="92" s="1"/>
  <c r="L16" i="92" s="1"/>
  <c r="G15" i="92"/>
  <c r="M15" i="92" s="1"/>
  <c r="G14" i="92"/>
  <c r="K14" i="92" s="1"/>
  <c r="L14" i="92" s="1"/>
  <c r="G11" i="92"/>
  <c r="K11" i="92" s="1"/>
  <c r="L11" i="92" s="1"/>
  <c r="G10" i="92"/>
  <c r="AB7" i="92"/>
  <c r="X47" i="92" s="1"/>
  <c r="X7" i="92"/>
  <c r="V4" i="92"/>
  <c r="V2" i="92"/>
  <c r="B136" i="91"/>
  <c r="B135" i="91"/>
  <c r="M86" i="91"/>
  <c r="V79" i="91"/>
  <c r="V78" i="91"/>
  <c r="Y77" i="91"/>
  <c r="V77" i="91"/>
  <c r="Y76" i="91"/>
  <c r="L76" i="91"/>
  <c r="G76" i="91"/>
  <c r="AB75" i="91"/>
  <c r="Z75" i="91"/>
  <c r="AC75" i="91" s="1"/>
  <c r="G75" i="91"/>
  <c r="AB74" i="91"/>
  <c r="Y71" i="91"/>
  <c r="Y70" i="91"/>
  <c r="Y69" i="91"/>
  <c r="Y68" i="91"/>
  <c r="Y66" i="91"/>
  <c r="X65" i="91"/>
  <c r="G65" i="91"/>
  <c r="X64" i="91"/>
  <c r="X61" i="91"/>
  <c r="X60" i="91"/>
  <c r="AA56" i="91"/>
  <c r="J56" i="91"/>
  <c r="AA53" i="91"/>
  <c r="Z49" i="91"/>
  <c r="G49" i="91"/>
  <c r="Z48" i="91"/>
  <c r="X48" i="91"/>
  <c r="G48" i="91"/>
  <c r="Z47" i="91"/>
  <c r="G47" i="91"/>
  <c r="X40" i="91"/>
  <c r="K40" i="91"/>
  <c r="X39" i="91"/>
  <c r="AB40" i="91" s="1"/>
  <c r="X37" i="91"/>
  <c r="E37" i="91"/>
  <c r="AC36" i="91"/>
  <c r="AB36" i="91"/>
  <c r="G36" i="91"/>
  <c r="L36" i="91" s="1"/>
  <c r="AC35" i="91"/>
  <c r="AB35" i="91"/>
  <c r="G35" i="91"/>
  <c r="L35" i="91" s="1"/>
  <c r="AC34" i="91"/>
  <c r="AB34" i="91"/>
  <c r="G34" i="91"/>
  <c r="L34" i="91" s="1"/>
  <c r="AC33" i="91"/>
  <c r="AB33" i="91"/>
  <c r="AB32" i="91"/>
  <c r="AC32" i="91" s="1"/>
  <c r="AB31" i="91"/>
  <c r="AC31" i="91" s="1"/>
  <c r="AB30" i="91"/>
  <c r="AC30" i="91" s="1"/>
  <c r="G30" i="91"/>
  <c r="L30" i="91" s="1"/>
  <c r="AB29" i="91"/>
  <c r="AC29" i="91" s="1"/>
  <c r="G29" i="91"/>
  <c r="L29" i="91" s="1"/>
  <c r="AB28" i="91"/>
  <c r="AC28" i="91" s="1"/>
  <c r="G28" i="91"/>
  <c r="E26" i="91"/>
  <c r="L25" i="91"/>
  <c r="G25" i="91"/>
  <c r="K25" i="91" s="1"/>
  <c r="G24" i="91"/>
  <c r="G23" i="91"/>
  <c r="L22" i="91"/>
  <c r="G22" i="91"/>
  <c r="K22" i="91" s="1"/>
  <c r="G21" i="91"/>
  <c r="G20" i="91"/>
  <c r="L19" i="91"/>
  <c r="G19" i="91"/>
  <c r="K19" i="91" s="1"/>
  <c r="G18" i="91"/>
  <c r="G17" i="91"/>
  <c r="G16" i="91"/>
  <c r="K16" i="91" s="1"/>
  <c r="L16" i="91" s="1"/>
  <c r="G15" i="91"/>
  <c r="M15" i="91" s="1"/>
  <c r="L14" i="91"/>
  <c r="G14" i="91"/>
  <c r="K14" i="91" s="1"/>
  <c r="G11" i="91"/>
  <c r="M11" i="91" s="1"/>
  <c r="G10" i="91"/>
  <c r="K10" i="91" s="1"/>
  <c r="AB7" i="91"/>
  <c r="X47" i="91" s="1"/>
  <c r="X7" i="91"/>
  <c r="V4" i="91"/>
  <c r="V2" i="91"/>
  <c r="B136" i="88"/>
  <c r="B135" i="88"/>
  <c r="M86" i="88"/>
  <c r="V79" i="88"/>
  <c r="V78" i="88"/>
  <c r="Y77" i="88"/>
  <c r="V77" i="88"/>
  <c r="Y76" i="88"/>
  <c r="L76" i="88"/>
  <c r="G76" i="88"/>
  <c r="Z75" i="88" s="1"/>
  <c r="AB75" i="88"/>
  <c r="AB74" i="88"/>
  <c r="Y71" i="88"/>
  <c r="Y70" i="88"/>
  <c r="Y69" i="88"/>
  <c r="Y68" i="88"/>
  <c r="Y66" i="88"/>
  <c r="X65" i="88"/>
  <c r="G65" i="88"/>
  <c r="X64" i="88" s="1"/>
  <c r="Y58" i="88" s="1"/>
  <c r="X61" i="88"/>
  <c r="X60" i="88"/>
  <c r="J56" i="88"/>
  <c r="AA56" i="88" s="1"/>
  <c r="AA53" i="88"/>
  <c r="Z49" i="88"/>
  <c r="G49" i="88"/>
  <c r="Z48" i="88"/>
  <c r="G48" i="88"/>
  <c r="Z47" i="88"/>
  <c r="X47" i="88"/>
  <c r="G47" i="88"/>
  <c r="X40" i="88"/>
  <c r="K40" i="88"/>
  <c r="X39" i="88"/>
  <c r="AB40" i="88" s="1"/>
  <c r="X37" i="88"/>
  <c r="E37" i="88"/>
  <c r="AB36" i="88"/>
  <c r="AC36" i="88" s="1"/>
  <c r="G36" i="88"/>
  <c r="L36" i="88" s="1"/>
  <c r="AB35" i="88"/>
  <c r="AC35" i="88" s="1"/>
  <c r="G35" i="88"/>
  <c r="L35" i="88" s="1"/>
  <c r="AB34" i="88"/>
  <c r="AC34" i="88" s="1"/>
  <c r="G34" i="88"/>
  <c r="L34" i="88" s="1"/>
  <c r="AB33" i="88"/>
  <c r="AC33" i="88" s="1"/>
  <c r="AB32" i="88"/>
  <c r="AC32" i="88" s="1"/>
  <c r="AB31" i="88"/>
  <c r="AC31" i="88" s="1"/>
  <c r="AB30" i="88"/>
  <c r="AC30" i="88" s="1"/>
  <c r="AB29" i="88"/>
  <c r="AC29" i="88" s="1"/>
  <c r="AB28" i="88"/>
  <c r="AC28" i="88" s="1"/>
  <c r="E26" i="88"/>
  <c r="G25" i="88"/>
  <c r="K25" i="88" s="1"/>
  <c r="L25" i="88" s="1"/>
  <c r="G24" i="88"/>
  <c r="K23" i="88"/>
  <c r="L23" i="88" s="1"/>
  <c r="G23" i="88"/>
  <c r="G22" i="88"/>
  <c r="K22" i="88" s="1"/>
  <c r="L22" i="88" s="1"/>
  <c r="G21" i="88"/>
  <c r="K20" i="88"/>
  <c r="L20" i="88" s="1"/>
  <c r="G20" i="88"/>
  <c r="G19" i="88"/>
  <c r="K19" i="88" s="1"/>
  <c r="L19" i="88" s="1"/>
  <c r="G18" i="88"/>
  <c r="G17" i="88"/>
  <c r="L16" i="88"/>
  <c r="G16" i="88"/>
  <c r="K16" i="88" s="1"/>
  <c r="K15" i="88"/>
  <c r="L15" i="88" s="1"/>
  <c r="G15" i="88"/>
  <c r="L14" i="88"/>
  <c r="G14" i="88"/>
  <c r="K14" i="88" s="1"/>
  <c r="G29" i="88"/>
  <c r="G10" i="88"/>
  <c r="K10" i="88" s="1"/>
  <c r="AB7" i="88"/>
  <c r="X48" i="88" s="1"/>
  <c r="X7" i="88"/>
  <c r="V4" i="88"/>
  <c r="V2" i="88"/>
  <c r="K11" i="91" l="1"/>
  <c r="L11" i="91" s="1"/>
  <c r="M11" i="92"/>
  <c r="K11" i="93"/>
  <c r="L11" i="93" s="1"/>
  <c r="G11" i="88"/>
  <c r="K11" i="88" s="1"/>
  <c r="L11" i="88" s="1"/>
  <c r="M15" i="88"/>
  <c r="G28" i="88"/>
  <c r="L28" i="88" s="1"/>
  <c r="G30" i="88"/>
  <c r="L30" i="88" s="1"/>
  <c r="K84" i="96"/>
  <c r="G56" i="96"/>
  <c r="K57" i="96" s="1"/>
  <c r="C49" i="96"/>
  <c r="K49" i="96" s="1"/>
  <c r="C47" i="96"/>
  <c r="L26" i="96"/>
  <c r="L44" i="96" s="1"/>
  <c r="K26" i="96"/>
  <c r="G53" i="96" s="1"/>
  <c r="K54" i="96" s="1"/>
  <c r="C48" i="96"/>
  <c r="K48" i="96" s="1"/>
  <c r="AC75" i="88"/>
  <c r="Z74" i="91"/>
  <c r="AC74" i="91" s="1"/>
  <c r="L75" i="93"/>
  <c r="AC37" i="91"/>
  <c r="I24" i="93"/>
  <c r="K24" i="93" s="1"/>
  <c r="L24" i="93" s="1"/>
  <c r="K17" i="93"/>
  <c r="L17" i="93" s="1"/>
  <c r="K24" i="92"/>
  <c r="L24" i="92" s="1"/>
  <c r="K23" i="92"/>
  <c r="L23" i="92" s="1"/>
  <c r="K17" i="91"/>
  <c r="L17" i="91" s="1"/>
  <c r="K20" i="91"/>
  <c r="L20" i="91" s="1"/>
  <c r="K23" i="91"/>
  <c r="L23" i="91" s="1"/>
  <c r="I18" i="88"/>
  <c r="K18" i="88" s="1"/>
  <c r="L18" i="88" s="1"/>
  <c r="L29" i="88"/>
  <c r="D26" i="88"/>
  <c r="G12" i="88"/>
  <c r="AC37" i="88"/>
  <c r="C47" i="91"/>
  <c r="L10" i="91"/>
  <c r="K15" i="91"/>
  <c r="L15" i="91" s="1"/>
  <c r="Y58" i="91"/>
  <c r="K15" i="92"/>
  <c r="L15" i="92" s="1"/>
  <c r="K21" i="88"/>
  <c r="L21" i="88" s="1"/>
  <c r="K24" i="88"/>
  <c r="L24" i="88" s="1"/>
  <c r="K10" i="92"/>
  <c r="AC37" i="92"/>
  <c r="G12" i="91"/>
  <c r="K12" i="91" s="1"/>
  <c r="L10" i="88"/>
  <c r="X49" i="88"/>
  <c r="K18" i="92"/>
  <c r="L18" i="92" s="1"/>
  <c r="K21" i="92"/>
  <c r="L21" i="92" s="1"/>
  <c r="C49" i="93"/>
  <c r="K49" i="93" s="1"/>
  <c r="K18" i="91"/>
  <c r="L18" i="91" s="1"/>
  <c r="K21" i="91"/>
  <c r="L21" i="91" s="1"/>
  <c r="K24" i="91"/>
  <c r="L24" i="91" s="1"/>
  <c r="L28" i="91"/>
  <c r="Y58" i="92"/>
  <c r="L10" i="93"/>
  <c r="C47" i="93"/>
  <c r="AC37" i="93"/>
  <c r="X49" i="91"/>
  <c r="X49" i="92"/>
  <c r="Y58" i="93"/>
  <c r="Z74" i="93"/>
  <c r="AC74" i="93" s="1"/>
  <c r="AB40" i="92"/>
  <c r="X48" i="92"/>
  <c r="M11" i="88" l="1"/>
  <c r="C47" i="88"/>
  <c r="K78" i="96"/>
  <c r="L78" i="96" s="1"/>
  <c r="L77" i="96"/>
  <c r="K70" i="96"/>
  <c r="L70" i="96" s="1"/>
  <c r="K67" i="96"/>
  <c r="L67" i="96" s="1"/>
  <c r="K59" i="96"/>
  <c r="L59" i="96" s="1"/>
  <c r="K71" i="96"/>
  <c r="L71" i="96" s="1"/>
  <c r="C50" i="96"/>
  <c r="K47" i="96"/>
  <c r="L50" i="96" s="1"/>
  <c r="K72" i="96"/>
  <c r="L72" i="96" s="1"/>
  <c r="K69" i="96"/>
  <c r="L69" i="96" s="1"/>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K47" i="93"/>
  <c r="K47" i="88"/>
  <c r="G12" i="93"/>
  <c r="D26" i="93"/>
  <c r="G32" i="91"/>
  <c r="L32" i="91" s="1"/>
  <c r="G13" i="91"/>
  <c r="C47" i="92"/>
  <c r="L10" i="92"/>
  <c r="C49" i="92"/>
  <c r="K49" i="92" s="1"/>
  <c r="C49" i="91"/>
  <c r="K49" i="91" s="1"/>
  <c r="L12" i="91"/>
  <c r="K12" i="88"/>
  <c r="D26" i="91"/>
  <c r="D26" i="92"/>
  <c r="G12" i="92"/>
  <c r="K47" i="91"/>
  <c r="C49" i="88"/>
  <c r="K49" i="88" s="1"/>
  <c r="G33" i="91"/>
  <c r="L33" i="91" s="1"/>
  <c r="G33" i="88"/>
  <c r="L33" i="88" s="1"/>
  <c r="G32" i="88"/>
  <c r="L32" i="88" s="1"/>
  <c r="G13" i="88"/>
  <c r="L82" i="96" l="1"/>
  <c r="K86" i="96" s="1"/>
  <c r="X26" i="96"/>
  <c r="AB10" i="96"/>
  <c r="W48" i="96"/>
  <c r="AB48" i="96" s="1"/>
  <c r="AC12" i="96"/>
  <c r="W49" i="96"/>
  <c r="AB49" i="96" s="1"/>
  <c r="AC14" i="96"/>
  <c r="K13" i="88"/>
  <c r="L13" i="88" s="1"/>
  <c r="L12" i="88"/>
  <c r="L26" i="88" s="1"/>
  <c r="K26" i="88"/>
  <c r="G53" i="88" s="1"/>
  <c r="K54" i="88" s="1"/>
  <c r="K47" i="92"/>
  <c r="G32" i="92"/>
  <c r="L32" i="92" s="1"/>
  <c r="G13" i="92"/>
  <c r="G31" i="88"/>
  <c r="M13" i="88" s="1"/>
  <c r="D37" i="88"/>
  <c r="G31" i="91"/>
  <c r="D37" i="91"/>
  <c r="K12" i="92"/>
  <c r="G26" i="92"/>
  <c r="G26" i="88"/>
  <c r="G75" i="88" s="1"/>
  <c r="I75" i="88" s="1"/>
  <c r="M13" i="91"/>
  <c r="K13" i="91"/>
  <c r="G26" i="91"/>
  <c r="G32" i="93"/>
  <c r="L32" i="93" s="1"/>
  <c r="G13" i="93"/>
  <c r="K12" i="93"/>
  <c r="G26" i="93"/>
  <c r="Z74" i="88" l="1"/>
  <c r="AC74" i="88" s="1"/>
  <c r="L75" i="88"/>
  <c r="C48" i="88"/>
  <c r="K48" i="88" s="1"/>
  <c r="L50" i="88" s="1"/>
  <c r="W47" i="96"/>
  <c r="AB26" i="96"/>
  <c r="X53" i="96" s="1"/>
  <c r="AB54" i="96" s="1"/>
  <c r="AC10" i="96"/>
  <c r="AC26" i="96" s="1"/>
  <c r="L86" i="96"/>
  <c r="L87" i="96" s="1"/>
  <c r="L90" i="96" s="1"/>
  <c r="L92" i="96" s="1"/>
  <c r="X56" i="96"/>
  <c r="AB57" i="96" s="1"/>
  <c r="AC40" i="96"/>
  <c r="G31" i="93"/>
  <c r="D37" i="93"/>
  <c r="L31" i="88"/>
  <c r="L37" i="88" s="1"/>
  <c r="G37" i="88"/>
  <c r="K84" i="91"/>
  <c r="G56" i="91"/>
  <c r="K57" i="91" s="1"/>
  <c r="K77" i="91" s="1"/>
  <c r="L40" i="91"/>
  <c r="G56" i="88"/>
  <c r="K57" i="88" s="1"/>
  <c r="K77" i="88" s="1"/>
  <c r="L77" i="88" s="1"/>
  <c r="L40" i="88"/>
  <c r="K84" i="88"/>
  <c r="L12" i="92"/>
  <c r="K13" i="92"/>
  <c r="L13" i="92" s="1"/>
  <c r="K70" i="88"/>
  <c r="L70" i="88" s="1"/>
  <c r="K59" i="88"/>
  <c r="L59" i="88" s="1"/>
  <c r="K67" i="88"/>
  <c r="L67" i="88" s="1"/>
  <c r="K78" i="88"/>
  <c r="L78" i="88" s="1"/>
  <c r="K71" i="88"/>
  <c r="L71" i="88" s="1"/>
  <c r="L12" i="93"/>
  <c r="L31" i="91"/>
  <c r="L37" i="91" s="1"/>
  <c r="G37" i="91"/>
  <c r="D37" i="92"/>
  <c r="G31" i="92"/>
  <c r="M13" i="92" s="1"/>
  <c r="K84" i="92"/>
  <c r="G56" i="92"/>
  <c r="K57" i="92" s="1"/>
  <c r="K77" i="92" s="1"/>
  <c r="L40" i="92"/>
  <c r="K84" i="93"/>
  <c r="G56" i="93"/>
  <c r="K57" i="93" s="1"/>
  <c r="K77" i="93" s="1"/>
  <c r="L40" i="93"/>
  <c r="M13" i="93"/>
  <c r="K13" i="93"/>
  <c r="L13" i="93" s="1"/>
  <c r="L13" i="91"/>
  <c r="L26" i="91" s="1"/>
  <c r="C48" i="91"/>
  <c r="K26" i="91"/>
  <c r="G53" i="91" s="1"/>
  <c r="K54" i="91" s="1"/>
  <c r="L44" i="88" l="1"/>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K78" i="91"/>
  <c r="L78" i="91" s="1"/>
  <c r="K71" i="91"/>
  <c r="L71" i="91" s="1"/>
  <c r="L77" i="9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L31" i="92"/>
  <c r="L37" i="92" s="1"/>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K72" i="92"/>
  <c r="L72" i="92" s="1"/>
  <c r="K69" i="92"/>
  <c r="L69" i="92" s="1"/>
  <c r="K48" i="93"/>
  <c r="L50" i="93" s="1"/>
  <c r="K72" i="88"/>
  <c r="L72" i="88" s="1"/>
  <c r="K69" i="88"/>
  <c r="L69" i="88" s="1"/>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L69" i="91" s="1"/>
  <c r="K72" i="91"/>
  <c r="L72" i="91"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44" i="92" s="1"/>
  <c r="L31" i="93"/>
  <c r="L37" i="93" s="1"/>
  <c r="G37" i="93"/>
  <c r="L82" i="88" l="1"/>
  <c r="AC81" i="96"/>
  <c r="L84" i="96" s="1"/>
  <c r="L82" i="91"/>
  <c r="AC12" i="92"/>
  <c r="W48" i="92"/>
  <c r="AB48" i="92" s="1"/>
  <c r="AC12" i="88"/>
  <c r="W48" i="88"/>
  <c r="AB48" i="88" s="1"/>
  <c r="X26" i="91"/>
  <c r="AB10" i="91"/>
  <c r="W49" i="93"/>
  <c r="AB49" i="93" s="1"/>
  <c r="AC14" i="93"/>
  <c r="X26" i="93"/>
  <c r="AB10" i="93"/>
  <c r="L77" i="92"/>
  <c r="K78" i="92"/>
  <c r="L78" i="92" s="1"/>
  <c r="K71" i="92"/>
  <c r="L71" i="92" s="1"/>
  <c r="K70" i="92"/>
  <c r="L70" i="92" s="1"/>
  <c r="K67" i="92"/>
  <c r="L67" i="92" s="1"/>
  <c r="K59" i="92"/>
  <c r="L59" i="92" s="1"/>
  <c r="K48" i="92"/>
  <c r="L50" i="92" s="1"/>
  <c r="C50" i="92"/>
  <c r="K67" i="93"/>
  <c r="L67" i="93" s="1"/>
  <c r="K78" i="93"/>
  <c r="L78" i="93" s="1"/>
  <c r="L77" i="93"/>
  <c r="K59" i="93"/>
  <c r="L59" i="93" s="1"/>
  <c r="K71" i="93"/>
  <c r="L71" i="93" s="1"/>
  <c r="K70" i="93"/>
  <c r="L70" i="93" s="1"/>
  <c r="L44" i="93"/>
  <c r="X26" i="92"/>
  <c r="AB10" i="92"/>
  <c r="AC14" i="92"/>
  <c r="W49" i="92"/>
  <c r="AB49" i="92" s="1"/>
  <c r="X26" i="88"/>
  <c r="AB10" i="88"/>
  <c r="W49" i="88"/>
  <c r="AB49" i="88" s="1"/>
  <c r="AC14" i="88"/>
  <c r="W48" i="91"/>
  <c r="AB48" i="91" s="1"/>
  <c r="AC12" i="91"/>
  <c r="AC14" i="91"/>
  <c r="W49" i="91"/>
  <c r="AB49" i="91" s="1"/>
  <c r="AC12" i="93"/>
  <c r="W48" i="93"/>
  <c r="AB48" i="93" s="1"/>
  <c r="L82" i="92" l="1"/>
  <c r="X56" i="92"/>
  <c r="AB57" i="92" s="1"/>
  <c r="AB76" i="92" s="1"/>
  <c r="AC40" i="92"/>
  <c r="W47" i="93"/>
  <c r="AC10" i="93"/>
  <c r="AC26" i="93" s="1"/>
  <c r="AB26" i="93"/>
  <c r="X53" i="93" s="1"/>
  <c r="AB54" i="93" s="1"/>
  <c r="X56" i="88"/>
  <c r="AB57" i="88" s="1"/>
  <c r="AB76" i="88" s="1"/>
  <c r="AC40" i="88"/>
  <c r="X56" i="91"/>
  <c r="AB57" i="91" s="1"/>
  <c r="AB76" i="91" s="1"/>
  <c r="AC40" i="9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M86" i="84"/>
  <c r="V78" i="84"/>
  <c r="Y77" i="84"/>
  <c r="V77" i="84"/>
  <c r="Y76" i="84"/>
  <c r="V76" i="84"/>
  <c r="G76" i="84"/>
  <c r="I76" i="84" s="1"/>
  <c r="AB75" i="84"/>
  <c r="G75" i="84"/>
  <c r="I75" i="84" s="1"/>
  <c r="AB74" i="84"/>
  <c r="Y71" i="84"/>
  <c r="Y70" i="84"/>
  <c r="Y69" i="84"/>
  <c r="Y68" i="84"/>
  <c r="Y66" i="84"/>
  <c r="X65" i="84"/>
  <c r="G65" i="84"/>
  <c r="X64" i="84" s="1"/>
  <c r="X61" i="84"/>
  <c r="X60" i="84"/>
  <c r="AA56" i="84"/>
  <c r="J56" i="84"/>
  <c r="AA53" i="84"/>
  <c r="Z49" i="84"/>
  <c r="G49" i="84"/>
  <c r="Z48" i="84"/>
  <c r="G48" i="84"/>
  <c r="Z47" i="84"/>
  <c r="G47" i="84"/>
  <c r="X40" i="84"/>
  <c r="K40" i="84"/>
  <c r="X39" i="84"/>
  <c r="AB40" i="84" s="1"/>
  <c r="X37" i="84"/>
  <c r="E37" i="84"/>
  <c r="D37" i="84"/>
  <c r="AC36" i="84"/>
  <c r="AB36" i="84"/>
  <c r="G36" i="84"/>
  <c r="L36" i="84" s="1"/>
  <c r="AC35" i="84"/>
  <c r="AB35" i="84"/>
  <c r="G35" i="84"/>
  <c r="L35" i="84" s="1"/>
  <c r="AC34" i="84"/>
  <c r="AB34" i="84"/>
  <c r="G34" i="84"/>
  <c r="L34" i="84" s="1"/>
  <c r="AC33" i="84"/>
  <c r="AB33" i="84"/>
  <c r="G33" i="84"/>
  <c r="L33" i="84" s="1"/>
  <c r="AC32" i="84"/>
  <c r="AB32" i="84"/>
  <c r="G32" i="84"/>
  <c r="L32" i="84" s="1"/>
  <c r="AC31" i="84"/>
  <c r="AB31" i="84"/>
  <c r="G31" i="84"/>
  <c r="L31" i="84" s="1"/>
  <c r="AC30" i="84"/>
  <c r="AB30" i="84"/>
  <c r="G30" i="84"/>
  <c r="L30" i="84" s="1"/>
  <c r="AC29" i="84"/>
  <c r="AB29" i="84"/>
  <c r="G29" i="84"/>
  <c r="L29" i="84" s="1"/>
  <c r="AC28" i="84"/>
  <c r="AC37" i="84" s="1"/>
  <c r="AB28" i="84"/>
  <c r="G28" i="84"/>
  <c r="G37" i="84" s="1"/>
  <c r="E26" i="84"/>
  <c r="D26" i="84"/>
  <c r="G25" i="84"/>
  <c r="K25" i="84" s="1"/>
  <c r="L25" i="84" s="1"/>
  <c r="I24" i="84"/>
  <c r="G24" i="84"/>
  <c r="K24" i="84" s="1"/>
  <c r="L24" i="84" s="1"/>
  <c r="I23" i="84"/>
  <c r="G23" i="84"/>
  <c r="K23" i="84" s="1"/>
  <c r="L23" i="84" s="1"/>
  <c r="G22" i="84"/>
  <c r="K22" i="84" s="1"/>
  <c r="L22" i="84" s="1"/>
  <c r="I21" i="84"/>
  <c r="G21" i="84"/>
  <c r="K21" i="84" s="1"/>
  <c r="L21" i="84" s="1"/>
  <c r="I20" i="84"/>
  <c r="G20" i="84"/>
  <c r="K20" i="84" s="1"/>
  <c r="L20" i="84" s="1"/>
  <c r="G19" i="84"/>
  <c r="K19" i="84" s="1"/>
  <c r="L19" i="84" s="1"/>
  <c r="I18" i="84"/>
  <c r="G18" i="84"/>
  <c r="K18" i="84" s="1"/>
  <c r="L18" i="84" s="1"/>
  <c r="I17" i="84"/>
  <c r="G17" i="84"/>
  <c r="K17" i="84" s="1"/>
  <c r="L17" i="84" s="1"/>
  <c r="G16" i="84"/>
  <c r="K16" i="84" s="1"/>
  <c r="L16" i="84" s="1"/>
  <c r="I15" i="84"/>
  <c r="G15" i="84"/>
  <c r="M15" i="84" s="1"/>
  <c r="G14" i="84"/>
  <c r="K14" i="84" s="1"/>
  <c r="I13" i="84"/>
  <c r="G13" i="84"/>
  <c r="K13" i="84" s="1"/>
  <c r="L13" i="84" s="1"/>
  <c r="G12" i="84"/>
  <c r="K12" i="84" s="1"/>
  <c r="I11" i="84"/>
  <c r="G11" i="84"/>
  <c r="M11" i="84" s="1"/>
  <c r="G10" i="84"/>
  <c r="AB7" i="84"/>
  <c r="X47" i="84" s="1"/>
  <c r="X7" i="84"/>
  <c r="V4" i="84"/>
  <c r="B3" i="84"/>
  <c r="V2" i="84"/>
  <c r="G26" i="84" l="1"/>
  <c r="G56" i="84" s="1"/>
  <c r="K57" i="84" s="1"/>
  <c r="C48" i="84"/>
  <c r="K48" i="84" s="1"/>
  <c r="L12" i="84"/>
  <c r="L76" i="84"/>
  <c r="Z75" i="84"/>
  <c r="K11" i="84"/>
  <c r="L11" i="84" s="1"/>
  <c r="AC75" i="84"/>
  <c r="K15" i="84"/>
  <c r="L15" i="84" s="1"/>
  <c r="L14" i="84"/>
  <c r="C49" i="84"/>
  <c r="K49" i="84" s="1"/>
  <c r="L75" i="84"/>
  <c r="Z74" i="84"/>
  <c r="AC74" i="84" s="1"/>
  <c r="K84" i="84"/>
  <c r="L40" i="84"/>
  <c r="Y58" i="84"/>
  <c r="X49" i="84"/>
  <c r="K10" i="84"/>
  <c r="L28" i="84"/>
  <c r="L37" i="84" s="1"/>
  <c r="X48" i="84"/>
  <c r="M13" i="84"/>
  <c r="C47" i="84" l="1"/>
  <c r="L10" i="84"/>
  <c r="L26" i="84" s="1"/>
  <c r="L44" i="84" s="1"/>
  <c r="K26" i="84"/>
  <c r="G53" i="84" s="1"/>
  <c r="K54" i="84" s="1"/>
  <c r="K69" i="84"/>
  <c r="L69" i="84" s="1"/>
  <c r="K72" i="84"/>
  <c r="L72" i="84" s="1"/>
  <c r="X23" i="84"/>
  <c r="AB23" i="84" s="1"/>
  <c r="AC23" i="84" s="1"/>
  <c r="X17" i="84"/>
  <c r="AB17" i="84" s="1"/>
  <c r="AC17" i="84" s="1"/>
  <c r="X25" i="84"/>
  <c r="AB25" i="84" s="1"/>
  <c r="AC25" i="84" s="1"/>
  <c r="X22" i="84"/>
  <c r="AB22" i="84" s="1"/>
  <c r="AC22" i="84" s="1"/>
  <c r="X19" i="84"/>
  <c r="AB19" i="84" s="1"/>
  <c r="AC19" i="84" s="1"/>
  <c r="X16" i="84"/>
  <c r="AB16" i="84" s="1"/>
  <c r="AC16" i="84" s="1"/>
  <c r="X13" i="84"/>
  <c r="AB13" i="84" s="1"/>
  <c r="AC13" i="84" s="1"/>
  <c r="X12" i="84"/>
  <c r="AB12" i="84" s="1"/>
  <c r="X24" i="84"/>
  <c r="AB24" i="84" s="1"/>
  <c r="AC24" i="84" s="1"/>
  <c r="X21" i="84"/>
  <c r="AB21" i="84" s="1"/>
  <c r="AC21" i="84" s="1"/>
  <c r="X18" i="84"/>
  <c r="AB18" i="84" s="1"/>
  <c r="AC18" i="84" s="1"/>
  <c r="X15" i="84"/>
  <c r="AB15" i="84" s="1"/>
  <c r="AC15" i="84" s="1"/>
  <c r="X14" i="84"/>
  <c r="AB14" i="84" s="1"/>
  <c r="X11" i="84"/>
  <c r="AB11" i="84" s="1"/>
  <c r="AC11" i="84" s="1"/>
  <c r="X10" i="84"/>
  <c r="X20" i="84"/>
  <c r="AB20" i="84" s="1"/>
  <c r="AC20" i="84" s="1"/>
  <c r="W48" i="84" l="1"/>
  <c r="AB48" i="84" s="1"/>
  <c r="AC12" i="84"/>
  <c r="AB10" i="84"/>
  <c r="X26" i="84"/>
  <c r="K71" i="84"/>
  <c r="L71" i="84" s="1"/>
  <c r="L77" i="84"/>
  <c r="K70" i="84"/>
  <c r="L70" i="84" s="1"/>
  <c r="K59" i="84"/>
  <c r="L59" i="84" s="1"/>
  <c r="K78" i="84"/>
  <c r="L78" i="84" s="1"/>
  <c r="K67" i="84"/>
  <c r="L67" i="84" s="1"/>
  <c r="AC14" i="84"/>
  <c r="W49" i="84"/>
  <c r="AB49" i="84" s="1"/>
  <c r="K47" i="84"/>
  <c r="L50" i="84" s="1"/>
  <c r="C50" i="84"/>
  <c r="L82" i="84" l="1"/>
  <c r="K86" i="84" s="1"/>
  <c r="X56" i="84"/>
  <c r="AB57" i="84" s="1"/>
  <c r="AC40" i="84"/>
  <c r="AB26" i="84"/>
  <c r="X53" i="84" s="1"/>
  <c r="AB54" i="84" s="1"/>
  <c r="W47" i="84"/>
  <c r="AC10" i="84"/>
  <c r="AC26" i="84" s="1"/>
  <c r="AC44" i="84" s="1"/>
  <c r="AB68" i="84" l="1"/>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s="1"/>
  <c r="L84" i="84" s="1"/>
  <c r="L94" i="84" l="1"/>
  <c r="C177" i="82"/>
  <c r="C176" i="82"/>
  <c r="B136" i="82"/>
  <c r="B135" i="82"/>
  <c r="M86" i="82"/>
  <c r="V78" i="82"/>
  <c r="Y77" i="82"/>
  <c r="V77" i="82"/>
  <c r="Y76" i="82"/>
  <c r="V76" i="82"/>
  <c r="G76" i="82"/>
  <c r="I76" i="82" s="1"/>
  <c r="AB75" i="82"/>
  <c r="G75" i="82"/>
  <c r="I75" i="82" s="1"/>
  <c r="AB74" i="82"/>
  <c r="Y71" i="82"/>
  <c r="Y70" i="82"/>
  <c r="Y69" i="82"/>
  <c r="Y68" i="82"/>
  <c r="Y66" i="82"/>
  <c r="X65" i="82"/>
  <c r="G65" i="82"/>
  <c r="X64" i="82"/>
  <c r="X61" i="82"/>
  <c r="X60" i="82"/>
  <c r="J56" i="82"/>
  <c r="AA56" i="82" s="1"/>
  <c r="AA53" i="82"/>
  <c r="Z49" i="82"/>
  <c r="X49" i="82"/>
  <c r="G49" i="82"/>
  <c r="Z48" i="82"/>
  <c r="G48" i="82"/>
  <c r="Z47" i="82"/>
  <c r="G47" i="82"/>
  <c r="X40" i="82"/>
  <c r="K40" i="82"/>
  <c r="X39" i="82"/>
  <c r="AB40" i="82" s="1"/>
  <c r="AC37" i="82"/>
  <c r="X37" i="82"/>
  <c r="E37" i="82"/>
  <c r="D37" i="82"/>
  <c r="AC36" i="82"/>
  <c r="AB36" i="82"/>
  <c r="G36" i="82"/>
  <c r="L36" i="82" s="1"/>
  <c r="AC35" i="82"/>
  <c r="AB35" i="82"/>
  <c r="G35" i="82"/>
  <c r="L35" i="82" s="1"/>
  <c r="AC34" i="82"/>
  <c r="AB34" i="82"/>
  <c r="G34" i="82"/>
  <c r="L34" i="82" s="1"/>
  <c r="AC33" i="82"/>
  <c r="AB33" i="82"/>
  <c r="G33" i="82"/>
  <c r="L33" i="82" s="1"/>
  <c r="AC32" i="82"/>
  <c r="AB32" i="82"/>
  <c r="G32" i="82"/>
  <c r="L32" i="82" s="1"/>
  <c r="AC31" i="82"/>
  <c r="AB31" i="82"/>
  <c r="G31" i="82"/>
  <c r="L31" i="82" s="1"/>
  <c r="AC30" i="82"/>
  <c r="AB30" i="82"/>
  <c r="G30" i="82"/>
  <c r="L30" i="82" s="1"/>
  <c r="AC29" i="82"/>
  <c r="AB29" i="82"/>
  <c r="G29" i="82"/>
  <c r="L29" i="82" s="1"/>
  <c r="AC28" i="82"/>
  <c r="AB28" i="82"/>
  <c r="G28" i="82"/>
  <c r="E26" i="82"/>
  <c r="D26" i="82"/>
  <c r="G25" i="82"/>
  <c r="K25" i="82" s="1"/>
  <c r="L25" i="82" s="1"/>
  <c r="I24" i="82"/>
  <c r="G24" i="82"/>
  <c r="I23" i="82"/>
  <c r="G23" i="82"/>
  <c r="K23" i="82" s="1"/>
  <c r="L23" i="82" s="1"/>
  <c r="G22" i="82"/>
  <c r="K22" i="82" s="1"/>
  <c r="L22" i="82" s="1"/>
  <c r="I21" i="82"/>
  <c r="G21" i="82"/>
  <c r="I20" i="82"/>
  <c r="G20" i="82"/>
  <c r="K20" i="82" s="1"/>
  <c r="L20" i="82" s="1"/>
  <c r="G19" i="82"/>
  <c r="K19" i="82" s="1"/>
  <c r="L19" i="82" s="1"/>
  <c r="I18" i="82"/>
  <c r="G18" i="82"/>
  <c r="I17" i="82"/>
  <c r="G17" i="82"/>
  <c r="K17" i="82" s="1"/>
  <c r="L17" i="82" s="1"/>
  <c r="G16" i="82"/>
  <c r="K16" i="82" s="1"/>
  <c r="L16" i="82" s="1"/>
  <c r="I15" i="82"/>
  <c r="G15" i="82"/>
  <c r="M15" i="82" s="1"/>
  <c r="G14" i="82"/>
  <c r="K14" i="82" s="1"/>
  <c r="L14" i="82" s="1"/>
  <c r="I13" i="82"/>
  <c r="G13" i="82"/>
  <c r="K13" i="82" s="1"/>
  <c r="L13" i="82" s="1"/>
  <c r="G12" i="82"/>
  <c r="K12" i="82" s="1"/>
  <c r="L12" i="82" s="1"/>
  <c r="I11" i="82"/>
  <c r="G11" i="82"/>
  <c r="K11" i="82" s="1"/>
  <c r="L11" i="82" s="1"/>
  <c r="G10" i="82"/>
  <c r="AB7" i="82"/>
  <c r="X47" i="82" s="1"/>
  <c r="X7" i="82"/>
  <c r="V4" i="82"/>
  <c r="B3" i="82"/>
  <c r="V2" i="82"/>
  <c r="K18" i="82" l="1"/>
  <c r="L18" i="82" s="1"/>
  <c r="K24" i="82"/>
  <c r="L24" i="82" s="1"/>
  <c r="K15" i="82"/>
  <c r="L15" i="82" s="1"/>
  <c r="K21" i="82"/>
  <c r="L21" i="82" s="1"/>
  <c r="L76" i="82"/>
  <c r="Z75" i="82"/>
  <c r="AC75" i="82" s="1"/>
  <c r="C48" i="82"/>
  <c r="K48" i="82" s="1"/>
  <c r="C49" i="82"/>
  <c r="K49" i="82" s="1"/>
  <c r="G26" i="82"/>
  <c r="K10" i="82"/>
  <c r="M11" i="82"/>
  <c r="M13" i="82"/>
  <c r="G37" i="82"/>
  <c r="L28" i="82"/>
  <c r="L37" i="82" s="1"/>
  <c r="Y58" i="82"/>
  <c r="L75" i="82"/>
  <c r="Z74" i="82"/>
  <c r="AC74" i="82" s="1"/>
  <c r="X48" i="82"/>
  <c r="C47" i="82" l="1"/>
  <c r="L10" i="82"/>
  <c r="L26" i="82" s="1"/>
  <c r="K26" i="82"/>
  <c r="G53" i="82" s="1"/>
  <c r="K54" i="82" s="1"/>
  <c r="G56" i="82"/>
  <c r="K57" i="82" s="1"/>
  <c r="L40" i="82"/>
  <c r="K84" i="82"/>
  <c r="L44" i="82" l="1"/>
  <c r="K72" i="82"/>
  <c r="L72" i="82" s="1"/>
  <c r="K69" i="82"/>
  <c r="L69" i="82" s="1"/>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L71" i="82" s="1"/>
  <c r="L77" i="82"/>
  <c r="K70" i="82"/>
  <c r="L70" i="82" s="1"/>
  <c r="K59" i="82"/>
  <c r="L59" i="82" s="1"/>
  <c r="K78" i="82"/>
  <c r="L78" i="82" s="1"/>
  <c r="K67" i="82"/>
  <c r="L67" i="82" s="1"/>
  <c r="L82" i="82" l="1"/>
  <c r="X26" i="82"/>
  <c r="AB10" i="82"/>
  <c r="AC12" i="82"/>
  <c r="W48" i="82"/>
  <c r="AB48" i="82" s="1"/>
  <c r="W49" i="82"/>
  <c r="AB49" i="82" s="1"/>
  <c r="AC14" i="82"/>
  <c r="X56" i="82" l="1"/>
  <c r="AB57" i="82" s="1"/>
  <c r="AC40" i="82"/>
  <c r="AB26" i="82"/>
  <c r="X53" i="82" s="1"/>
  <c r="AB54" i="82" s="1"/>
  <c r="W47" i="82"/>
  <c r="AC10" i="82"/>
  <c r="AC26" i="82" s="1"/>
  <c r="AC44" i="82" s="1"/>
  <c r="AB68" i="82" l="1"/>
  <c r="AC68" i="82" s="1"/>
  <c r="AB71" i="82"/>
  <c r="AC71" i="82" s="1"/>
  <c r="AB77" i="82"/>
  <c r="AC77" i="82" s="1"/>
  <c r="AB66" i="82"/>
  <c r="AC66" i="82" s="1"/>
  <c r="AC76" i="82"/>
  <c r="AB69" i="82"/>
  <c r="AC69" i="82" s="1"/>
  <c r="AB58" i="82"/>
  <c r="AC58" i="82" s="1"/>
  <c r="AB70" i="82"/>
  <c r="AC70" i="82" s="1"/>
  <c r="W50" i="82"/>
  <c r="AB47" i="82"/>
  <c r="AC50" i="82" s="1"/>
  <c r="AC81" i="82" s="1"/>
  <c r="L84" i="82" s="1"/>
  <c r="K86" i="82" s="1"/>
  <c r="L86" i="82" l="1"/>
  <c r="L87" i="82" l="1"/>
  <c r="L94" i="82"/>
  <c r="L90" i="82" l="1"/>
  <c r="L92" i="82" s="1"/>
  <c r="C177" i="81"/>
  <c r="C176" i="81"/>
  <c r="B136" i="81"/>
  <c r="B135" i="81"/>
  <c r="M86" i="81"/>
  <c r="V78" i="81"/>
  <c r="Y77" i="81"/>
  <c r="V77" i="81"/>
  <c r="Y76" i="81"/>
  <c r="V76" i="81"/>
  <c r="G76" i="81"/>
  <c r="I76" i="81" s="1"/>
  <c r="AB75" i="81"/>
  <c r="G75" i="81"/>
  <c r="I75" i="81" s="1"/>
  <c r="AB74" i="81"/>
  <c r="Y71" i="81"/>
  <c r="Y70" i="81"/>
  <c r="Y69" i="81"/>
  <c r="Y68" i="81"/>
  <c r="Y66" i="81"/>
  <c r="X65" i="81"/>
  <c r="G65" i="81"/>
  <c r="X64" i="81" s="1"/>
  <c r="Y58" i="81" s="1"/>
  <c r="X61" i="81"/>
  <c r="X60" i="81"/>
  <c r="AA56" i="81"/>
  <c r="J56" i="81"/>
  <c r="AA53" i="81"/>
  <c r="Z49" i="81"/>
  <c r="G49" i="81"/>
  <c r="Z48" i="81"/>
  <c r="G48" i="81"/>
  <c r="Z47" i="81"/>
  <c r="G47" i="81"/>
  <c r="X40" i="81"/>
  <c r="K40" i="81"/>
  <c r="X39" i="81"/>
  <c r="AB40" i="81" s="1"/>
  <c r="X37" i="81"/>
  <c r="E37" i="81"/>
  <c r="D37" i="81"/>
  <c r="AC36" i="81"/>
  <c r="AB36" i="81"/>
  <c r="G36" i="81"/>
  <c r="L36" i="81" s="1"/>
  <c r="AC35" i="81"/>
  <c r="AB35" i="81"/>
  <c r="G35" i="81"/>
  <c r="L35" i="81" s="1"/>
  <c r="AC34" i="81"/>
  <c r="AB34" i="81"/>
  <c r="G34" i="81"/>
  <c r="L34" i="81" s="1"/>
  <c r="AC33" i="81"/>
  <c r="AB33" i="81"/>
  <c r="G33" i="81"/>
  <c r="L33" i="81" s="1"/>
  <c r="AC32" i="81"/>
  <c r="AB32" i="81"/>
  <c r="G32" i="81"/>
  <c r="L32" i="81" s="1"/>
  <c r="AC31" i="81"/>
  <c r="AB31" i="81"/>
  <c r="G31" i="81"/>
  <c r="L31" i="81" s="1"/>
  <c r="AC30" i="81"/>
  <c r="AB30" i="81"/>
  <c r="G30" i="81"/>
  <c r="L30" i="81" s="1"/>
  <c r="AC29" i="81"/>
  <c r="AB29" i="81"/>
  <c r="G29" i="81"/>
  <c r="L29" i="81" s="1"/>
  <c r="AC28" i="81"/>
  <c r="AC37" i="81" s="1"/>
  <c r="AB28" i="81"/>
  <c r="G28" i="81"/>
  <c r="E26" i="81"/>
  <c r="D26" i="81"/>
  <c r="G25" i="81"/>
  <c r="K25" i="81" s="1"/>
  <c r="L25" i="81" s="1"/>
  <c r="I24" i="81"/>
  <c r="G24" i="81"/>
  <c r="K24" i="81" s="1"/>
  <c r="L24" i="81" s="1"/>
  <c r="I23" i="81"/>
  <c r="G23" i="81"/>
  <c r="K23" i="81" s="1"/>
  <c r="L23" i="81" s="1"/>
  <c r="G22" i="81"/>
  <c r="K22" i="81" s="1"/>
  <c r="L22" i="81" s="1"/>
  <c r="I21" i="81"/>
  <c r="G21" i="81"/>
  <c r="K21" i="81" s="1"/>
  <c r="L21" i="81" s="1"/>
  <c r="I20" i="81"/>
  <c r="G20" i="81"/>
  <c r="K20" i="81" s="1"/>
  <c r="L20" i="81" s="1"/>
  <c r="G19" i="81"/>
  <c r="K19" i="81" s="1"/>
  <c r="L19" i="81" s="1"/>
  <c r="I18" i="81"/>
  <c r="G18" i="81"/>
  <c r="K18" i="81" s="1"/>
  <c r="L18" i="81" s="1"/>
  <c r="I17" i="81"/>
  <c r="G17" i="81"/>
  <c r="K17" i="81" s="1"/>
  <c r="L17" i="81" s="1"/>
  <c r="G16" i="81"/>
  <c r="K16" i="81" s="1"/>
  <c r="L16" i="81" s="1"/>
  <c r="I15" i="81"/>
  <c r="G15" i="81"/>
  <c r="M15" i="81" s="1"/>
  <c r="G14" i="81"/>
  <c r="K14" i="81" s="1"/>
  <c r="I13" i="81"/>
  <c r="G13" i="81"/>
  <c r="K13" i="81" s="1"/>
  <c r="L13" i="81" s="1"/>
  <c r="G12" i="81"/>
  <c r="K12" i="81" s="1"/>
  <c r="L12" i="81" s="1"/>
  <c r="I11" i="81"/>
  <c r="G11" i="81"/>
  <c r="K11" i="81" s="1"/>
  <c r="L11" i="81" s="1"/>
  <c r="G10" i="81"/>
  <c r="AB7" i="81"/>
  <c r="X47" i="81" s="1"/>
  <c r="X7" i="81"/>
  <c r="V4" i="81"/>
  <c r="B3" i="81"/>
  <c r="V2" i="81"/>
  <c r="K15" i="81" l="1"/>
  <c r="L15" i="81" s="1"/>
  <c r="G26" i="81"/>
  <c r="M75" i="81" s="1"/>
  <c r="L76" i="81"/>
  <c r="Z75" i="81"/>
  <c r="AC75" i="81" s="1"/>
  <c r="M11" i="81"/>
  <c r="G37" i="81"/>
  <c r="C48" i="81"/>
  <c r="K48" i="81" s="1"/>
  <c r="L14" i="81"/>
  <c r="C49" i="81"/>
  <c r="K49" i="81" s="1"/>
  <c r="L75" i="81"/>
  <c r="Z74" i="81"/>
  <c r="AC74" i="81" s="1"/>
  <c r="X49" i="81"/>
  <c r="K10" i="81"/>
  <c r="L28" i="81"/>
  <c r="L37" i="81" s="1"/>
  <c r="X48" i="81"/>
  <c r="M13" i="81"/>
  <c r="K84" i="81" l="1"/>
  <c r="X17" i="81" s="1"/>
  <c r="AB17" i="81" s="1"/>
  <c r="AC17" i="81" s="1"/>
  <c r="L40" i="81"/>
  <c r="G56" i="81"/>
  <c r="K57" i="81" s="1"/>
  <c r="K72" i="81" s="1"/>
  <c r="L72" i="81" s="1"/>
  <c r="C47" i="81"/>
  <c r="L10" i="81"/>
  <c r="L26" i="81" s="1"/>
  <c r="L44" i="81" s="1"/>
  <c r="K26" i="81"/>
  <c r="G53" i="81" s="1"/>
  <c r="K54" i="81" s="1"/>
  <c r="K69" i="81" l="1"/>
  <c r="L69" i="81" s="1"/>
  <c r="X10" i="8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X16" i="81"/>
  <c r="AB16" i="81" s="1"/>
  <c r="AC16" i="81" s="1"/>
  <c r="X22" i="81"/>
  <c r="AB22" i="81" s="1"/>
  <c r="AC22" i="81" s="1"/>
  <c r="K71" i="81"/>
  <c r="L71" i="81" s="1"/>
  <c r="L77" i="81"/>
  <c r="K70" i="81"/>
  <c r="L70" i="81" s="1"/>
  <c r="K59" i="81"/>
  <c r="L59" i="81" s="1"/>
  <c r="K78" i="81"/>
  <c r="L78" i="81" s="1"/>
  <c r="K67" i="81"/>
  <c r="L67" i="81" s="1"/>
  <c r="AC12" i="81"/>
  <c r="W49" i="81"/>
  <c r="AB49" i="81" s="1"/>
  <c r="K47" i="81"/>
  <c r="L50" i="81" s="1"/>
  <c r="C50" i="81"/>
  <c r="AB10" i="81"/>
  <c r="W48" i="81" l="1"/>
  <c r="AB48" i="81" s="1"/>
  <c r="X26" i="81"/>
  <c r="AC40" i="81" s="1"/>
  <c r="L82" i="81"/>
  <c r="K86" i="81" s="1"/>
  <c r="AB26" i="81"/>
  <c r="X53" i="81" s="1"/>
  <c r="AB54" i="81" s="1"/>
  <c r="W47" i="81"/>
  <c r="AC10" i="81"/>
  <c r="AC26" i="81" s="1"/>
  <c r="X56" i="81"/>
  <c r="AB57" i="81" s="1"/>
  <c r="AC44" i="81" l="1"/>
  <c r="AB77" i="81"/>
  <c r="AC77" i="81" s="1"/>
  <c r="AB66" i="81"/>
  <c r="AC66" i="81" s="1"/>
  <c r="AB70" i="81"/>
  <c r="AC70" i="81" s="1"/>
  <c r="AC76" i="81"/>
  <c r="AB69" i="81"/>
  <c r="AC69" i="81" s="1"/>
  <c r="AB58" i="81"/>
  <c r="AC58" i="81" s="1"/>
  <c r="L86" i="81"/>
  <c r="AB68" i="81"/>
  <c r="AC68" i="81" s="1"/>
  <c r="AB71" i="81"/>
  <c r="AC71" i="81" s="1"/>
  <c r="W50" i="81"/>
  <c r="AB47" i="81"/>
  <c r="AC50" i="81" s="1"/>
  <c r="AC81" i="81" s="1"/>
  <c r="L84" i="81" s="1"/>
  <c r="L87" i="81" l="1"/>
  <c r="L94" i="81"/>
  <c r="L90" i="81" l="1"/>
  <c r="L92" i="81" s="1"/>
  <c r="C177" i="80"/>
  <c r="C176" i="80"/>
  <c r="B136" i="80"/>
  <c r="B135" i="80"/>
  <c r="M86" i="80"/>
  <c r="V78" i="80"/>
  <c r="Y77" i="80"/>
  <c r="V77" i="80"/>
  <c r="Y76" i="80"/>
  <c r="V76" i="80"/>
  <c r="G76" i="80"/>
  <c r="I76" i="80" s="1"/>
  <c r="AB75" i="80"/>
  <c r="G75" i="80"/>
  <c r="I75" i="80" s="1"/>
  <c r="AB74" i="80"/>
  <c r="Y71" i="80"/>
  <c r="Y70" i="80"/>
  <c r="Y69" i="80"/>
  <c r="Y68" i="80"/>
  <c r="Y66" i="80"/>
  <c r="X65" i="80"/>
  <c r="Y58" i="80" s="1"/>
  <c r="G65" i="80"/>
  <c r="X64" i="80"/>
  <c r="X61" i="80"/>
  <c r="X60" i="80"/>
  <c r="AA56" i="80"/>
  <c r="J56" i="80"/>
  <c r="AA53" i="80"/>
  <c r="Z49" i="80"/>
  <c r="X49" i="80"/>
  <c r="G49" i="80"/>
  <c r="Z48" i="80"/>
  <c r="G48" i="80"/>
  <c r="Z47" i="80"/>
  <c r="G47" i="80"/>
  <c r="X40" i="80"/>
  <c r="K40" i="80"/>
  <c r="X39" i="80"/>
  <c r="AB40" i="80" s="1"/>
  <c r="X37" i="80"/>
  <c r="E37" i="80"/>
  <c r="D37" i="80"/>
  <c r="AC36" i="80"/>
  <c r="AB36" i="80"/>
  <c r="G36" i="80"/>
  <c r="L36" i="80" s="1"/>
  <c r="AC35" i="80"/>
  <c r="AB35" i="80"/>
  <c r="G35" i="80"/>
  <c r="L35" i="80" s="1"/>
  <c r="AC34" i="80"/>
  <c r="AB34" i="80"/>
  <c r="G34" i="80"/>
  <c r="L34" i="80" s="1"/>
  <c r="AC33" i="80"/>
  <c r="AB33" i="80"/>
  <c r="G33" i="80"/>
  <c r="L33" i="80" s="1"/>
  <c r="AC32" i="80"/>
  <c r="AB32" i="80"/>
  <c r="G32" i="80"/>
  <c r="L32" i="80" s="1"/>
  <c r="AC31" i="80"/>
  <c r="AB31" i="80"/>
  <c r="G31" i="80"/>
  <c r="L31" i="80" s="1"/>
  <c r="AC30" i="80"/>
  <c r="AB30" i="80"/>
  <c r="G30" i="80"/>
  <c r="L30" i="80" s="1"/>
  <c r="AC29" i="80"/>
  <c r="AB29" i="80"/>
  <c r="G29" i="80"/>
  <c r="L29" i="80" s="1"/>
  <c r="AC28" i="80"/>
  <c r="AC37" i="80" s="1"/>
  <c r="AB28" i="80"/>
  <c r="G28" i="80"/>
  <c r="G37" i="80" s="1"/>
  <c r="E26" i="80"/>
  <c r="D26" i="80"/>
  <c r="G25" i="80"/>
  <c r="K25" i="80" s="1"/>
  <c r="L25" i="80" s="1"/>
  <c r="I24" i="80"/>
  <c r="G24" i="80"/>
  <c r="K24" i="80" s="1"/>
  <c r="L24" i="80" s="1"/>
  <c r="I23" i="80"/>
  <c r="G23" i="80"/>
  <c r="K23" i="80" s="1"/>
  <c r="L23" i="80" s="1"/>
  <c r="G22" i="80"/>
  <c r="K22" i="80" s="1"/>
  <c r="L22" i="80" s="1"/>
  <c r="I21" i="80"/>
  <c r="G21" i="80"/>
  <c r="K21" i="80" s="1"/>
  <c r="L21" i="80" s="1"/>
  <c r="I20" i="80"/>
  <c r="G20" i="80"/>
  <c r="K20" i="80" s="1"/>
  <c r="L20" i="80" s="1"/>
  <c r="G19" i="80"/>
  <c r="K19" i="80" s="1"/>
  <c r="L19" i="80" s="1"/>
  <c r="I18" i="80"/>
  <c r="G18" i="80"/>
  <c r="K18" i="80" s="1"/>
  <c r="L18" i="80" s="1"/>
  <c r="I17" i="80"/>
  <c r="G17" i="80"/>
  <c r="K17" i="80" s="1"/>
  <c r="L17" i="80" s="1"/>
  <c r="G16" i="80"/>
  <c r="K16" i="80" s="1"/>
  <c r="L16" i="80" s="1"/>
  <c r="I15" i="80"/>
  <c r="G15" i="80"/>
  <c r="M15" i="80" s="1"/>
  <c r="G14" i="80"/>
  <c r="K14" i="80" s="1"/>
  <c r="I13" i="80"/>
  <c r="G13" i="80"/>
  <c r="K13" i="80" s="1"/>
  <c r="L13" i="80" s="1"/>
  <c r="G12" i="80"/>
  <c r="K12" i="80" s="1"/>
  <c r="L12" i="80" s="1"/>
  <c r="I11" i="80"/>
  <c r="G11" i="80"/>
  <c r="M11" i="80" s="1"/>
  <c r="G10" i="80"/>
  <c r="AB7" i="80"/>
  <c r="X47" i="80" s="1"/>
  <c r="X7" i="80"/>
  <c r="V4" i="80"/>
  <c r="B3" i="80"/>
  <c r="V2" i="80"/>
  <c r="G26" i="80" l="1"/>
  <c r="K84" i="80" s="1"/>
  <c r="L76" i="80"/>
  <c r="Z75" i="80"/>
  <c r="K15" i="80"/>
  <c r="L15" i="80" s="1"/>
  <c r="K11" i="80"/>
  <c r="L11" i="80" s="1"/>
  <c r="AC75" i="80"/>
  <c r="G56" i="80"/>
  <c r="K57" i="80" s="1"/>
  <c r="C48" i="80"/>
  <c r="K48" i="80" s="1"/>
  <c r="L14" i="80"/>
  <c r="C49" i="80"/>
  <c r="K49" i="80" s="1"/>
  <c r="L75" i="80"/>
  <c r="Z74" i="80"/>
  <c r="AC74" i="80" s="1"/>
  <c r="M13" i="80"/>
  <c r="L28" i="80"/>
  <c r="L37" i="80" s="1"/>
  <c r="X48" i="80"/>
  <c r="K10" i="80"/>
  <c r="L40" i="80" l="1"/>
  <c r="X17" i="80"/>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10" i="80"/>
  <c r="L26" i="80" s="1"/>
  <c r="L44" i="80" s="1"/>
  <c r="K26" i="80"/>
  <c r="G53" i="80" s="1"/>
  <c r="K54" i="80" s="1"/>
  <c r="K69" i="80"/>
  <c r="L69" i="80" s="1"/>
  <c r="K72" i="80"/>
  <c r="L72" i="80" s="1"/>
  <c r="K71" i="80" l="1"/>
  <c r="L71" i="80" s="1"/>
  <c r="L77" i="80"/>
  <c r="K70" i="80"/>
  <c r="L70" i="80" s="1"/>
  <c r="K59" i="80"/>
  <c r="L59" i="80" s="1"/>
  <c r="K78" i="80"/>
  <c r="L78" i="80" s="1"/>
  <c r="K67" i="80"/>
  <c r="L67" i="80" s="1"/>
  <c r="X26" i="80"/>
  <c r="AB10" i="80"/>
  <c r="AC12" i="80"/>
  <c r="W48" i="80"/>
  <c r="AB48" i="80" s="1"/>
  <c r="C50" i="80"/>
  <c r="K47" i="80"/>
  <c r="L50" i="80" s="1"/>
  <c r="L82" i="80" s="1"/>
  <c r="AC14" i="80"/>
  <c r="W49" i="80"/>
  <c r="AB49" i="80" s="1"/>
  <c r="K86" i="80" l="1"/>
  <c r="AB26" i="80"/>
  <c r="X53" i="80" s="1"/>
  <c r="AB54" i="80" s="1"/>
  <c r="AC10" i="80"/>
  <c r="AC26" i="80" s="1"/>
  <c r="W47" i="80"/>
  <c r="X56" i="80"/>
  <c r="AB57"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M86" i="79"/>
  <c r="V78" i="79"/>
  <c r="Y77" i="79"/>
  <c r="V77" i="79"/>
  <c r="Y76" i="79"/>
  <c r="V76" i="79"/>
  <c r="G76" i="79"/>
  <c r="I76" i="79" s="1"/>
  <c r="Z75" i="79" s="1"/>
  <c r="AB75" i="79"/>
  <c r="G75" i="79"/>
  <c r="I75" i="79" s="1"/>
  <c r="AB74" i="79"/>
  <c r="Y71" i="79"/>
  <c r="Y70" i="79"/>
  <c r="Y69" i="79"/>
  <c r="Y68" i="79"/>
  <c r="Y66" i="79"/>
  <c r="X65" i="79"/>
  <c r="G65" i="79"/>
  <c r="X64" i="79"/>
  <c r="X61" i="79"/>
  <c r="X60" i="79"/>
  <c r="J56" i="79"/>
  <c r="AA56" i="79" s="1"/>
  <c r="AA53" i="79"/>
  <c r="Z49" i="79"/>
  <c r="X49" i="79"/>
  <c r="G49" i="79"/>
  <c r="Z48" i="79"/>
  <c r="X48" i="79"/>
  <c r="G48" i="79"/>
  <c r="Z47" i="79"/>
  <c r="G47" i="79"/>
  <c r="X40" i="79"/>
  <c r="K40" i="79"/>
  <c r="X39" i="79"/>
  <c r="AB40" i="79" s="1"/>
  <c r="AC37" i="79"/>
  <c r="X37" i="79"/>
  <c r="E37" i="79"/>
  <c r="D37" i="79"/>
  <c r="AC36" i="79"/>
  <c r="AB36" i="79"/>
  <c r="G36" i="79"/>
  <c r="L36" i="79" s="1"/>
  <c r="AC35" i="79"/>
  <c r="AB35" i="79"/>
  <c r="G35" i="79"/>
  <c r="L35" i="79" s="1"/>
  <c r="AC34" i="79"/>
  <c r="AB34" i="79"/>
  <c r="G34" i="79"/>
  <c r="L34" i="79" s="1"/>
  <c r="AC33" i="79"/>
  <c r="AB33" i="79"/>
  <c r="G33" i="79"/>
  <c r="L33" i="79" s="1"/>
  <c r="AC32" i="79"/>
  <c r="AB32" i="79"/>
  <c r="G32" i="79"/>
  <c r="L32" i="79" s="1"/>
  <c r="AC31" i="79"/>
  <c r="AB31" i="79"/>
  <c r="G31" i="79"/>
  <c r="L31" i="79" s="1"/>
  <c r="AC30" i="79"/>
  <c r="AB30" i="79"/>
  <c r="G30" i="79"/>
  <c r="L30" i="79" s="1"/>
  <c r="AC29" i="79"/>
  <c r="AB29" i="79"/>
  <c r="G29" i="79"/>
  <c r="L29" i="79" s="1"/>
  <c r="AC28" i="79"/>
  <c r="AB28" i="79"/>
  <c r="G28" i="79"/>
  <c r="E26" i="79"/>
  <c r="D26" i="79"/>
  <c r="G25" i="79"/>
  <c r="K25" i="79" s="1"/>
  <c r="L25" i="79" s="1"/>
  <c r="I24" i="79"/>
  <c r="G24" i="79"/>
  <c r="I23" i="79"/>
  <c r="G23" i="79"/>
  <c r="K23" i="79" s="1"/>
  <c r="L23" i="79" s="1"/>
  <c r="G22" i="79"/>
  <c r="K22" i="79" s="1"/>
  <c r="L22" i="79" s="1"/>
  <c r="I21" i="79"/>
  <c r="G21" i="79"/>
  <c r="I20" i="79"/>
  <c r="G20" i="79"/>
  <c r="K20" i="79" s="1"/>
  <c r="L20" i="79" s="1"/>
  <c r="G19" i="79"/>
  <c r="K19" i="79" s="1"/>
  <c r="L19" i="79" s="1"/>
  <c r="I18" i="79"/>
  <c r="G18" i="79"/>
  <c r="I17" i="79"/>
  <c r="G17" i="79"/>
  <c r="K17" i="79" s="1"/>
  <c r="L17" i="79" s="1"/>
  <c r="G16" i="79"/>
  <c r="K16" i="79" s="1"/>
  <c r="L16" i="79" s="1"/>
  <c r="I15" i="79"/>
  <c r="G15" i="79"/>
  <c r="M15" i="79" s="1"/>
  <c r="G14" i="79"/>
  <c r="K14" i="79" s="1"/>
  <c r="L14" i="79" s="1"/>
  <c r="I13" i="79"/>
  <c r="G13" i="79"/>
  <c r="K13" i="79" s="1"/>
  <c r="L13" i="79" s="1"/>
  <c r="G12" i="79"/>
  <c r="K12" i="79" s="1"/>
  <c r="I11" i="79"/>
  <c r="G11" i="79"/>
  <c r="K11" i="79" s="1"/>
  <c r="L11" i="79" s="1"/>
  <c r="G10" i="79"/>
  <c r="K10" i="79" s="1"/>
  <c r="AB7" i="79"/>
  <c r="X47" i="79" s="1"/>
  <c r="X7" i="79"/>
  <c r="V4" i="79"/>
  <c r="B3" i="79"/>
  <c r="V2" i="79"/>
  <c r="K21" i="79" l="1"/>
  <c r="L21" i="79" s="1"/>
  <c r="K18" i="79"/>
  <c r="L18" i="79" s="1"/>
  <c r="K24" i="79"/>
  <c r="L24" i="79" s="1"/>
  <c r="AC75" i="79"/>
  <c r="K15" i="79"/>
  <c r="L15" i="79" s="1"/>
  <c r="G37" i="79"/>
  <c r="L28" i="79"/>
  <c r="L37" i="79" s="1"/>
  <c r="M11" i="79"/>
  <c r="C48" i="79"/>
  <c r="K48" i="79" s="1"/>
  <c r="M13" i="79"/>
  <c r="G26" i="79"/>
  <c r="L12" i="79"/>
  <c r="L76" i="79"/>
  <c r="C47" i="79"/>
  <c r="L10" i="79"/>
  <c r="K26" i="79"/>
  <c r="G53" i="79" s="1"/>
  <c r="K54" i="79" s="1"/>
  <c r="L75" i="79"/>
  <c r="Z74" i="79"/>
  <c r="AC74" i="79" s="1"/>
  <c r="C49" i="79"/>
  <c r="K49" i="79" s="1"/>
  <c r="Y58" i="79"/>
  <c r="L26" i="79" l="1"/>
  <c r="K71" i="79"/>
  <c r="L71" i="79" s="1"/>
  <c r="K78" i="79"/>
  <c r="L78" i="79" s="1"/>
  <c r="K67" i="79"/>
  <c r="L67" i="79" s="1"/>
  <c r="L77" i="79"/>
  <c r="K70" i="79"/>
  <c r="L70" i="79" s="1"/>
  <c r="K59" i="79"/>
  <c r="L59" i="79" s="1"/>
  <c r="C50" i="79"/>
  <c r="K47" i="79"/>
  <c r="L50" i="79" s="1"/>
  <c r="L40" i="79"/>
  <c r="L44" i="79" s="1"/>
  <c r="G56" i="79"/>
  <c r="K57" i="79" s="1"/>
  <c r="K84" i="79"/>
  <c r="K72" i="79" l="1"/>
  <c r="L72" i="79" s="1"/>
  <c r="K69" i="79"/>
  <c r="L69" i="79" s="1"/>
  <c r="L82" i="79"/>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K86" i="79" l="1"/>
  <c r="AC12" i="79"/>
  <c r="W48" i="79"/>
  <c r="AB48" i="79" s="1"/>
  <c r="L86" i="79"/>
  <c r="AC14" i="79"/>
  <c r="W49" i="79"/>
  <c r="AB49" i="79" s="1"/>
  <c r="X26" i="79"/>
  <c r="AB10" i="79"/>
  <c r="L94" i="79" l="1"/>
  <c r="X56" i="79"/>
  <c r="AB57" i="79" s="1"/>
  <c r="AC40" i="79"/>
  <c r="L87" i="79"/>
  <c r="AB26" i="79"/>
  <c r="X53" i="79" s="1"/>
  <c r="AB54" i="79" s="1"/>
  <c r="AC10" i="79"/>
  <c r="AC26" i="79" s="1"/>
  <c r="AC44" i="79" s="1"/>
  <c r="W47" i="79"/>
  <c r="L90" i="79" l="1"/>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M86" i="77"/>
  <c r="V78" i="77"/>
  <c r="Y77" i="77"/>
  <c r="V77" i="77"/>
  <c r="Y76" i="77"/>
  <c r="V76" i="77"/>
  <c r="G76" i="77"/>
  <c r="I76" i="77" s="1"/>
  <c r="Z75" i="77" s="1"/>
  <c r="AB75" i="77"/>
  <c r="G75" i="77"/>
  <c r="I75" i="77" s="1"/>
  <c r="AB74" i="77"/>
  <c r="Y71" i="77"/>
  <c r="Y70" i="77"/>
  <c r="Y69" i="77"/>
  <c r="Y68" i="77"/>
  <c r="Y66" i="77"/>
  <c r="X65" i="77"/>
  <c r="Y58" i="77" s="1"/>
  <c r="G65" i="77"/>
  <c r="X64" i="77"/>
  <c r="X61" i="77"/>
  <c r="X60" i="77"/>
  <c r="AA56" i="77"/>
  <c r="J56" i="77"/>
  <c r="AA53" i="77"/>
  <c r="Z49" i="77"/>
  <c r="G49" i="77"/>
  <c r="Z48" i="77"/>
  <c r="G48" i="77"/>
  <c r="Z47" i="77"/>
  <c r="G47" i="77"/>
  <c r="X40" i="77"/>
  <c r="K40" i="77"/>
  <c r="X39" i="77"/>
  <c r="AB40" i="77" s="1"/>
  <c r="X37" i="77"/>
  <c r="E37" i="77"/>
  <c r="D37" i="77"/>
  <c r="AC36" i="77"/>
  <c r="AB36" i="77"/>
  <c r="G36" i="77"/>
  <c r="L36" i="77" s="1"/>
  <c r="AC35" i="77"/>
  <c r="AB35" i="77"/>
  <c r="G35" i="77"/>
  <c r="L35" i="77" s="1"/>
  <c r="AC34" i="77"/>
  <c r="AB34" i="77"/>
  <c r="G34" i="77"/>
  <c r="L34" i="77" s="1"/>
  <c r="AC33" i="77"/>
  <c r="AB33" i="77"/>
  <c r="G33" i="77"/>
  <c r="L33" i="77" s="1"/>
  <c r="AC32" i="77"/>
  <c r="AB32" i="77"/>
  <c r="G32" i="77"/>
  <c r="L32" i="77" s="1"/>
  <c r="AC31" i="77"/>
  <c r="AB31" i="77"/>
  <c r="G31" i="77"/>
  <c r="L31" i="77" s="1"/>
  <c r="AC30" i="77"/>
  <c r="AB30" i="77"/>
  <c r="G30" i="77"/>
  <c r="L30" i="77" s="1"/>
  <c r="AC29" i="77"/>
  <c r="AB29" i="77"/>
  <c r="G29" i="77"/>
  <c r="L29" i="77" s="1"/>
  <c r="AC28" i="77"/>
  <c r="AC37" i="77" s="1"/>
  <c r="AB28" i="77"/>
  <c r="G28" i="77"/>
  <c r="E26" i="77"/>
  <c r="D26" i="77"/>
  <c r="G25" i="77"/>
  <c r="K25" i="77" s="1"/>
  <c r="L25" i="77" s="1"/>
  <c r="I24" i="77"/>
  <c r="G24" i="77"/>
  <c r="K24" i="77" s="1"/>
  <c r="L24" i="77" s="1"/>
  <c r="I23" i="77"/>
  <c r="G23" i="77"/>
  <c r="K23" i="77" s="1"/>
  <c r="L23" i="77" s="1"/>
  <c r="G22" i="77"/>
  <c r="K22" i="77" s="1"/>
  <c r="L22" i="77" s="1"/>
  <c r="I21" i="77"/>
  <c r="G21" i="77"/>
  <c r="K21" i="77" s="1"/>
  <c r="L21" i="77" s="1"/>
  <c r="I20" i="77"/>
  <c r="G20" i="77"/>
  <c r="K20" i="77" s="1"/>
  <c r="L20" i="77" s="1"/>
  <c r="G19" i="77"/>
  <c r="K19" i="77" s="1"/>
  <c r="L19" i="77" s="1"/>
  <c r="I18" i="77"/>
  <c r="G18" i="77"/>
  <c r="K18" i="77" s="1"/>
  <c r="L18" i="77" s="1"/>
  <c r="I17" i="77"/>
  <c r="G17" i="77"/>
  <c r="K17" i="77" s="1"/>
  <c r="L17" i="77" s="1"/>
  <c r="G16" i="77"/>
  <c r="K16" i="77" s="1"/>
  <c r="L16" i="77" s="1"/>
  <c r="I15" i="77"/>
  <c r="G15" i="77"/>
  <c r="M15" i="77" s="1"/>
  <c r="G14" i="77"/>
  <c r="K14" i="77" s="1"/>
  <c r="I13" i="77"/>
  <c r="G13" i="77"/>
  <c r="K13" i="77" s="1"/>
  <c r="L13" i="77" s="1"/>
  <c r="G12" i="77"/>
  <c r="K12" i="77" s="1"/>
  <c r="I11" i="77"/>
  <c r="G11" i="77"/>
  <c r="G10" i="77"/>
  <c r="AB7" i="77"/>
  <c r="X47" i="77" s="1"/>
  <c r="X7" i="77"/>
  <c r="V4" i="77"/>
  <c r="B3" i="77"/>
  <c r="V2" i="77"/>
  <c r="C48" i="77" l="1"/>
  <c r="K48" i="77" s="1"/>
  <c r="G26" i="77"/>
  <c r="K84" i="77" s="1"/>
  <c r="K11" i="77"/>
  <c r="L11" i="77" s="1"/>
  <c r="K15" i="77"/>
  <c r="L15" i="77" s="1"/>
  <c r="M11" i="77"/>
  <c r="G37" i="77"/>
  <c r="L75" i="77"/>
  <c r="Z74" i="77"/>
  <c r="AC74" i="77" s="1"/>
  <c r="AC75" i="77"/>
  <c r="L14" i="77"/>
  <c r="C49" i="77"/>
  <c r="K49" i="77" s="1"/>
  <c r="L12" i="77"/>
  <c r="M13" i="77"/>
  <c r="X49" i="77"/>
  <c r="L76" i="77"/>
  <c r="L28" i="77"/>
  <c r="L37" i="77" s="1"/>
  <c r="X48" i="77"/>
  <c r="K10" i="77"/>
  <c r="L40" i="77" l="1"/>
  <c r="G56" i="77"/>
  <c r="K57" i="77" s="1"/>
  <c r="C47" i="77"/>
  <c r="L10" i="77"/>
  <c r="L26" i="77" s="1"/>
  <c r="L44" i="77" s="1"/>
  <c r="K26" i="77"/>
  <c r="G53" i="77" s="1"/>
  <c r="K54" i="77" s="1"/>
  <c r="K72" i="77"/>
  <c r="L72" i="77" s="1"/>
  <c r="K69" i="77"/>
  <c r="L69" i="77" s="1"/>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C50" i="77" l="1"/>
  <c r="K47" i="77"/>
  <c r="L50" i="77" s="1"/>
  <c r="X26" i="77"/>
  <c r="AB10" i="77"/>
  <c r="AC14" i="77"/>
  <c r="W49" i="77"/>
  <c r="AB49" i="77" s="1"/>
  <c r="K71" i="77"/>
  <c r="L71" i="77" s="1"/>
  <c r="K67" i="77"/>
  <c r="L67" i="77" s="1"/>
  <c r="L77" i="77"/>
  <c r="K70" i="77"/>
  <c r="L70" i="77" s="1"/>
  <c r="K59" i="77"/>
  <c r="L59" i="77" s="1"/>
  <c r="K78" i="77"/>
  <c r="L78" i="77" s="1"/>
  <c r="AC12" i="77"/>
  <c r="W48" i="77"/>
  <c r="AB48" i="77" s="1"/>
  <c r="L82" i="77" l="1"/>
  <c r="K86" i="77" s="1"/>
  <c r="AB26" i="77"/>
  <c r="X53" i="77" s="1"/>
  <c r="AB54" i="77" s="1"/>
  <c r="AC10" i="77"/>
  <c r="AC26" i="77" s="1"/>
  <c r="W47" i="77"/>
  <c r="X56" i="77"/>
  <c r="AB57"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M86" i="76"/>
  <c r="V78" i="76"/>
  <c r="Y77" i="76"/>
  <c r="V77" i="76"/>
  <c r="Y76" i="76"/>
  <c r="V76" i="76"/>
  <c r="G76" i="76"/>
  <c r="I76" i="76" s="1"/>
  <c r="AB75" i="76"/>
  <c r="G75" i="76"/>
  <c r="I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C36" i="76"/>
  <c r="AB36" i="76"/>
  <c r="G36" i="76"/>
  <c r="L36" i="76" s="1"/>
  <c r="AC35" i="76"/>
  <c r="AB35" i="76"/>
  <c r="G35" i="76"/>
  <c r="L35" i="76" s="1"/>
  <c r="AC34" i="76"/>
  <c r="AB34" i="76"/>
  <c r="G34" i="76"/>
  <c r="L34" i="76" s="1"/>
  <c r="AC33" i="76"/>
  <c r="AB33" i="76"/>
  <c r="G33" i="76"/>
  <c r="L33" i="76" s="1"/>
  <c r="AC32" i="76"/>
  <c r="AB32" i="76"/>
  <c r="G32" i="76"/>
  <c r="L32" i="76" s="1"/>
  <c r="AC31" i="76"/>
  <c r="AB31" i="76"/>
  <c r="G31" i="76"/>
  <c r="L31" i="76" s="1"/>
  <c r="AC30" i="76"/>
  <c r="AB30" i="76"/>
  <c r="G30" i="76"/>
  <c r="L30" i="76" s="1"/>
  <c r="AC29" i="76"/>
  <c r="AB29" i="76"/>
  <c r="G29" i="76"/>
  <c r="L29" i="76" s="1"/>
  <c r="AC28" i="76"/>
  <c r="AC37" i="76" s="1"/>
  <c r="AB28" i="76"/>
  <c r="G28" i="76"/>
  <c r="E26" i="76"/>
  <c r="D26" i="76"/>
  <c r="G25" i="76"/>
  <c r="K25" i="76" s="1"/>
  <c r="L25" i="76" s="1"/>
  <c r="I24" i="76"/>
  <c r="G24" i="76"/>
  <c r="K24" i="76" s="1"/>
  <c r="L24" i="76" s="1"/>
  <c r="I23" i="76"/>
  <c r="G23" i="76"/>
  <c r="K23" i="76" s="1"/>
  <c r="L23" i="76" s="1"/>
  <c r="G22" i="76"/>
  <c r="K22" i="76" s="1"/>
  <c r="L22" i="76" s="1"/>
  <c r="I21" i="76"/>
  <c r="G21" i="76"/>
  <c r="K21" i="76" s="1"/>
  <c r="L21" i="76" s="1"/>
  <c r="I20" i="76"/>
  <c r="G20" i="76"/>
  <c r="K20" i="76" s="1"/>
  <c r="L20" i="76" s="1"/>
  <c r="G19" i="76"/>
  <c r="K19" i="76" s="1"/>
  <c r="L19" i="76" s="1"/>
  <c r="I18" i="76"/>
  <c r="G18" i="76"/>
  <c r="K18" i="76" s="1"/>
  <c r="L18" i="76" s="1"/>
  <c r="I17" i="76"/>
  <c r="G17" i="76"/>
  <c r="K17" i="76" s="1"/>
  <c r="L17" i="76" s="1"/>
  <c r="G16" i="76"/>
  <c r="K16" i="76" s="1"/>
  <c r="L16" i="76" s="1"/>
  <c r="I15" i="76"/>
  <c r="G15" i="76"/>
  <c r="M15" i="76" s="1"/>
  <c r="G14" i="76"/>
  <c r="K14" i="76" s="1"/>
  <c r="I13" i="76"/>
  <c r="G13" i="76"/>
  <c r="K13" i="76" s="1"/>
  <c r="L13" i="76" s="1"/>
  <c r="G12" i="76"/>
  <c r="K12" i="76" s="1"/>
  <c r="L12" i="76" s="1"/>
  <c r="I11" i="76"/>
  <c r="G11" i="76"/>
  <c r="G10" i="76"/>
  <c r="AB7" i="76"/>
  <c r="X47" i="76" s="1"/>
  <c r="X7" i="76"/>
  <c r="V4" i="76"/>
  <c r="B3" i="76"/>
  <c r="V2" i="76"/>
  <c r="K11" i="76" l="1"/>
  <c r="L11" i="76" s="1"/>
  <c r="L76" i="76"/>
  <c r="Z75" i="76"/>
  <c r="K15" i="76"/>
  <c r="L15" i="76" s="1"/>
  <c r="AC75" i="76"/>
  <c r="G26" i="76"/>
  <c r="K84" i="76" s="1"/>
  <c r="G37" i="76"/>
  <c r="M11" i="76"/>
  <c r="L75" i="76"/>
  <c r="Z74" i="76"/>
  <c r="AC74" i="76" s="1"/>
  <c r="L14" i="76"/>
  <c r="C49" i="76"/>
  <c r="K49" i="76" s="1"/>
  <c r="Y58" i="76"/>
  <c r="X49" i="76"/>
  <c r="K10" i="76"/>
  <c r="L28" i="76"/>
  <c r="L37" i="76" s="1"/>
  <c r="C48" i="76"/>
  <c r="K48" i="76" s="1"/>
  <c r="X48" i="76"/>
  <c r="M13" i="76"/>
  <c r="G56" i="76" l="1"/>
  <c r="K57" i="76" s="1"/>
  <c r="L40" i="76"/>
  <c r="C47" i="76"/>
  <c r="L10" i="76"/>
  <c r="L26" i="76" s="1"/>
  <c r="L44" i="76" s="1"/>
  <c r="K26" i="76"/>
  <c r="G53" i="76" s="1"/>
  <c r="K54" i="76" s="1"/>
  <c r="K69" i="76"/>
  <c r="L69" i="76" s="1"/>
  <c r="K72" i="76"/>
  <c r="L72"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AB10" i="76" l="1"/>
  <c r="X26" i="76"/>
  <c r="K71" i="76"/>
  <c r="L71" i="76" s="1"/>
  <c r="L77" i="76"/>
  <c r="K70" i="76"/>
  <c r="L70" i="76" s="1"/>
  <c r="K59" i="76"/>
  <c r="L59" i="76" s="1"/>
  <c r="K78" i="76"/>
  <c r="L78" i="76" s="1"/>
  <c r="K67" i="76"/>
  <c r="L67" i="76" s="1"/>
  <c r="AC12" i="76"/>
  <c r="W48" i="76"/>
  <c r="AB48" i="76" s="1"/>
  <c r="AC14" i="76"/>
  <c r="W49" i="76"/>
  <c r="AB49" i="76" s="1"/>
  <c r="K47" i="76"/>
  <c r="L50" i="76" s="1"/>
  <c r="C50" i="76"/>
  <c r="L82" i="76" l="1"/>
  <c r="K86" i="76" s="1"/>
  <c r="X56" i="76"/>
  <c r="AB57"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M86" i="75"/>
  <c r="V78" i="75"/>
  <c r="Y77" i="75"/>
  <c r="V77" i="75"/>
  <c r="Y76" i="75"/>
  <c r="V76" i="75"/>
  <c r="G76" i="75"/>
  <c r="I76" i="75" s="1"/>
  <c r="L76" i="75" s="1"/>
  <c r="AB75" i="75"/>
  <c r="G75" i="75"/>
  <c r="I75" i="75" s="1"/>
  <c r="Z74" i="75" s="1"/>
  <c r="AC74" i="75" s="1"/>
  <c r="AB74" i="75"/>
  <c r="Y71" i="75"/>
  <c r="Y70" i="75"/>
  <c r="Y69" i="75"/>
  <c r="Y68" i="75"/>
  <c r="Y66" i="75"/>
  <c r="X65" i="75"/>
  <c r="G65" i="75"/>
  <c r="X64" i="75" s="1"/>
  <c r="Y58" i="75" s="1"/>
  <c r="X61" i="75"/>
  <c r="X60" i="75"/>
  <c r="AA56" i="75"/>
  <c r="J56" i="75"/>
  <c r="AA53" i="75"/>
  <c r="Z49" i="75"/>
  <c r="G49" i="75"/>
  <c r="Z48" i="75"/>
  <c r="G48" i="75"/>
  <c r="Z47" i="75"/>
  <c r="G47" i="75"/>
  <c r="X40" i="75"/>
  <c r="K40" i="75"/>
  <c r="X39" i="75"/>
  <c r="AB40" i="75" s="1"/>
  <c r="X37" i="75"/>
  <c r="E37" i="75"/>
  <c r="D37" i="75"/>
  <c r="AB36" i="75"/>
  <c r="AC36" i="75" s="1"/>
  <c r="G36" i="75"/>
  <c r="L36" i="75" s="1"/>
  <c r="AB35" i="75"/>
  <c r="AC35" i="75" s="1"/>
  <c r="G35" i="75"/>
  <c r="L35" i="75" s="1"/>
  <c r="AC34" i="75"/>
  <c r="AB34" i="75"/>
  <c r="G34" i="75"/>
  <c r="L34" i="75" s="1"/>
  <c r="AB33" i="75"/>
  <c r="AC33" i="75" s="1"/>
  <c r="G33" i="75"/>
  <c r="L33" i="75" s="1"/>
  <c r="AB32" i="75"/>
  <c r="AC32" i="75" s="1"/>
  <c r="G32" i="75"/>
  <c r="L32" i="75" s="1"/>
  <c r="AB31" i="75"/>
  <c r="AC31" i="75" s="1"/>
  <c r="G31" i="75"/>
  <c r="L31" i="75" s="1"/>
  <c r="AC30" i="75"/>
  <c r="AB30" i="75"/>
  <c r="G30" i="75"/>
  <c r="L30" i="75" s="1"/>
  <c r="AB29" i="75"/>
  <c r="AC29" i="75" s="1"/>
  <c r="G29" i="75"/>
  <c r="L29" i="75" s="1"/>
  <c r="AB28" i="75"/>
  <c r="AC28" i="75" s="1"/>
  <c r="AC37" i="75" s="1"/>
  <c r="G28" i="75"/>
  <c r="L28" i="75" s="1"/>
  <c r="E26" i="75"/>
  <c r="D26" i="75"/>
  <c r="G25" i="75"/>
  <c r="K25" i="75" s="1"/>
  <c r="L25" i="75" s="1"/>
  <c r="I24" i="75"/>
  <c r="G24" i="75"/>
  <c r="K24" i="75" s="1"/>
  <c r="L24" i="75" s="1"/>
  <c r="I23" i="75"/>
  <c r="G23" i="75"/>
  <c r="K23" i="75" s="1"/>
  <c r="L23" i="75" s="1"/>
  <c r="G22" i="75"/>
  <c r="K22" i="75" s="1"/>
  <c r="L22" i="75" s="1"/>
  <c r="I21" i="75"/>
  <c r="G21" i="75"/>
  <c r="K21" i="75" s="1"/>
  <c r="L21" i="75" s="1"/>
  <c r="I20" i="75"/>
  <c r="G20" i="75"/>
  <c r="K20" i="75" s="1"/>
  <c r="L20" i="75" s="1"/>
  <c r="G19" i="75"/>
  <c r="K19" i="75" s="1"/>
  <c r="L19" i="75" s="1"/>
  <c r="I18" i="75"/>
  <c r="G18" i="75"/>
  <c r="K18" i="75" s="1"/>
  <c r="L18" i="75" s="1"/>
  <c r="I17" i="75"/>
  <c r="G17" i="75"/>
  <c r="K17" i="75" s="1"/>
  <c r="L17" i="75" s="1"/>
  <c r="G16" i="75"/>
  <c r="K16" i="75" s="1"/>
  <c r="L16" i="75" s="1"/>
  <c r="I15" i="75"/>
  <c r="G15" i="75"/>
  <c r="M15" i="75" s="1"/>
  <c r="G14" i="75"/>
  <c r="K14" i="75" s="1"/>
  <c r="L14" i="75" s="1"/>
  <c r="I13" i="75"/>
  <c r="G13" i="75"/>
  <c r="K13" i="75" s="1"/>
  <c r="L13" i="75" s="1"/>
  <c r="G12" i="75"/>
  <c r="K12" i="75" s="1"/>
  <c r="I11" i="75"/>
  <c r="G11" i="75"/>
  <c r="K11" i="75" s="1"/>
  <c r="L11" i="75" s="1"/>
  <c r="G10" i="75"/>
  <c r="K10" i="75" s="1"/>
  <c r="L10" i="75" s="1"/>
  <c r="AB7" i="75"/>
  <c r="X7" i="75"/>
  <c r="V4" i="75"/>
  <c r="B3" i="75"/>
  <c r="V2" i="75"/>
  <c r="K15" i="75" l="1"/>
  <c r="L15" i="75" s="1"/>
  <c r="L75" i="75"/>
  <c r="M11" i="75"/>
  <c r="L37" i="75"/>
  <c r="G37" i="75"/>
  <c r="X48" i="75"/>
  <c r="X49" i="75"/>
  <c r="C48" i="75"/>
  <c r="K48" i="75" s="1"/>
  <c r="M13" i="75"/>
  <c r="C49" i="75"/>
  <c r="K49" i="75" s="1"/>
  <c r="X47" i="75"/>
  <c r="K26" i="75"/>
  <c r="G53" i="75" s="1"/>
  <c r="K54" i="75" s="1"/>
  <c r="C47" i="75"/>
  <c r="Z75" i="75"/>
  <c r="AC75" i="75" s="1"/>
  <c r="G26" i="75"/>
  <c r="L40" i="75" s="1"/>
  <c r="L12" i="75"/>
  <c r="L26" i="75" s="1"/>
  <c r="K47" i="75" l="1"/>
  <c r="C50" i="75"/>
  <c r="L50" i="75"/>
  <c r="L44" i="75"/>
  <c r="K84" i="75"/>
  <c r="G56" i="75"/>
  <c r="K57" i="75" s="1"/>
  <c r="L77" i="75"/>
  <c r="K70" i="75"/>
  <c r="L70" i="75" s="1"/>
  <c r="K59" i="75"/>
  <c r="L59" i="75" s="1"/>
  <c r="K71" i="75"/>
  <c r="L71" i="75" s="1"/>
  <c r="K67" i="75"/>
  <c r="L67" i="75" s="1"/>
  <c r="K78" i="75"/>
  <c r="L78" i="75" s="1"/>
  <c r="K69" i="75" l="1"/>
  <c r="L69" i="75" s="1"/>
  <c r="K72" i="75"/>
  <c r="L72" i="75" s="1"/>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C40" i="75"/>
  <c r="W47" i="75"/>
  <c r="AC10" i="75"/>
  <c r="AC26" i="75" s="1"/>
  <c r="AC44" i="75" s="1"/>
  <c r="AB26" i="75"/>
  <c r="X53" i="75" s="1"/>
  <c r="AB54" i="75" s="1"/>
  <c r="L86" i="75"/>
  <c r="L87" i="75" l="1"/>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M86" i="74"/>
  <c r="V78" i="74"/>
  <c r="Y77" i="74"/>
  <c r="V77" i="74"/>
  <c r="Y76" i="74"/>
  <c r="V76" i="74"/>
  <c r="G76" i="74"/>
  <c r="I76" i="74" s="1"/>
  <c r="L76" i="74" s="1"/>
  <c r="AB75" i="74"/>
  <c r="G75" i="74"/>
  <c r="I75" i="74" s="1"/>
  <c r="AB74" i="74"/>
  <c r="Y71" i="74"/>
  <c r="Y70" i="74"/>
  <c r="Y69" i="74"/>
  <c r="Y68" i="74"/>
  <c r="Y66" i="74"/>
  <c r="X65" i="74"/>
  <c r="G65" i="74"/>
  <c r="X64" i="74" s="1"/>
  <c r="X61" i="74"/>
  <c r="X60" i="74"/>
  <c r="AA56" i="74"/>
  <c r="J56" i="74"/>
  <c r="AA53" i="74"/>
  <c r="Z49" i="74"/>
  <c r="G49" i="74"/>
  <c r="Z48" i="74"/>
  <c r="G48" i="74"/>
  <c r="Z47" i="74"/>
  <c r="G47" i="74"/>
  <c r="X40" i="74"/>
  <c r="K40" i="74"/>
  <c r="X39" i="74"/>
  <c r="AB40" i="74" s="1"/>
  <c r="X37" i="74"/>
  <c r="E37" i="74"/>
  <c r="D37" i="74"/>
  <c r="AC36" i="74"/>
  <c r="AB36" i="74"/>
  <c r="G36" i="74"/>
  <c r="L36" i="74" s="1"/>
  <c r="AC35" i="74"/>
  <c r="AB35" i="74"/>
  <c r="G35" i="74"/>
  <c r="L35" i="74" s="1"/>
  <c r="AC34" i="74"/>
  <c r="AB34" i="74"/>
  <c r="G34" i="74"/>
  <c r="L34" i="74" s="1"/>
  <c r="AC33" i="74"/>
  <c r="AB33" i="74"/>
  <c r="G33" i="74"/>
  <c r="L33" i="74" s="1"/>
  <c r="AC32" i="74"/>
  <c r="AB32" i="74"/>
  <c r="G32" i="74"/>
  <c r="L32" i="74" s="1"/>
  <c r="AC31" i="74"/>
  <c r="AB31" i="74"/>
  <c r="G31" i="74"/>
  <c r="L31" i="74" s="1"/>
  <c r="AC30" i="74"/>
  <c r="AB30" i="74"/>
  <c r="G30" i="74"/>
  <c r="L30" i="74" s="1"/>
  <c r="AC29" i="74"/>
  <c r="AB29" i="74"/>
  <c r="G29" i="74"/>
  <c r="L29" i="74" s="1"/>
  <c r="AC28" i="74"/>
  <c r="AB28" i="74"/>
  <c r="G28" i="74"/>
  <c r="G37" i="74" s="1"/>
  <c r="E26" i="74"/>
  <c r="D26" i="74"/>
  <c r="G25" i="74"/>
  <c r="K25" i="74" s="1"/>
  <c r="L25" i="74" s="1"/>
  <c r="I24" i="74"/>
  <c r="G24" i="74"/>
  <c r="K24" i="74" s="1"/>
  <c r="L24" i="74" s="1"/>
  <c r="I23" i="74"/>
  <c r="G23" i="74"/>
  <c r="K23" i="74" s="1"/>
  <c r="L23" i="74" s="1"/>
  <c r="G22" i="74"/>
  <c r="K22" i="74" s="1"/>
  <c r="L22" i="74" s="1"/>
  <c r="I21" i="74"/>
  <c r="G21" i="74"/>
  <c r="K21" i="74" s="1"/>
  <c r="L21" i="74" s="1"/>
  <c r="I20" i="74"/>
  <c r="G20" i="74"/>
  <c r="K20" i="74" s="1"/>
  <c r="L20" i="74" s="1"/>
  <c r="G19" i="74"/>
  <c r="K19" i="74" s="1"/>
  <c r="L19" i="74" s="1"/>
  <c r="I18" i="74"/>
  <c r="G18" i="74"/>
  <c r="K18" i="74" s="1"/>
  <c r="L18" i="74" s="1"/>
  <c r="I17" i="74"/>
  <c r="G17" i="74"/>
  <c r="K17" i="74" s="1"/>
  <c r="L17" i="74" s="1"/>
  <c r="G16" i="74"/>
  <c r="K16" i="74" s="1"/>
  <c r="L16" i="74" s="1"/>
  <c r="I15" i="74"/>
  <c r="G15" i="74"/>
  <c r="M15" i="74" s="1"/>
  <c r="G14" i="74"/>
  <c r="K14" i="74" s="1"/>
  <c r="I13" i="74"/>
  <c r="G13" i="74"/>
  <c r="K13" i="74" s="1"/>
  <c r="L13" i="74" s="1"/>
  <c r="G12" i="74"/>
  <c r="K12" i="74" s="1"/>
  <c r="I11" i="74"/>
  <c r="G11" i="74"/>
  <c r="M11" i="74" s="1"/>
  <c r="G10" i="74"/>
  <c r="AB7" i="74"/>
  <c r="X7" i="74"/>
  <c r="V4" i="74"/>
  <c r="B3" i="74"/>
  <c r="V2" i="74"/>
  <c r="G26" i="74" l="1"/>
  <c r="K84" i="74" s="1"/>
  <c r="K11" i="74"/>
  <c r="L11" i="74" s="1"/>
  <c r="K15" i="74"/>
  <c r="L15" i="74" s="1"/>
  <c r="AC37" i="74"/>
  <c r="Y58" i="74"/>
  <c r="L75" i="74"/>
  <c r="Z74" i="74"/>
  <c r="AC74" i="74" s="1"/>
  <c r="L14" i="74"/>
  <c r="C49" i="74"/>
  <c r="K49" i="74" s="1"/>
  <c r="L12" i="74"/>
  <c r="C48" i="74"/>
  <c r="K48" i="74" s="1"/>
  <c r="X47" i="74"/>
  <c r="X48" i="74"/>
  <c r="X49" i="74"/>
  <c r="L40" i="74"/>
  <c r="Z75" i="74"/>
  <c r="AC75" i="74" s="1"/>
  <c r="K10" i="74"/>
  <c r="L28" i="74"/>
  <c r="L37" i="74" s="1"/>
  <c r="M13" i="74"/>
  <c r="G56" i="74" l="1"/>
  <c r="K5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K69" i="74"/>
  <c r="L69" i="74" s="1"/>
  <c r="K72" i="74"/>
  <c r="L72" i="74" s="1"/>
  <c r="C47" i="74"/>
  <c r="L10" i="74"/>
  <c r="L26" i="74" s="1"/>
  <c r="L44" i="74" s="1"/>
  <c r="K26" i="74"/>
  <c r="G53" i="74" s="1"/>
  <c r="K54" i="74" s="1"/>
  <c r="AC14" i="74" l="1"/>
  <c r="W49" i="74"/>
  <c r="AB49" i="74" s="1"/>
  <c r="K71" i="74"/>
  <c r="L71" i="74" s="1"/>
  <c r="L77" i="74"/>
  <c r="K70" i="74"/>
  <c r="L70" i="74" s="1"/>
  <c r="K59" i="74"/>
  <c r="L59" i="74" s="1"/>
  <c r="K78" i="74"/>
  <c r="L78" i="74" s="1"/>
  <c r="K67" i="74"/>
  <c r="L67" i="74" s="1"/>
  <c r="K47" i="74"/>
  <c r="L50" i="74" s="1"/>
  <c r="L82" i="74" s="1"/>
  <c r="C50" i="74"/>
  <c r="X26" i="74"/>
  <c r="AB10" i="74"/>
  <c r="W48" i="74"/>
  <c r="AB48" i="74" s="1"/>
  <c r="AC12" i="74"/>
  <c r="K86" i="74" l="1"/>
  <c r="X56" i="74"/>
  <c r="AB57" i="74" s="1"/>
  <c r="AC40" i="74"/>
  <c r="AB26" i="74"/>
  <c r="X53" i="74" s="1"/>
  <c r="AB54" i="74" s="1"/>
  <c r="W47" i="74"/>
  <c r="AC10" i="74"/>
  <c r="AC26" i="74" s="1"/>
  <c r="AC44" i="74" s="1"/>
  <c r="W50" i="74" l="1"/>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M86" i="73"/>
  <c r="V78" i="73"/>
  <c r="Y77" i="73"/>
  <c r="V77" i="73"/>
  <c r="Y76" i="73"/>
  <c r="V76" i="73"/>
  <c r="G76" i="73"/>
  <c r="I76" i="73" s="1"/>
  <c r="L76" i="73" s="1"/>
  <c r="AB75" i="73"/>
  <c r="G75" i="73"/>
  <c r="I75" i="73" s="1"/>
  <c r="AB74" i="73"/>
  <c r="Y71" i="73"/>
  <c r="Y70" i="73"/>
  <c r="Y69" i="73"/>
  <c r="Y68" i="73"/>
  <c r="Y66" i="73"/>
  <c r="X65" i="73"/>
  <c r="G65" i="73"/>
  <c r="X64" i="73"/>
  <c r="X61" i="73"/>
  <c r="X60" i="73"/>
  <c r="AA56" i="73"/>
  <c r="J56" i="73"/>
  <c r="AA53" i="73"/>
  <c r="Z49" i="73"/>
  <c r="G49" i="73"/>
  <c r="Z48" i="73"/>
  <c r="G48" i="73"/>
  <c r="Z47" i="73"/>
  <c r="G47" i="73"/>
  <c r="X40" i="73"/>
  <c r="K40" i="73"/>
  <c r="X39" i="73"/>
  <c r="AB40" i="73" s="1"/>
  <c r="X37" i="73"/>
  <c r="E37" i="73"/>
  <c r="D37" i="73"/>
  <c r="AC36" i="73"/>
  <c r="AB36" i="73"/>
  <c r="G36" i="73"/>
  <c r="L36" i="73" s="1"/>
  <c r="AC35" i="73"/>
  <c r="AB35" i="73"/>
  <c r="G35" i="73"/>
  <c r="L35" i="73" s="1"/>
  <c r="AC34" i="73"/>
  <c r="AB34" i="73"/>
  <c r="G34" i="73"/>
  <c r="L34" i="73" s="1"/>
  <c r="AC33" i="73"/>
  <c r="AB33" i="73"/>
  <c r="G33" i="73"/>
  <c r="L33" i="73" s="1"/>
  <c r="AC32" i="73"/>
  <c r="AB32" i="73"/>
  <c r="G32" i="73"/>
  <c r="L32" i="73" s="1"/>
  <c r="AC31" i="73"/>
  <c r="AB31" i="73"/>
  <c r="G31" i="73"/>
  <c r="L31" i="73" s="1"/>
  <c r="AC30" i="73"/>
  <c r="AB30" i="73"/>
  <c r="G30" i="73"/>
  <c r="L30" i="73" s="1"/>
  <c r="AC29" i="73"/>
  <c r="AB29" i="73"/>
  <c r="G29" i="73"/>
  <c r="L29" i="73" s="1"/>
  <c r="AC28" i="73"/>
  <c r="AB28" i="73"/>
  <c r="G28" i="73"/>
  <c r="E26" i="73"/>
  <c r="D26" i="73"/>
  <c r="G25" i="73"/>
  <c r="K25" i="73" s="1"/>
  <c r="L25" i="73" s="1"/>
  <c r="I24" i="73"/>
  <c r="G24" i="73"/>
  <c r="K24" i="73" s="1"/>
  <c r="L24" i="73" s="1"/>
  <c r="I23" i="73"/>
  <c r="G23" i="73"/>
  <c r="K23" i="73" s="1"/>
  <c r="L23" i="73" s="1"/>
  <c r="G22" i="73"/>
  <c r="K22" i="73" s="1"/>
  <c r="L22" i="73" s="1"/>
  <c r="I21" i="73"/>
  <c r="G21" i="73"/>
  <c r="K21" i="73" s="1"/>
  <c r="L21" i="73" s="1"/>
  <c r="I20" i="73"/>
  <c r="G20" i="73"/>
  <c r="K20" i="73" s="1"/>
  <c r="L20" i="73" s="1"/>
  <c r="G19" i="73"/>
  <c r="K19" i="73" s="1"/>
  <c r="L19" i="73" s="1"/>
  <c r="I18" i="73"/>
  <c r="G18" i="73"/>
  <c r="I17" i="73"/>
  <c r="G17" i="73"/>
  <c r="K17" i="73" s="1"/>
  <c r="L17" i="73" s="1"/>
  <c r="G16" i="73"/>
  <c r="K16" i="73" s="1"/>
  <c r="L16" i="73" s="1"/>
  <c r="I15" i="73"/>
  <c r="G15" i="73"/>
  <c r="K15" i="73" s="1"/>
  <c r="L15" i="73" s="1"/>
  <c r="G14" i="73"/>
  <c r="K14" i="73" s="1"/>
  <c r="I13" i="73"/>
  <c r="G13" i="73"/>
  <c r="G12" i="73"/>
  <c r="K12" i="73" s="1"/>
  <c r="L12" i="73" s="1"/>
  <c r="I11" i="73"/>
  <c r="G11" i="73"/>
  <c r="G10" i="73"/>
  <c r="AB7" i="73"/>
  <c r="X7" i="73"/>
  <c r="V4" i="73"/>
  <c r="B3" i="73"/>
  <c r="V2" i="73"/>
  <c r="K11" i="73" l="1"/>
  <c r="L11" i="73" s="1"/>
  <c r="K18" i="73"/>
  <c r="L18" i="73" s="1"/>
  <c r="L14" i="73"/>
  <c r="C49" i="73"/>
  <c r="K49" i="73" s="1"/>
  <c r="Y58" i="73"/>
  <c r="X47" i="73"/>
  <c r="X48" i="73"/>
  <c r="G37" i="73"/>
  <c r="L28" i="73"/>
  <c r="L37" i="73" s="1"/>
  <c r="G26" i="73"/>
  <c r="M13" i="73"/>
  <c r="M15" i="73"/>
  <c r="X49" i="73"/>
  <c r="L75" i="73"/>
  <c r="Z74" i="73"/>
  <c r="AC74" i="73" s="1"/>
  <c r="K10" i="73"/>
  <c r="M11" i="73"/>
  <c r="K13" i="73"/>
  <c r="L13" i="73" s="1"/>
  <c r="AC37" i="73"/>
  <c r="Z75" i="73"/>
  <c r="AC75" i="73" s="1"/>
  <c r="K84" i="73" l="1"/>
  <c r="G56" i="73"/>
  <c r="K57" i="73" s="1"/>
  <c r="L40" i="73"/>
  <c r="C47" i="73"/>
  <c r="L10" i="73"/>
  <c r="L26" i="73" s="1"/>
  <c r="K26" i="73"/>
  <c r="G53" i="73" s="1"/>
  <c r="K54" i="73" s="1"/>
  <c r="C48" i="73"/>
  <c r="K48" i="73" s="1"/>
  <c r="K71" i="73" l="1"/>
  <c r="L71" i="73" s="1"/>
  <c r="L77" i="73"/>
  <c r="K70" i="73"/>
  <c r="L70" i="73" s="1"/>
  <c r="K59" i="73"/>
  <c r="L59" i="73" s="1"/>
  <c r="K78" i="73"/>
  <c r="L78" i="73" s="1"/>
  <c r="K67" i="73"/>
  <c r="L67" i="73" s="1"/>
  <c r="K72" i="73"/>
  <c r="L72" i="73" s="1"/>
  <c r="K69" i="73"/>
  <c r="L69" i="73" s="1"/>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M86" i="71"/>
  <c r="V78" i="71"/>
  <c r="Y77" i="71"/>
  <c r="V77" i="71"/>
  <c r="Y76" i="71"/>
  <c r="V76" i="71"/>
  <c r="G76" i="71"/>
  <c r="I76" i="71" s="1"/>
  <c r="AB75" i="71"/>
  <c r="G75" i="71"/>
  <c r="I75" i="71" s="1"/>
  <c r="AB74" i="71"/>
  <c r="Y71" i="71"/>
  <c r="Y70" i="71"/>
  <c r="Y69" i="71"/>
  <c r="Y68" i="71"/>
  <c r="Y66" i="71"/>
  <c r="X65" i="71"/>
  <c r="Y58" i="71" s="1"/>
  <c r="G65" i="71"/>
  <c r="X64" i="71"/>
  <c r="X61" i="71"/>
  <c r="X60" i="71"/>
  <c r="J56" i="71"/>
  <c r="AA56" i="71" s="1"/>
  <c r="AA53" i="71"/>
  <c r="Z49" i="71"/>
  <c r="X49" i="71"/>
  <c r="G49" i="71"/>
  <c r="Z48" i="71"/>
  <c r="X48" i="71"/>
  <c r="G48" i="71"/>
  <c r="Z47" i="71"/>
  <c r="G47" i="71"/>
  <c r="X40" i="71"/>
  <c r="K40" i="71"/>
  <c r="X39" i="71"/>
  <c r="AB40" i="71" s="1"/>
  <c r="AC37" i="71"/>
  <c r="X37" i="71"/>
  <c r="E37" i="71"/>
  <c r="D37" i="71"/>
  <c r="AC36" i="71"/>
  <c r="AB36" i="71"/>
  <c r="G36" i="71"/>
  <c r="L36" i="71" s="1"/>
  <c r="AC35" i="71"/>
  <c r="AB35" i="71"/>
  <c r="G35" i="71"/>
  <c r="L35" i="71" s="1"/>
  <c r="AC34" i="71"/>
  <c r="AB34" i="71"/>
  <c r="G34" i="71"/>
  <c r="L34" i="71" s="1"/>
  <c r="AC33" i="71"/>
  <c r="AB33" i="71"/>
  <c r="G33" i="71"/>
  <c r="L33" i="71" s="1"/>
  <c r="AC32" i="71"/>
  <c r="AB32" i="71"/>
  <c r="G32" i="71"/>
  <c r="L32" i="71" s="1"/>
  <c r="AC31" i="71"/>
  <c r="AB31" i="71"/>
  <c r="G31" i="71"/>
  <c r="L31" i="71" s="1"/>
  <c r="AC30" i="71"/>
  <c r="AB30" i="71"/>
  <c r="G30" i="71"/>
  <c r="L30" i="71" s="1"/>
  <c r="AC29" i="71"/>
  <c r="AB29" i="71"/>
  <c r="G29" i="71"/>
  <c r="L29" i="71" s="1"/>
  <c r="AC28" i="71"/>
  <c r="AB28" i="71"/>
  <c r="G28" i="71"/>
  <c r="E26" i="71"/>
  <c r="D26" i="71"/>
  <c r="G25" i="71"/>
  <c r="K25" i="71" s="1"/>
  <c r="L25" i="71" s="1"/>
  <c r="I24" i="71"/>
  <c r="G24" i="71"/>
  <c r="I23" i="71"/>
  <c r="G23" i="71"/>
  <c r="K23" i="71" s="1"/>
  <c r="L23" i="71" s="1"/>
  <c r="G22" i="71"/>
  <c r="K22" i="71" s="1"/>
  <c r="L22" i="71" s="1"/>
  <c r="I21" i="71"/>
  <c r="G21" i="71"/>
  <c r="I20" i="71"/>
  <c r="G20" i="71"/>
  <c r="K20" i="71" s="1"/>
  <c r="L20" i="71" s="1"/>
  <c r="G19" i="71"/>
  <c r="K19" i="71" s="1"/>
  <c r="L19" i="71" s="1"/>
  <c r="I18" i="71"/>
  <c r="K18" i="71" s="1"/>
  <c r="L18" i="71" s="1"/>
  <c r="G18" i="71"/>
  <c r="I17" i="71"/>
  <c r="G17" i="71"/>
  <c r="K17" i="71" s="1"/>
  <c r="L17" i="71" s="1"/>
  <c r="G16" i="71"/>
  <c r="K16" i="71" s="1"/>
  <c r="L16" i="71" s="1"/>
  <c r="I15" i="71"/>
  <c r="G15" i="71"/>
  <c r="M15" i="71" s="1"/>
  <c r="G14" i="71"/>
  <c r="K14" i="71" s="1"/>
  <c r="I13" i="71"/>
  <c r="G13" i="71"/>
  <c r="K13" i="71" s="1"/>
  <c r="G12" i="71"/>
  <c r="K12" i="71" s="1"/>
  <c r="L12" i="71" s="1"/>
  <c r="I11" i="71"/>
  <c r="G11" i="71"/>
  <c r="K11" i="71" s="1"/>
  <c r="L11" i="71" s="1"/>
  <c r="G10" i="71"/>
  <c r="AB7" i="71"/>
  <c r="X47" i="71" s="1"/>
  <c r="X7" i="71"/>
  <c r="V4" i="71"/>
  <c r="B3" i="71"/>
  <c r="V2" i="71"/>
  <c r="L76" i="71" l="1"/>
  <c r="Z75" i="71"/>
  <c r="K15" i="71"/>
  <c r="L15" i="71" s="1"/>
  <c r="K21" i="71"/>
  <c r="L21" i="71" s="1"/>
  <c r="AC75" i="71"/>
  <c r="K24" i="71"/>
  <c r="L24" i="71" s="1"/>
  <c r="M11" i="71"/>
  <c r="G37" i="71"/>
  <c r="G26" i="71"/>
  <c r="K10" i="71"/>
  <c r="L75" i="71"/>
  <c r="Z74" i="71"/>
  <c r="AC74" i="71" s="1"/>
  <c r="L14" i="71"/>
  <c r="C49" i="71"/>
  <c r="K49" i="71" s="1"/>
  <c r="C48" i="71"/>
  <c r="K48" i="71" s="1"/>
  <c r="L13" i="71"/>
  <c r="M13" i="71"/>
  <c r="L28" i="71"/>
  <c r="L37" i="71" s="1"/>
  <c r="C47" i="71" l="1"/>
  <c r="L10" i="71"/>
  <c r="L26" i="71" s="1"/>
  <c r="K26" i="71"/>
  <c r="G53" i="71" s="1"/>
  <c r="K54" i="71" s="1"/>
  <c r="K84" i="71"/>
  <c r="G56" i="71"/>
  <c r="K57" i="71" s="1"/>
  <c r="L40" i="71"/>
  <c r="K72" i="71" l="1"/>
  <c r="L72" i="71" s="1"/>
  <c r="K69" i="71"/>
  <c r="L69" i="71" s="1"/>
  <c r="K71" i="71"/>
  <c r="L71" i="71" s="1"/>
  <c r="L77" i="71"/>
  <c r="K59" i="71"/>
  <c r="L59" i="71" s="1"/>
  <c r="K78" i="71"/>
  <c r="L78" i="71" s="1"/>
  <c r="K67" i="71"/>
  <c r="L67" i="71" s="1"/>
  <c r="K70" i="71"/>
  <c r="L70" i="71" s="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M86" i="70"/>
  <c r="V78" i="70"/>
  <c r="Y77" i="70"/>
  <c r="V77" i="70"/>
  <c r="Y76" i="70"/>
  <c r="V76" i="70"/>
  <c r="G76" i="70"/>
  <c r="I76" i="70" s="1"/>
  <c r="AB75" i="70"/>
  <c r="G75" i="70"/>
  <c r="I75" i="70" s="1"/>
  <c r="AB74" i="70"/>
  <c r="Y71" i="70"/>
  <c r="Y70" i="70"/>
  <c r="Y69" i="70"/>
  <c r="Y68" i="70"/>
  <c r="Y66" i="70"/>
  <c r="X65" i="70"/>
  <c r="Y58" i="70" s="1"/>
  <c r="G65" i="70"/>
  <c r="X64" i="70"/>
  <c r="X61" i="70"/>
  <c r="X60" i="70"/>
  <c r="J56" i="70"/>
  <c r="AA56" i="70" s="1"/>
  <c r="AA53" i="70"/>
  <c r="Z49" i="70"/>
  <c r="G49" i="70"/>
  <c r="Z48" i="70"/>
  <c r="X48" i="70"/>
  <c r="G48" i="70"/>
  <c r="Z47" i="70"/>
  <c r="G47" i="70"/>
  <c r="X40" i="70"/>
  <c r="K40" i="70"/>
  <c r="X39" i="70"/>
  <c r="AB40" i="70" s="1"/>
  <c r="AC37" i="70"/>
  <c r="X37" i="70"/>
  <c r="E37" i="70"/>
  <c r="D37" i="70"/>
  <c r="AC36" i="70"/>
  <c r="AB36" i="70"/>
  <c r="G36" i="70"/>
  <c r="L36" i="70" s="1"/>
  <c r="AC35" i="70"/>
  <c r="AB35" i="70"/>
  <c r="G35" i="70"/>
  <c r="L35" i="70" s="1"/>
  <c r="AC34" i="70"/>
  <c r="AB34" i="70"/>
  <c r="G34" i="70"/>
  <c r="L34" i="70" s="1"/>
  <c r="AC33" i="70"/>
  <c r="AB33" i="70"/>
  <c r="G33" i="70"/>
  <c r="L33" i="70" s="1"/>
  <c r="AC32" i="70"/>
  <c r="AB32" i="70"/>
  <c r="G32" i="70"/>
  <c r="L32" i="70" s="1"/>
  <c r="AC31" i="70"/>
  <c r="AB31" i="70"/>
  <c r="G31" i="70"/>
  <c r="L31" i="70" s="1"/>
  <c r="AC30" i="70"/>
  <c r="AB30" i="70"/>
  <c r="G30" i="70"/>
  <c r="L30" i="70" s="1"/>
  <c r="AC29" i="70"/>
  <c r="AB29" i="70"/>
  <c r="G29" i="70"/>
  <c r="L29" i="70" s="1"/>
  <c r="AC28" i="70"/>
  <c r="AB28" i="70"/>
  <c r="G28" i="70"/>
  <c r="L28" i="70" s="1"/>
  <c r="E26" i="70"/>
  <c r="D26" i="70"/>
  <c r="G25" i="70"/>
  <c r="K25" i="70" s="1"/>
  <c r="L25" i="70" s="1"/>
  <c r="G24" i="70"/>
  <c r="I23" i="70"/>
  <c r="I24" i="70" s="1"/>
  <c r="G23" i="70"/>
  <c r="K23" i="70" s="1"/>
  <c r="L23" i="70" s="1"/>
  <c r="G22" i="70"/>
  <c r="K22" i="70" s="1"/>
  <c r="L22" i="70" s="1"/>
  <c r="G21" i="70"/>
  <c r="I20" i="70"/>
  <c r="I21" i="70" s="1"/>
  <c r="G20" i="70"/>
  <c r="K20" i="70" s="1"/>
  <c r="L20" i="70" s="1"/>
  <c r="G19" i="70"/>
  <c r="K19" i="70" s="1"/>
  <c r="L19" i="70" s="1"/>
  <c r="G18" i="70"/>
  <c r="I17" i="70"/>
  <c r="I18" i="70" s="1"/>
  <c r="G17" i="70"/>
  <c r="K17" i="70" s="1"/>
  <c r="L17" i="70" s="1"/>
  <c r="G16" i="70"/>
  <c r="K16" i="70" s="1"/>
  <c r="L16" i="70" s="1"/>
  <c r="I15" i="70"/>
  <c r="G15" i="70"/>
  <c r="K15" i="70" s="1"/>
  <c r="L15" i="70" s="1"/>
  <c r="G14" i="70"/>
  <c r="K14" i="70" s="1"/>
  <c r="L14" i="70" s="1"/>
  <c r="I13" i="70"/>
  <c r="G13" i="70"/>
  <c r="K13" i="70" s="1"/>
  <c r="G12" i="70"/>
  <c r="K12" i="70" s="1"/>
  <c r="L12" i="70" s="1"/>
  <c r="I11" i="70"/>
  <c r="G11" i="70"/>
  <c r="M11" i="70" s="1"/>
  <c r="G10" i="70"/>
  <c r="AB7" i="70"/>
  <c r="X47" i="70" s="1"/>
  <c r="X7" i="70"/>
  <c r="V4" i="70"/>
  <c r="B3" i="70"/>
  <c r="V2" i="70"/>
  <c r="Z75" i="70" l="1"/>
  <c r="AC75" i="70" s="1"/>
  <c r="L76" i="70"/>
  <c r="K11" i="70"/>
  <c r="L11" i="70" s="1"/>
  <c r="K18" i="70"/>
  <c r="L18" i="70" s="1"/>
  <c r="K21" i="70"/>
  <c r="L21" i="70" s="1"/>
  <c r="K24" i="70"/>
  <c r="L24" i="70" s="1"/>
  <c r="L75" i="70"/>
  <c r="Z74" i="70"/>
  <c r="AC74" i="70" s="1"/>
  <c r="G26" i="70"/>
  <c r="L40" i="70" s="1"/>
  <c r="L37" i="70"/>
  <c r="G37" i="70"/>
  <c r="M15" i="70"/>
  <c r="C48" i="70"/>
  <c r="K48" i="70" s="1"/>
  <c r="L13" i="70"/>
  <c r="M13" i="70"/>
  <c r="C49" i="70"/>
  <c r="K49" i="70" s="1"/>
  <c r="X49" i="70"/>
  <c r="K10" i="70"/>
  <c r="K84" i="70" l="1"/>
  <c r="G56" i="70"/>
  <c r="K57" i="70" s="1"/>
  <c r="K69" i="70" s="1"/>
  <c r="L69" i="70" s="1"/>
  <c r="X25" i="70"/>
  <c r="AB25" i="70" s="1"/>
  <c r="AC25" i="70" s="1"/>
  <c r="X16" i="70"/>
  <c r="AB16" i="70" s="1"/>
  <c r="AC16" i="70" s="1"/>
  <c r="X23" i="70"/>
  <c r="AB23" i="70" s="1"/>
  <c r="AC23" i="70" s="1"/>
  <c r="X20" i="70"/>
  <c r="AB20" i="70" s="1"/>
  <c r="AC20" i="70" s="1"/>
  <c r="X17" i="70"/>
  <c r="AB17" i="70" s="1"/>
  <c r="AC17" i="70" s="1"/>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13" i="70"/>
  <c r="AB13" i="70" s="1"/>
  <c r="AC13" i="70" s="1"/>
  <c r="X12" i="70"/>
  <c r="AB12" i="70" s="1"/>
  <c r="C47" i="70"/>
  <c r="L10" i="70"/>
  <c r="L26" i="70" s="1"/>
  <c r="L44" i="70" s="1"/>
  <c r="K26" i="70"/>
  <c r="G53" i="70" s="1"/>
  <c r="K54" i="70" s="1"/>
  <c r="K72" i="70" l="1"/>
  <c r="L72" i="70" s="1"/>
  <c r="W48" i="70"/>
  <c r="AB48" i="70" s="1"/>
  <c r="AC12" i="70"/>
  <c r="K71" i="70"/>
  <c r="L71" i="70" s="1"/>
  <c r="L77" i="70"/>
  <c r="K59" i="70"/>
  <c r="L59" i="70" s="1"/>
  <c r="K78" i="70"/>
  <c r="L78" i="70" s="1"/>
  <c r="K67" i="70"/>
  <c r="L67" i="70" s="1"/>
  <c r="K70" i="70"/>
  <c r="L70" i="70" s="1"/>
  <c r="X26" i="70"/>
  <c r="AB10" i="70"/>
  <c r="K47" i="70"/>
  <c r="L50" i="70" s="1"/>
  <c r="L82" i="70" s="1"/>
  <c r="C50" i="70"/>
  <c r="W49" i="70"/>
  <c r="AB49" i="70" s="1"/>
  <c r="AC14" i="70"/>
  <c r="K86" i="70" l="1"/>
  <c r="AB26" i="70"/>
  <c r="X53" i="70" s="1"/>
  <c r="AB54" i="70" s="1"/>
  <c r="AC10" i="70"/>
  <c r="AC26" i="70" s="1"/>
  <c r="W47" i="70"/>
  <c r="X56" i="70"/>
  <c r="AB57" i="70" s="1"/>
  <c r="AC40" i="70"/>
  <c r="AC44" i="70" l="1"/>
  <c r="AB68" i="70"/>
  <c r="AC68" i="70" s="1"/>
  <c r="AB71" i="70"/>
  <c r="AC71" i="70" s="1"/>
  <c r="L86" i="70"/>
  <c r="AB77" i="70"/>
  <c r="AC77" i="70" s="1"/>
  <c r="AB66" i="70"/>
  <c r="AC66" i="70" s="1"/>
  <c r="AB70" i="70"/>
  <c r="AC70" i="70" s="1"/>
  <c r="AC76" i="70"/>
  <c r="AB69" i="70"/>
  <c r="AC69" i="70" s="1"/>
  <c r="AB58" i="70"/>
  <c r="AC58" i="70" s="1"/>
  <c r="AB47" i="70"/>
  <c r="AC50" i="70" s="1"/>
  <c r="W50" i="70"/>
  <c r="AC81" i="70" l="1"/>
  <c r="L84" i="70" s="1"/>
  <c r="L87" i="70"/>
  <c r="L94" i="70"/>
  <c r="C177" i="69"/>
  <c r="C176" i="69"/>
  <c r="B136" i="69"/>
  <c r="B135" i="69"/>
  <c r="M86" i="69"/>
  <c r="V78" i="69"/>
  <c r="Y77" i="69"/>
  <c r="V77" i="69"/>
  <c r="Y76" i="69"/>
  <c r="V76" i="69"/>
  <c r="G76" i="69"/>
  <c r="I76" i="69" s="1"/>
  <c r="L76" i="69" s="1"/>
  <c r="AB75" i="69"/>
  <c r="G75" i="69"/>
  <c r="I75" i="69" s="1"/>
  <c r="AB74" i="69"/>
  <c r="Y71" i="69"/>
  <c r="Y70" i="69"/>
  <c r="Y69" i="69"/>
  <c r="Y68" i="69"/>
  <c r="Y66" i="69"/>
  <c r="X65" i="69"/>
  <c r="Y58" i="69" s="1"/>
  <c r="G65" i="69"/>
  <c r="X64" i="69"/>
  <c r="X61" i="69"/>
  <c r="X60" i="69"/>
  <c r="AA56" i="69"/>
  <c r="J56" i="69"/>
  <c r="AA53" i="69"/>
  <c r="Z49" i="69"/>
  <c r="G49" i="69"/>
  <c r="Z48" i="69"/>
  <c r="G48" i="69"/>
  <c r="Z47" i="69"/>
  <c r="G47" i="69"/>
  <c r="X40" i="69"/>
  <c r="K40" i="69"/>
  <c r="X39" i="69"/>
  <c r="AB40" i="69" s="1"/>
  <c r="X37" i="69"/>
  <c r="E37" i="69"/>
  <c r="D37" i="69"/>
  <c r="AC36" i="69"/>
  <c r="AB36" i="69"/>
  <c r="G36" i="69"/>
  <c r="L36" i="69" s="1"/>
  <c r="AC35" i="69"/>
  <c r="AB35" i="69"/>
  <c r="G35" i="69"/>
  <c r="L35" i="69" s="1"/>
  <c r="AC34" i="69"/>
  <c r="AB34" i="69"/>
  <c r="G34" i="69"/>
  <c r="L34" i="69" s="1"/>
  <c r="AC33" i="69"/>
  <c r="AB33" i="69"/>
  <c r="G33" i="69"/>
  <c r="L33" i="69" s="1"/>
  <c r="AC32" i="69"/>
  <c r="AB32" i="69"/>
  <c r="G32" i="69"/>
  <c r="L32" i="69" s="1"/>
  <c r="AC31" i="69"/>
  <c r="AB31" i="69"/>
  <c r="G31" i="69"/>
  <c r="L31" i="69" s="1"/>
  <c r="AC30" i="69"/>
  <c r="AB30" i="69"/>
  <c r="G30" i="69"/>
  <c r="L30" i="69" s="1"/>
  <c r="AC29" i="69"/>
  <c r="AB29" i="69"/>
  <c r="G29" i="69"/>
  <c r="L29" i="69" s="1"/>
  <c r="AC28" i="69"/>
  <c r="AC37" i="69" s="1"/>
  <c r="AB28" i="69"/>
  <c r="G28" i="69"/>
  <c r="E26" i="69"/>
  <c r="D26" i="69"/>
  <c r="G25" i="69"/>
  <c r="K25" i="69" s="1"/>
  <c r="L25" i="69" s="1"/>
  <c r="I24" i="69"/>
  <c r="G24" i="69"/>
  <c r="K24" i="69" s="1"/>
  <c r="L24" i="69" s="1"/>
  <c r="I23" i="69"/>
  <c r="G23" i="69"/>
  <c r="K23" i="69" s="1"/>
  <c r="L23" i="69" s="1"/>
  <c r="G22" i="69"/>
  <c r="K22" i="69" s="1"/>
  <c r="L22" i="69" s="1"/>
  <c r="I21" i="69"/>
  <c r="G21" i="69"/>
  <c r="K21" i="69" s="1"/>
  <c r="L21" i="69" s="1"/>
  <c r="I20" i="69"/>
  <c r="G20" i="69"/>
  <c r="K20" i="69" s="1"/>
  <c r="L20" i="69" s="1"/>
  <c r="G19" i="69"/>
  <c r="K19" i="69" s="1"/>
  <c r="L19" i="69" s="1"/>
  <c r="I18" i="69"/>
  <c r="G18" i="69"/>
  <c r="K18" i="69" s="1"/>
  <c r="L18" i="69" s="1"/>
  <c r="I17" i="69"/>
  <c r="G17" i="69"/>
  <c r="K17" i="69" s="1"/>
  <c r="L17" i="69" s="1"/>
  <c r="G16" i="69"/>
  <c r="K16" i="69" s="1"/>
  <c r="L16" i="69" s="1"/>
  <c r="I15" i="69"/>
  <c r="G15" i="69"/>
  <c r="M15" i="69" s="1"/>
  <c r="G14" i="69"/>
  <c r="K14" i="69" s="1"/>
  <c r="I13" i="69"/>
  <c r="G13" i="69"/>
  <c r="K13" i="69" s="1"/>
  <c r="L13" i="69" s="1"/>
  <c r="G12" i="69"/>
  <c r="K12" i="69" s="1"/>
  <c r="L12" i="69" s="1"/>
  <c r="I11" i="69"/>
  <c r="G11" i="69"/>
  <c r="M11" i="69" s="1"/>
  <c r="G10" i="69"/>
  <c r="AB7" i="69"/>
  <c r="X47" i="69" s="1"/>
  <c r="X7" i="69"/>
  <c r="V4" i="69"/>
  <c r="B3" i="69"/>
  <c r="V2" i="69"/>
  <c r="G26" i="69" l="1"/>
  <c r="K11" i="69"/>
  <c r="L11" i="69" s="1"/>
  <c r="G37" i="69"/>
  <c r="K15" i="69"/>
  <c r="L15" i="69" s="1"/>
  <c r="L90" i="70"/>
  <c r="L92" i="70" s="1"/>
  <c r="L14" i="69"/>
  <c r="C49" i="69"/>
  <c r="K49" i="69" s="1"/>
  <c r="L40" i="69"/>
  <c r="L75" i="69"/>
  <c r="Z74" i="69"/>
  <c r="AC74" i="69" s="1"/>
  <c r="K84" i="69"/>
  <c r="G56" i="69"/>
  <c r="K57" i="69" s="1"/>
  <c r="Z75" i="69"/>
  <c r="AC75" i="69" s="1"/>
  <c r="M13" i="69"/>
  <c r="X49" i="69"/>
  <c r="L28" i="69"/>
  <c r="L37" i="69" s="1"/>
  <c r="C48" i="69"/>
  <c r="K48" i="69" s="1"/>
  <c r="X48" i="69"/>
  <c r="K10" i="69"/>
  <c r="C47" i="69" l="1"/>
  <c r="L10" i="69"/>
  <c r="L26" i="69" s="1"/>
  <c r="L44" i="69" s="1"/>
  <c r="K26" i="69"/>
  <c r="G53" i="69" s="1"/>
  <c r="K54" i="69" s="1"/>
  <c r="X13" i="69"/>
  <c r="AB13" i="69" s="1"/>
  <c r="AC13" i="69" s="1"/>
  <c r="X12" i="69"/>
  <c r="AB12" i="69" s="1"/>
  <c r="X24" i="69"/>
  <c r="AB24" i="69" s="1"/>
  <c r="AC24" i="69" s="1"/>
  <c r="X14" i="69"/>
  <c r="AB14" i="69" s="1"/>
  <c r="X11" i="69"/>
  <c r="AB11" i="69" s="1"/>
  <c r="AC11" i="69" s="1"/>
  <c r="X10" i="69"/>
  <c r="X25" i="69"/>
  <c r="AB25" i="69" s="1"/>
  <c r="AC25" i="69" s="1"/>
  <c r="X22" i="69"/>
  <c r="AB22" i="69" s="1"/>
  <c r="AC22" i="69" s="1"/>
  <c r="X19" i="69"/>
  <c r="AB19" i="69" s="1"/>
  <c r="AC19" i="69" s="1"/>
  <c r="X16" i="69"/>
  <c r="AB16" i="69" s="1"/>
  <c r="AC16" i="69" s="1"/>
  <c r="X23" i="69"/>
  <c r="AB23" i="69" s="1"/>
  <c r="AC23" i="69" s="1"/>
  <c r="X20" i="69"/>
  <c r="AB20" i="69" s="1"/>
  <c r="AC20" i="69" s="1"/>
  <c r="X17" i="69"/>
  <c r="AB17" i="69" s="1"/>
  <c r="AC17" i="69" s="1"/>
  <c r="X21" i="69"/>
  <c r="AB21" i="69" s="1"/>
  <c r="AC21" i="69" s="1"/>
  <c r="X18" i="69"/>
  <c r="AB18" i="69" s="1"/>
  <c r="AC18" i="69" s="1"/>
  <c r="X15" i="69"/>
  <c r="AB15" i="69" s="1"/>
  <c r="AC15" i="69" s="1"/>
  <c r="K69" i="69"/>
  <c r="L69" i="69" s="1"/>
  <c r="K72" i="69"/>
  <c r="L72" i="69" s="1"/>
  <c r="AC14" i="69" l="1"/>
  <c r="W49" i="69"/>
  <c r="AB49" i="69" s="1"/>
  <c r="K71" i="69"/>
  <c r="L71" i="69" s="1"/>
  <c r="K78" i="69"/>
  <c r="L78" i="69" s="1"/>
  <c r="L77" i="69"/>
  <c r="K70" i="69"/>
  <c r="L70" i="69" s="1"/>
  <c r="K59" i="69"/>
  <c r="L59" i="69" s="1"/>
  <c r="K67" i="69"/>
  <c r="L67" i="69" s="1"/>
  <c r="X26" i="69"/>
  <c r="AB10" i="69"/>
  <c r="AC12" i="69"/>
  <c r="W48" i="69"/>
  <c r="AB48" i="69" s="1"/>
  <c r="C50" i="69"/>
  <c r="K47" i="69"/>
  <c r="L50" i="69" s="1"/>
  <c r="L82" i="69" s="1"/>
  <c r="K86" i="69" l="1"/>
  <c r="AB26" i="69"/>
  <c r="X53" i="69" s="1"/>
  <c r="AB54" i="69" s="1"/>
  <c r="AC10" i="69"/>
  <c r="AC26" i="69" s="1"/>
  <c r="W47" i="69"/>
  <c r="X56" i="69"/>
  <c r="AB57" i="69" s="1"/>
  <c r="AC40" i="69"/>
  <c r="AC44" i="69" l="1"/>
  <c r="AB68" i="69"/>
  <c r="AC68" i="69" s="1"/>
  <c r="AB71" i="69"/>
  <c r="AC71" i="69" s="1"/>
  <c r="AB58" i="69"/>
  <c r="AC58" i="69" s="1"/>
  <c r="AB77" i="69"/>
  <c r="AC77" i="69" s="1"/>
  <c r="AB66" i="69"/>
  <c r="AC66" i="69" s="1"/>
  <c r="AC76" i="69"/>
  <c r="AB69" i="69"/>
  <c r="AC69" i="69" s="1"/>
  <c r="AB70" i="69"/>
  <c r="AC70" i="69" s="1"/>
  <c r="L86" i="69"/>
  <c r="L94" i="69" s="1"/>
  <c r="W50" i="69"/>
  <c r="AB47" i="69"/>
  <c r="AC50" i="69" s="1"/>
  <c r="AC81" i="69" s="1"/>
  <c r="L84" i="69" s="1"/>
  <c r="L87" i="69" l="1"/>
  <c r="C177" i="66"/>
  <c r="C176" i="66"/>
  <c r="B136" i="66"/>
  <c r="B135" i="66"/>
  <c r="M86" i="66"/>
  <c r="V78" i="66"/>
  <c r="Y77" i="66"/>
  <c r="V77" i="66"/>
  <c r="Y76" i="66"/>
  <c r="V76" i="66"/>
  <c r="G76" i="66"/>
  <c r="I76" i="66" s="1"/>
  <c r="AB75" i="66"/>
  <c r="G75" i="66"/>
  <c r="I75" i="66" s="1"/>
  <c r="AB74" i="66"/>
  <c r="Y71" i="66"/>
  <c r="Y70" i="66"/>
  <c r="Y69" i="66"/>
  <c r="Y68" i="66"/>
  <c r="Y66" i="66"/>
  <c r="X65" i="66"/>
  <c r="G65" i="66"/>
  <c r="X64" i="66" s="1"/>
  <c r="Y58" i="66" s="1"/>
  <c r="X61" i="66"/>
  <c r="X60" i="66"/>
  <c r="J56" i="66"/>
  <c r="AA56" i="66" s="1"/>
  <c r="AA53" i="66"/>
  <c r="Z49" i="66"/>
  <c r="X49" i="66"/>
  <c r="G49" i="66"/>
  <c r="Z48" i="66"/>
  <c r="G48" i="66"/>
  <c r="Z47" i="66"/>
  <c r="G47" i="66"/>
  <c r="X40" i="66"/>
  <c r="K40" i="66"/>
  <c r="X39" i="66"/>
  <c r="AB40" i="66" s="1"/>
  <c r="X37" i="66"/>
  <c r="E37" i="66"/>
  <c r="D37" i="66"/>
  <c r="AC36" i="66"/>
  <c r="AB36" i="66"/>
  <c r="G36" i="66"/>
  <c r="L36" i="66" s="1"/>
  <c r="AC35" i="66"/>
  <c r="AB35" i="66"/>
  <c r="G35" i="66"/>
  <c r="L35" i="66" s="1"/>
  <c r="AC34" i="66"/>
  <c r="AB34" i="66"/>
  <c r="G34" i="66"/>
  <c r="L34" i="66" s="1"/>
  <c r="AC33" i="66"/>
  <c r="AB33" i="66"/>
  <c r="G33" i="66"/>
  <c r="L33" i="66" s="1"/>
  <c r="AC32" i="66"/>
  <c r="AB32" i="66"/>
  <c r="G32" i="66"/>
  <c r="L32" i="66" s="1"/>
  <c r="AC31" i="66"/>
  <c r="AB31" i="66"/>
  <c r="G31" i="66"/>
  <c r="L31" i="66" s="1"/>
  <c r="AC30" i="66"/>
  <c r="AB30" i="66"/>
  <c r="G30" i="66"/>
  <c r="L30" i="66" s="1"/>
  <c r="AC29" i="66"/>
  <c r="AB29" i="66"/>
  <c r="G29" i="66"/>
  <c r="L29" i="66" s="1"/>
  <c r="AC28" i="66"/>
  <c r="AC37" i="66" s="1"/>
  <c r="AB28" i="66"/>
  <c r="G28" i="66"/>
  <c r="E26" i="66"/>
  <c r="D26" i="66"/>
  <c r="G25" i="66"/>
  <c r="K25" i="66" s="1"/>
  <c r="L25" i="66" s="1"/>
  <c r="I24" i="66"/>
  <c r="G24" i="66"/>
  <c r="K24" i="66" s="1"/>
  <c r="L24" i="66" s="1"/>
  <c r="I23" i="66"/>
  <c r="G23" i="66"/>
  <c r="K23" i="66" s="1"/>
  <c r="L23" i="66" s="1"/>
  <c r="G22" i="66"/>
  <c r="K22" i="66" s="1"/>
  <c r="L22" i="66" s="1"/>
  <c r="I21" i="66"/>
  <c r="G21" i="66"/>
  <c r="K21" i="66" s="1"/>
  <c r="L21" i="66" s="1"/>
  <c r="I20" i="66"/>
  <c r="G20" i="66"/>
  <c r="K20" i="66" s="1"/>
  <c r="L20" i="66" s="1"/>
  <c r="G19" i="66"/>
  <c r="K19" i="66" s="1"/>
  <c r="L19" i="66" s="1"/>
  <c r="I18" i="66"/>
  <c r="G18" i="66"/>
  <c r="K18" i="66" s="1"/>
  <c r="L18" i="66" s="1"/>
  <c r="I17" i="66"/>
  <c r="G17" i="66"/>
  <c r="K17" i="66" s="1"/>
  <c r="L17" i="66" s="1"/>
  <c r="G16" i="66"/>
  <c r="K16" i="66" s="1"/>
  <c r="L16" i="66" s="1"/>
  <c r="I15" i="66"/>
  <c r="G15" i="66"/>
  <c r="M15" i="66" s="1"/>
  <c r="G14" i="66"/>
  <c r="K14" i="66" s="1"/>
  <c r="I13" i="66"/>
  <c r="G13" i="66"/>
  <c r="K13" i="66" s="1"/>
  <c r="L13" i="66" s="1"/>
  <c r="G12" i="66"/>
  <c r="K12" i="66" s="1"/>
  <c r="L12" i="66" s="1"/>
  <c r="I11" i="66"/>
  <c r="G11" i="66"/>
  <c r="M11" i="66" s="1"/>
  <c r="G10" i="66"/>
  <c r="AB7" i="66"/>
  <c r="X47" i="66" s="1"/>
  <c r="X7" i="66"/>
  <c r="V4" i="66"/>
  <c r="B3" i="66"/>
  <c r="V2" i="66"/>
  <c r="K11" i="66" l="1"/>
  <c r="L11" i="66" s="1"/>
  <c r="K15" i="66"/>
  <c r="L15" i="66" s="1"/>
  <c r="G26" i="66"/>
  <c r="L40" i="66" s="1"/>
  <c r="L90" i="69"/>
  <c r="L92" i="69" s="1"/>
  <c r="G37" i="66"/>
  <c r="L75" i="66"/>
  <c r="Z74" i="66"/>
  <c r="AC74" i="66" s="1"/>
  <c r="C48" i="66"/>
  <c r="K48" i="66" s="1"/>
  <c r="L14" i="66"/>
  <c r="C49" i="66"/>
  <c r="K49" i="66" s="1"/>
  <c r="L76" i="66"/>
  <c r="Z75" i="66"/>
  <c r="AC75" i="66" s="1"/>
  <c r="M13" i="66"/>
  <c r="K10" i="66"/>
  <c r="L28" i="66"/>
  <c r="L37" i="66" s="1"/>
  <c r="X48" i="66"/>
  <c r="K84" i="66" l="1"/>
  <c r="X25" i="66" s="1"/>
  <c r="AB25" i="66" s="1"/>
  <c r="AC25" i="66" s="1"/>
  <c r="G56" i="66"/>
  <c r="K57" i="66" s="1"/>
  <c r="X23" i="66"/>
  <c r="AB23" i="66" s="1"/>
  <c r="AC23" i="66" s="1"/>
  <c r="X16" i="66"/>
  <c r="AB16" i="66" s="1"/>
  <c r="AC16" i="66" s="1"/>
  <c r="X13" i="66"/>
  <c r="AB13" i="66" s="1"/>
  <c r="AC13" i="66" s="1"/>
  <c r="X12" i="66"/>
  <c r="AB12" i="66" s="1"/>
  <c r="X24" i="66"/>
  <c r="AB24" i="66" s="1"/>
  <c r="AC24" i="66" s="1"/>
  <c r="X21" i="66"/>
  <c r="AB21" i="66" s="1"/>
  <c r="AC21" i="66" s="1"/>
  <c r="X18" i="66"/>
  <c r="AB18" i="66" s="1"/>
  <c r="AC18" i="66" s="1"/>
  <c r="X15" i="66"/>
  <c r="AB15" i="66" s="1"/>
  <c r="AC15" i="66" s="1"/>
  <c r="X14" i="66"/>
  <c r="AB14" i="66" s="1"/>
  <c r="X11" i="66"/>
  <c r="AB11" i="66" s="1"/>
  <c r="AC11" i="66" s="1"/>
  <c r="X10" i="66"/>
  <c r="X20" i="66"/>
  <c r="AB20" i="66" s="1"/>
  <c r="AC20" i="66" s="1"/>
  <c r="X17" i="66"/>
  <c r="AB17" i="66" s="1"/>
  <c r="AC17" i="66" s="1"/>
  <c r="C47" i="66"/>
  <c r="L10" i="66"/>
  <c r="L26" i="66" s="1"/>
  <c r="L44" i="66" s="1"/>
  <c r="K26" i="66"/>
  <c r="G53" i="66" s="1"/>
  <c r="K54" i="66" s="1"/>
  <c r="K69" i="66"/>
  <c r="L69" i="66" s="1"/>
  <c r="K72" i="66"/>
  <c r="L72" i="66" s="1"/>
  <c r="X19" i="66" l="1"/>
  <c r="AB19" i="66" s="1"/>
  <c r="AC19" i="66" s="1"/>
  <c r="X22" i="66"/>
  <c r="AB22" i="66" s="1"/>
  <c r="AC22" i="66" s="1"/>
  <c r="W48" i="66"/>
  <c r="AB48" i="66" s="1"/>
  <c r="AC12" i="66"/>
  <c r="K47" i="66"/>
  <c r="L50" i="66" s="1"/>
  <c r="C50" i="66"/>
  <c r="X26" i="66"/>
  <c r="AB10" i="66"/>
  <c r="K71" i="66"/>
  <c r="L71" i="66" s="1"/>
  <c r="L77" i="66"/>
  <c r="K70" i="66"/>
  <c r="L70" i="66" s="1"/>
  <c r="K59" i="66"/>
  <c r="L59" i="66" s="1"/>
  <c r="K78" i="66"/>
  <c r="L78" i="66" s="1"/>
  <c r="K67" i="66"/>
  <c r="L67" i="66" s="1"/>
  <c r="AC14" i="66"/>
  <c r="W49" i="66"/>
  <c r="AB49" i="66" s="1"/>
  <c r="L82" i="66" l="1"/>
  <c r="K86" i="66" s="1"/>
  <c r="AB26" i="66"/>
  <c r="X53" i="66" s="1"/>
  <c r="AB54" i="66" s="1"/>
  <c r="W47" i="66"/>
  <c r="AC10" i="66"/>
  <c r="AC26" i="66" s="1"/>
  <c r="X56" i="66"/>
  <c r="AB57" i="66" s="1"/>
  <c r="AC40" i="66"/>
  <c r="W50" i="66" l="1"/>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M86" i="65"/>
  <c r="V78" i="65"/>
  <c r="Y77" i="65"/>
  <c r="V77" i="65"/>
  <c r="Y76" i="65"/>
  <c r="V76" i="65"/>
  <c r="G76" i="65"/>
  <c r="I76" i="65" s="1"/>
  <c r="Z75" i="65" s="1"/>
  <c r="AB75" i="65"/>
  <c r="G75" i="65"/>
  <c r="I75" i="65" s="1"/>
  <c r="AB74" i="65"/>
  <c r="Y71" i="65"/>
  <c r="Y70" i="65"/>
  <c r="Y69" i="65"/>
  <c r="Y68" i="65"/>
  <c r="Y66" i="65"/>
  <c r="X65" i="65"/>
  <c r="Y58" i="65" s="1"/>
  <c r="G65" i="65"/>
  <c r="X64" i="65"/>
  <c r="X61" i="65"/>
  <c r="X60" i="65"/>
  <c r="AA56" i="65"/>
  <c r="J56" i="65"/>
  <c r="AA53" i="65"/>
  <c r="Z49" i="65"/>
  <c r="G49" i="65"/>
  <c r="Z48" i="65"/>
  <c r="G48" i="65"/>
  <c r="Z47" i="65"/>
  <c r="G47" i="65"/>
  <c r="X40" i="65"/>
  <c r="K40" i="65"/>
  <c r="X39" i="65"/>
  <c r="AB40" i="65" s="1"/>
  <c r="X37" i="65"/>
  <c r="E37" i="65"/>
  <c r="D37" i="65"/>
  <c r="AC36" i="65"/>
  <c r="AB36" i="65"/>
  <c r="G36" i="65"/>
  <c r="L36" i="65" s="1"/>
  <c r="AC35" i="65"/>
  <c r="AB35" i="65"/>
  <c r="G35" i="65"/>
  <c r="L35" i="65" s="1"/>
  <c r="AC34" i="65"/>
  <c r="AB34" i="65"/>
  <c r="G34" i="65"/>
  <c r="L34" i="65" s="1"/>
  <c r="AC33" i="65"/>
  <c r="AB33" i="65"/>
  <c r="G33" i="65"/>
  <c r="L33" i="65" s="1"/>
  <c r="AC32" i="65"/>
  <c r="AB32" i="65"/>
  <c r="G32" i="65"/>
  <c r="L32" i="65" s="1"/>
  <c r="AC31" i="65"/>
  <c r="AB31" i="65"/>
  <c r="G31" i="65"/>
  <c r="L31" i="65" s="1"/>
  <c r="AC30" i="65"/>
  <c r="AB30" i="65"/>
  <c r="G30" i="65"/>
  <c r="L30" i="65" s="1"/>
  <c r="AC29" i="65"/>
  <c r="AB29" i="65"/>
  <c r="G29" i="65"/>
  <c r="L29" i="65" s="1"/>
  <c r="AC28" i="65"/>
  <c r="AC37" i="65" s="1"/>
  <c r="AB28" i="65"/>
  <c r="G28" i="65"/>
  <c r="E26" i="65"/>
  <c r="D26" i="65"/>
  <c r="G25" i="65"/>
  <c r="K25" i="65" s="1"/>
  <c r="L25" i="65" s="1"/>
  <c r="I24" i="65"/>
  <c r="G24" i="65"/>
  <c r="K24" i="65" s="1"/>
  <c r="L24" i="65" s="1"/>
  <c r="I23" i="65"/>
  <c r="G23" i="65"/>
  <c r="K23" i="65" s="1"/>
  <c r="L23" i="65" s="1"/>
  <c r="G22" i="65"/>
  <c r="K22" i="65" s="1"/>
  <c r="L22" i="65" s="1"/>
  <c r="I21" i="65"/>
  <c r="G21" i="65"/>
  <c r="K21" i="65" s="1"/>
  <c r="L21" i="65" s="1"/>
  <c r="I20" i="65"/>
  <c r="G20" i="65"/>
  <c r="K20" i="65" s="1"/>
  <c r="L20" i="65" s="1"/>
  <c r="G19" i="65"/>
  <c r="K19" i="65" s="1"/>
  <c r="L19" i="65" s="1"/>
  <c r="I18" i="65"/>
  <c r="G18" i="65"/>
  <c r="K18" i="65" s="1"/>
  <c r="L18" i="65" s="1"/>
  <c r="I17" i="65"/>
  <c r="G17" i="65"/>
  <c r="K17" i="65" s="1"/>
  <c r="L17" i="65" s="1"/>
  <c r="G16" i="65"/>
  <c r="K16" i="65" s="1"/>
  <c r="L16" i="65" s="1"/>
  <c r="I15" i="65"/>
  <c r="G15" i="65"/>
  <c r="M15" i="65" s="1"/>
  <c r="G14" i="65"/>
  <c r="K14" i="65" s="1"/>
  <c r="I13" i="65"/>
  <c r="G13" i="65"/>
  <c r="K13" i="65" s="1"/>
  <c r="L13" i="65" s="1"/>
  <c r="G12" i="65"/>
  <c r="K12" i="65" s="1"/>
  <c r="L12" i="65" s="1"/>
  <c r="I11" i="65"/>
  <c r="G11" i="65"/>
  <c r="M11" i="65" s="1"/>
  <c r="G10" i="65"/>
  <c r="AB7" i="65"/>
  <c r="X47" i="65" s="1"/>
  <c r="X7" i="65"/>
  <c r="V4" i="65"/>
  <c r="B3" i="65"/>
  <c r="V2" i="65"/>
  <c r="G26" i="65" l="1"/>
  <c r="L40" i="65" s="1"/>
  <c r="K11" i="65"/>
  <c r="L11" i="65" s="1"/>
  <c r="AC75" i="65"/>
  <c r="K15" i="65"/>
  <c r="L15" i="65" s="1"/>
  <c r="G37" i="65"/>
  <c r="L75" i="65"/>
  <c r="Z74" i="65"/>
  <c r="AC74" i="65" s="1"/>
  <c r="L14" i="65"/>
  <c r="C49" i="65"/>
  <c r="K49" i="65" s="1"/>
  <c r="M13" i="65"/>
  <c r="X49" i="65"/>
  <c r="L76" i="65"/>
  <c r="L28" i="65"/>
  <c r="L37" i="65" s="1"/>
  <c r="C48" i="65"/>
  <c r="K48" i="65" s="1"/>
  <c r="X48" i="65"/>
  <c r="K10" i="65"/>
  <c r="G56" i="65" l="1"/>
  <c r="K57" i="65" s="1"/>
  <c r="K84" i="65"/>
  <c r="C47" i="65"/>
  <c r="L10" i="65"/>
  <c r="L26" i="65" s="1"/>
  <c r="L44" i="65" s="1"/>
  <c r="K26" i="65"/>
  <c r="G53" i="65" s="1"/>
  <c r="K54" i="65" s="1"/>
  <c r="K72" i="65"/>
  <c r="L72" i="65" s="1"/>
  <c r="K69" i="65"/>
  <c r="L69" i="65" s="1"/>
  <c r="X16" i="65"/>
  <c r="AB16" i="65" s="1"/>
  <c r="AC16" i="65" s="1"/>
  <c r="X13" i="65"/>
  <c r="AB13" i="65" s="1"/>
  <c r="AC13" i="65" s="1"/>
  <c r="X20" i="65"/>
  <c r="AB20" i="65" s="1"/>
  <c r="AC20" i="65" s="1"/>
  <c r="X17" i="65"/>
  <c r="AB17" i="65" s="1"/>
  <c r="AC17" i="65" s="1"/>
  <c r="X24" i="65"/>
  <c r="AB24" i="65" s="1"/>
  <c r="AC24" i="65" s="1"/>
  <c r="X11" i="65"/>
  <c r="AB11" i="65" s="1"/>
  <c r="AC11" i="65" s="1"/>
  <c r="X25" i="65"/>
  <c r="AB25" i="65" s="1"/>
  <c r="AC25" i="65" s="1"/>
  <c r="X22" i="65"/>
  <c r="AB22" i="65" s="1"/>
  <c r="AC22" i="65" s="1"/>
  <c r="X19" i="65"/>
  <c r="AB19" i="65" s="1"/>
  <c r="AC19" i="65" s="1"/>
  <c r="X12" i="65"/>
  <c r="AB12" i="65" s="1"/>
  <c r="X21" i="65"/>
  <c r="AB21" i="65" s="1"/>
  <c r="AC21" i="65" s="1"/>
  <c r="X10" i="65"/>
  <c r="X23" i="65"/>
  <c r="AB23" i="65" s="1"/>
  <c r="AC23" i="65" s="1"/>
  <c r="X18" i="65"/>
  <c r="AB18" i="65" s="1"/>
  <c r="AC18" i="65" s="1"/>
  <c r="X15" i="65"/>
  <c r="AB15" i="65" s="1"/>
  <c r="AC15" i="65" s="1"/>
  <c r="X14" i="65"/>
  <c r="AB14" i="65" s="1"/>
  <c r="AC12" i="65" l="1"/>
  <c r="W48" i="65"/>
  <c r="AB48" i="65" s="1"/>
  <c r="AC14" i="65"/>
  <c r="W49" i="65"/>
  <c r="AB49" i="65" s="1"/>
  <c r="K71" i="65"/>
  <c r="L71" i="65" s="1"/>
  <c r="K78" i="65"/>
  <c r="L78" i="65" s="1"/>
  <c r="L77" i="65"/>
  <c r="K70" i="65"/>
  <c r="L70" i="65" s="1"/>
  <c r="K59" i="65"/>
  <c r="L59" i="65" s="1"/>
  <c r="K67" i="65"/>
  <c r="L67" i="65" s="1"/>
  <c r="X26" i="65"/>
  <c r="AB10" i="65"/>
  <c r="C50" i="65"/>
  <c r="K47" i="65"/>
  <c r="L50" i="65" s="1"/>
  <c r="L82" i="65" s="1"/>
  <c r="K86" i="65" l="1"/>
  <c r="AB26" i="65"/>
  <c r="X53" i="65" s="1"/>
  <c r="AB54" i="65" s="1"/>
  <c r="W47" i="65"/>
  <c r="AC10" i="65"/>
  <c r="AC26" i="65" s="1"/>
  <c r="X56" i="65"/>
  <c r="AB57" i="65" s="1"/>
  <c r="AC40" i="65"/>
  <c r="AC76" i="65" l="1"/>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4"/>
  <c r="C176" i="64"/>
  <c r="B136" i="64"/>
  <c r="B135" i="64"/>
  <c r="M86" i="64"/>
  <c r="V78" i="64"/>
  <c r="Y77" i="64"/>
  <c r="V77" i="64"/>
  <c r="Y76" i="64"/>
  <c r="V76" i="64"/>
  <c r="G76" i="64"/>
  <c r="I76" i="64" s="1"/>
  <c r="Z75" i="64" s="1"/>
  <c r="AB75" i="64"/>
  <c r="G75" i="64"/>
  <c r="I75" i="64" s="1"/>
  <c r="AB74" i="64"/>
  <c r="Y71" i="64"/>
  <c r="Y70" i="64"/>
  <c r="Y69" i="64"/>
  <c r="Y68" i="64"/>
  <c r="Y66" i="64"/>
  <c r="X65" i="64"/>
  <c r="Y58" i="64" s="1"/>
  <c r="G65" i="64"/>
  <c r="X64" i="64"/>
  <c r="X61" i="64"/>
  <c r="X60" i="64"/>
  <c r="AA56" i="64"/>
  <c r="J56" i="64"/>
  <c r="AA53" i="64"/>
  <c r="Z49" i="64"/>
  <c r="G49" i="64"/>
  <c r="Z48" i="64"/>
  <c r="G48" i="64"/>
  <c r="Z47" i="64"/>
  <c r="G47" i="64"/>
  <c r="X40" i="64"/>
  <c r="K40" i="64"/>
  <c r="X39" i="64"/>
  <c r="AB40" i="64" s="1"/>
  <c r="X37" i="64"/>
  <c r="E37" i="64"/>
  <c r="D37" i="64"/>
  <c r="AC36" i="64"/>
  <c r="AB36" i="64"/>
  <c r="G36" i="64"/>
  <c r="L36" i="64" s="1"/>
  <c r="AC35" i="64"/>
  <c r="AB35" i="64"/>
  <c r="G35" i="64"/>
  <c r="L35" i="64" s="1"/>
  <c r="AC34" i="64"/>
  <c r="AB34" i="64"/>
  <c r="G34" i="64"/>
  <c r="L34" i="64" s="1"/>
  <c r="AC33" i="64"/>
  <c r="AB33" i="64"/>
  <c r="G33" i="64"/>
  <c r="L33" i="64" s="1"/>
  <c r="AC32" i="64"/>
  <c r="AB32" i="64"/>
  <c r="G32" i="64"/>
  <c r="L32" i="64" s="1"/>
  <c r="AC31" i="64"/>
  <c r="AB31" i="64"/>
  <c r="G31" i="64"/>
  <c r="L31" i="64" s="1"/>
  <c r="AC30" i="64"/>
  <c r="AB30" i="64"/>
  <c r="G30" i="64"/>
  <c r="L30" i="64" s="1"/>
  <c r="AC29" i="64"/>
  <c r="AB29" i="64"/>
  <c r="G29" i="64"/>
  <c r="L29" i="64" s="1"/>
  <c r="AC28" i="64"/>
  <c r="AC37" i="64" s="1"/>
  <c r="AB28" i="64"/>
  <c r="G28" i="64"/>
  <c r="E26" i="64"/>
  <c r="D26" i="64"/>
  <c r="G25" i="64"/>
  <c r="K25" i="64" s="1"/>
  <c r="L25" i="64" s="1"/>
  <c r="I24" i="64"/>
  <c r="G24" i="64"/>
  <c r="K24" i="64" s="1"/>
  <c r="L24" i="64" s="1"/>
  <c r="I23" i="64"/>
  <c r="G23" i="64"/>
  <c r="K23" i="64" s="1"/>
  <c r="L23" i="64" s="1"/>
  <c r="G22" i="64"/>
  <c r="K22" i="64" s="1"/>
  <c r="L22" i="64" s="1"/>
  <c r="G21" i="64"/>
  <c r="K21" i="64" s="1"/>
  <c r="L21" i="64" s="1"/>
  <c r="I20" i="64"/>
  <c r="I21" i="64" s="1"/>
  <c r="G20" i="64"/>
  <c r="K20" i="64" s="1"/>
  <c r="L20" i="64" s="1"/>
  <c r="G19" i="64"/>
  <c r="K19" i="64" s="1"/>
  <c r="L19" i="64" s="1"/>
  <c r="G18" i="64"/>
  <c r="K18" i="64" s="1"/>
  <c r="L18" i="64" s="1"/>
  <c r="I17" i="64"/>
  <c r="I18" i="64" s="1"/>
  <c r="G17" i="64"/>
  <c r="K17" i="64" s="1"/>
  <c r="L17" i="64" s="1"/>
  <c r="G16" i="64"/>
  <c r="K16" i="64" s="1"/>
  <c r="L16" i="64" s="1"/>
  <c r="I15" i="64"/>
  <c r="G15" i="64"/>
  <c r="M15" i="64" s="1"/>
  <c r="G14" i="64"/>
  <c r="K14" i="64" s="1"/>
  <c r="I13" i="64"/>
  <c r="G13" i="64"/>
  <c r="K13" i="64" s="1"/>
  <c r="L13" i="64" s="1"/>
  <c r="G12" i="64"/>
  <c r="K12" i="64" s="1"/>
  <c r="I11" i="64"/>
  <c r="G11" i="64"/>
  <c r="G10" i="64"/>
  <c r="AB7" i="64"/>
  <c r="X47" i="64" s="1"/>
  <c r="X7" i="64"/>
  <c r="V4" i="64"/>
  <c r="B3" i="64"/>
  <c r="V2" i="64"/>
  <c r="K15" i="64" l="1"/>
  <c r="L15" i="64" s="1"/>
  <c r="G37" i="64"/>
  <c r="L75" i="64"/>
  <c r="Z74" i="64"/>
  <c r="AC74" i="64" s="1"/>
  <c r="K11" i="64"/>
  <c r="L11" i="64" s="1"/>
  <c r="AC75" i="64"/>
  <c r="C48" i="64"/>
  <c r="K48" i="64" s="1"/>
  <c r="G26" i="64"/>
  <c r="G56" i="64" s="1"/>
  <c r="K57" i="64" s="1"/>
  <c r="M11" i="64"/>
  <c r="L14" i="64"/>
  <c r="C49" i="64"/>
  <c r="K49" i="64" s="1"/>
  <c r="L12" i="64"/>
  <c r="M13" i="64"/>
  <c r="X49" i="64"/>
  <c r="L76" i="64"/>
  <c r="L28" i="64"/>
  <c r="L37" i="64" s="1"/>
  <c r="X48" i="64"/>
  <c r="K10" i="64"/>
  <c r="K84" i="64" l="1"/>
  <c r="X16" i="64" s="1"/>
  <c r="AB16" i="64" s="1"/>
  <c r="AC16" i="64" s="1"/>
  <c r="L40" i="64"/>
  <c r="X19" i="64"/>
  <c r="AB19" i="64" s="1"/>
  <c r="AC19" i="64" s="1"/>
  <c r="K72" i="64"/>
  <c r="L72" i="64" s="1"/>
  <c r="K69" i="64"/>
  <c r="L69" i="64" s="1"/>
  <c r="C47" i="64"/>
  <c r="L10" i="64"/>
  <c r="L26" i="64" s="1"/>
  <c r="L44" i="64" s="1"/>
  <c r="K26" i="64"/>
  <c r="G53" i="64" s="1"/>
  <c r="K54" i="64" s="1"/>
  <c r="X10" i="64" l="1"/>
  <c r="X26" i="64" s="1"/>
  <c r="X11" i="64"/>
  <c r="AB11" i="64" s="1"/>
  <c r="AC11" i="64" s="1"/>
  <c r="X21" i="64"/>
  <c r="AB21" i="64" s="1"/>
  <c r="AC21" i="64" s="1"/>
  <c r="X15" i="64"/>
  <c r="AB15" i="64" s="1"/>
  <c r="AC15" i="64" s="1"/>
  <c r="X18" i="64"/>
  <c r="AB18" i="64" s="1"/>
  <c r="AC18" i="64" s="1"/>
  <c r="X14" i="64"/>
  <c r="AB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AC14" i="64"/>
  <c r="K71" i="64"/>
  <c r="L71" i="64" s="1"/>
  <c r="L77" i="64"/>
  <c r="K70" i="64"/>
  <c r="L70" i="64" s="1"/>
  <c r="K59" i="64"/>
  <c r="L59" i="64" s="1"/>
  <c r="K78" i="64"/>
  <c r="L78" i="64" s="1"/>
  <c r="K67" i="64"/>
  <c r="L67" i="64" s="1"/>
  <c r="AB10" i="64"/>
  <c r="AC12" i="64"/>
  <c r="W48" i="64"/>
  <c r="AB48" i="64" s="1"/>
  <c r="K47" i="64"/>
  <c r="L50" i="64" s="1"/>
  <c r="C50" i="64"/>
  <c r="L82" i="64" l="1"/>
  <c r="K86" i="64" s="1"/>
  <c r="W49" i="64"/>
  <c r="AB49" i="64" s="1"/>
  <c r="AB26" i="64"/>
  <c r="X53" i="64" s="1"/>
  <c r="AB54" i="64" s="1"/>
  <c r="AC10" i="64"/>
  <c r="AC26" i="64" s="1"/>
  <c r="W47" i="64"/>
  <c r="X56" i="64"/>
  <c r="AB57" i="64" s="1"/>
  <c r="AC40" i="64"/>
  <c r="AC44" i="64" l="1"/>
  <c r="AB68" i="64"/>
  <c r="AC68" i="64" s="1"/>
  <c r="AB71" i="64"/>
  <c r="AC71" i="64" s="1"/>
  <c r="L86" i="64"/>
  <c r="AC76" i="64"/>
  <c r="AB58" i="64"/>
  <c r="AC58" i="64" s="1"/>
  <c r="AB77" i="64"/>
  <c r="AC77" i="64" s="1"/>
  <c r="AB66" i="64"/>
  <c r="AC66" i="64" s="1"/>
  <c r="AB69" i="64"/>
  <c r="AC69" i="64" s="1"/>
  <c r="AB70" i="64"/>
  <c r="AC70" i="64" s="1"/>
  <c r="W50" i="64"/>
  <c r="AB47" i="64"/>
  <c r="AC50" i="64" s="1"/>
  <c r="AC81" i="64" s="1"/>
  <c r="L84" i="64" s="1"/>
  <c r="L87" i="64" l="1"/>
  <c r="L94" i="64"/>
  <c r="L90" i="64" l="1"/>
  <c r="L92" i="64" s="1"/>
  <c r="C177" i="62" l="1"/>
  <c r="C176" i="62"/>
  <c r="B136" i="62"/>
  <c r="B135" i="62"/>
  <c r="M86" i="62"/>
  <c r="V78" i="62"/>
  <c r="Y77" i="62"/>
  <c r="V77" i="62"/>
  <c r="Y76" i="62"/>
  <c r="V76" i="62"/>
  <c r="G76" i="62"/>
  <c r="I76" i="62" s="1"/>
  <c r="AB75" i="62"/>
  <c r="G75" i="62"/>
  <c r="I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AB40" i="62" s="1"/>
  <c r="X37" i="62"/>
  <c r="E37" i="62"/>
  <c r="D37" i="62"/>
  <c r="AC36" i="62"/>
  <c r="AB36" i="62"/>
  <c r="G36" i="62"/>
  <c r="L36" i="62" s="1"/>
  <c r="AC35" i="62"/>
  <c r="AB35" i="62"/>
  <c r="G35" i="62"/>
  <c r="L35" i="62" s="1"/>
  <c r="AC34" i="62"/>
  <c r="AB34" i="62"/>
  <c r="G34" i="62"/>
  <c r="L34" i="62" s="1"/>
  <c r="AC33" i="62"/>
  <c r="AB33" i="62"/>
  <c r="G33" i="62"/>
  <c r="L33" i="62" s="1"/>
  <c r="AC32" i="62"/>
  <c r="AB32" i="62"/>
  <c r="G32" i="62"/>
  <c r="L32" i="62" s="1"/>
  <c r="AC31" i="62"/>
  <c r="AB31" i="62"/>
  <c r="G31" i="62"/>
  <c r="L31" i="62" s="1"/>
  <c r="AC30" i="62"/>
  <c r="AB30" i="62"/>
  <c r="G30" i="62"/>
  <c r="L30" i="62" s="1"/>
  <c r="AC29" i="62"/>
  <c r="AB29" i="62"/>
  <c r="G29" i="62"/>
  <c r="L29" i="62" s="1"/>
  <c r="AC28" i="62"/>
  <c r="AC37" i="62" s="1"/>
  <c r="AB28" i="62"/>
  <c r="G28" i="62"/>
  <c r="E26" i="62"/>
  <c r="D26" i="62"/>
  <c r="G25" i="62"/>
  <c r="K25" i="62" s="1"/>
  <c r="L25" i="62" s="1"/>
  <c r="I24" i="62"/>
  <c r="G24" i="62"/>
  <c r="K24" i="62" s="1"/>
  <c r="L24" i="62" s="1"/>
  <c r="I23" i="62"/>
  <c r="G23" i="62"/>
  <c r="K23" i="62" s="1"/>
  <c r="L23" i="62" s="1"/>
  <c r="G22" i="62"/>
  <c r="K22" i="62" s="1"/>
  <c r="L22" i="62" s="1"/>
  <c r="I21" i="62"/>
  <c r="G21" i="62"/>
  <c r="K21" i="62" s="1"/>
  <c r="L21" i="62" s="1"/>
  <c r="I20" i="62"/>
  <c r="G20" i="62"/>
  <c r="K20" i="62" s="1"/>
  <c r="L20" i="62" s="1"/>
  <c r="G19" i="62"/>
  <c r="K19" i="62" s="1"/>
  <c r="L19" i="62" s="1"/>
  <c r="I18" i="62"/>
  <c r="G18" i="62"/>
  <c r="K18" i="62" s="1"/>
  <c r="L18" i="62" s="1"/>
  <c r="I17" i="62"/>
  <c r="G17" i="62"/>
  <c r="K17" i="62" s="1"/>
  <c r="L17" i="62" s="1"/>
  <c r="G16" i="62"/>
  <c r="K16" i="62" s="1"/>
  <c r="L16" i="62" s="1"/>
  <c r="I15" i="62"/>
  <c r="G15" i="62"/>
  <c r="K15" i="62" s="1"/>
  <c r="L15" i="62" s="1"/>
  <c r="G14" i="62"/>
  <c r="K14" i="62" s="1"/>
  <c r="I13" i="62"/>
  <c r="G13" i="62"/>
  <c r="K13" i="62" s="1"/>
  <c r="L13" i="62" s="1"/>
  <c r="G12" i="62"/>
  <c r="K12" i="62" s="1"/>
  <c r="I11" i="62"/>
  <c r="G11" i="62"/>
  <c r="M11" i="62" s="1"/>
  <c r="G10" i="62"/>
  <c r="AB7" i="62"/>
  <c r="X47" i="62" s="1"/>
  <c r="X7" i="62"/>
  <c r="V4" i="62"/>
  <c r="B3" i="62"/>
  <c r="V2" i="62"/>
  <c r="G26" i="62" l="1"/>
  <c r="G56" i="62" s="1"/>
  <c r="K57" i="62" s="1"/>
  <c r="C48" i="62"/>
  <c r="K48" i="62" s="1"/>
  <c r="L12" i="62"/>
  <c r="K11" i="62"/>
  <c r="L11" i="62" s="1"/>
  <c r="M15" i="62"/>
  <c r="G37" i="62"/>
  <c r="L14" i="62"/>
  <c r="C49" i="62"/>
  <c r="K49" i="62" s="1"/>
  <c r="L75" i="62"/>
  <c r="Z74" i="62"/>
  <c r="AC74" i="62" s="1"/>
  <c r="K84" i="62"/>
  <c r="L40" i="62"/>
  <c r="L76" i="62"/>
  <c r="Z75" i="62"/>
  <c r="AC75" i="62" s="1"/>
  <c r="M13" i="62"/>
  <c r="X49" i="62"/>
  <c r="K10" i="62"/>
  <c r="L28" i="62"/>
  <c r="L37" i="62" s="1"/>
  <c r="X48" i="62"/>
  <c r="K69" i="62" l="1"/>
  <c r="L69" i="62" s="1"/>
  <c r="K72" i="62"/>
  <c r="L72" i="62" s="1"/>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10" i="62"/>
  <c r="L26" i="62" s="1"/>
  <c r="L44" i="62" s="1"/>
  <c r="K26" i="62"/>
  <c r="G53" i="62" s="1"/>
  <c r="K54" i="62" s="1"/>
  <c r="K71" i="62" l="1"/>
  <c r="L71" i="62" s="1"/>
  <c r="L77" i="62"/>
  <c r="K70" i="62"/>
  <c r="L70" i="62" s="1"/>
  <c r="K59" i="62"/>
  <c r="L59" i="62" s="1"/>
  <c r="K78" i="62"/>
  <c r="L78" i="62" s="1"/>
  <c r="K67" i="62"/>
  <c r="L67" i="62" s="1"/>
  <c r="AB10" i="62"/>
  <c r="X26" i="62"/>
  <c r="W48" i="62"/>
  <c r="AB48" i="62" s="1"/>
  <c r="AC12" i="62"/>
  <c r="K47" i="62"/>
  <c r="L50" i="62" s="1"/>
  <c r="C50" i="62"/>
  <c r="AC14" i="62"/>
  <c r="W49" i="62"/>
  <c r="AB49" i="62" s="1"/>
  <c r="L82" i="62" l="1"/>
  <c r="K86" i="62"/>
  <c r="X56" i="62"/>
  <c r="AB57" i="62" s="1"/>
  <c r="AC40" i="62"/>
  <c r="AB26" i="62"/>
  <c r="X53" i="62" s="1"/>
  <c r="AB54" i="62" s="1"/>
  <c r="W47" i="62"/>
  <c r="AC10" i="62"/>
  <c r="AC26" i="62" s="1"/>
  <c r="AC44" i="62" s="1"/>
  <c r="AB68" i="62" l="1"/>
  <c r="AC68" i="62" s="1"/>
  <c r="AB71" i="62"/>
  <c r="AC71" i="62" s="1"/>
  <c r="AB77" i="62"/>
  <c r="AC77" i="62" s="1"/>
  <c r="AB66" i="62"/>
  <c r="AC66" i="62" s="1"/>
  <c r="AB70" i="62"/>
  <c r="AC70" i="62" s="1"/>
  <c r="AC76" i="62"/>
  <c r="AB69" i="62"/>
  <c r="AC69" i="62" s="1"/>
  <c r="AB58" i="62"/>
  <c r="AC58" i="62" s="1"/>
  <c r="L86" i="62"/>
  <c r="W50" i="62"/>
  <c r="AB47" i="62"/>
  <c r="AC50" i="62" s="1"/>
  <c r="AC81" i="62" l="1"/>
  <c r="L84" i="62" s="1"/>
  <c r="L87" i="62"/>
  <c r="L94" i="62"/>
  <c r="L90" i="62" l="1"/>
  <c r="L92" i="62" s="1"/>
  <c r="C177" i="61"/>
  <c r="C176" i="61"/>
  <c r="B136" i="61"/>
  <c r="B135" i="61"/>
  <c r="M86" i="61"/>
  <c r="V78" i="61"/>
  <c r="Y77" i="61"/>
  <c r="V77" i="61"/>
  <c r="Y76" i="61"/>
  <c r="V76" i="61"/>
  <c r="G76" i="61"/>
  <c r="I76" i="61" s="1"/>
  <c r="AB75" i="61"/>
  <c r="G75" i="61"/>
  <c r="I75" i="61" s="1"/>
  <c r="AB74" i="61"/>
  <c r="Y71" i="61"/>
  <c r="Y70" i="61"/>
  <c r="Y69" i="61"/>
  <c r="Y68" i="61"/>
  <c r="Y66" i="61"/>
  <c r="X65" i="61"/>
  <c r="Y58" i="61" s="1"/>
  <c r="G65" i="61"/>
  <c r="X64" i="61"/>
  <c r="X61" i="61"/>
  <c r="X60" i="61"/>
  <c r="AA56" i="61"/>
  <c r="J56" i="61"/>
  <c r="AA53" i="61"/>
  <c r="Z49" i="61"/>
  <c r="X49" i="61"/>
  <c r="G49" i="61"/>
  <c r="Z48" i="61"/>
  <c r="G48" i="61"/>
  <c r="Z47" i="61"/>
  <c r="G47" i="61"/>
  <c r="X40" i="61"/>
  <c r="K40" i="61"/>
  <c r="X39" i="61"/>
  <c r="AB40" i="61" s="1"/>
  <c r="X37" i="61"/>
  <c r="E37" i="61"/>
  <c r="D37" i="61"/>
  <c r="AC36" i="61"/>
  <c r="AB36" i="61"/>
  <c r="G36" i="61"/>
  <c r="L36" i="61" s="1"/>
  <c r="AC35" i="61"/>
  <c r="AB35" i="61"/>
  <c r="G35" i="61"/>
  <c r="L35" i="61" s="1"/>
  <c r="AC34" i="61"/>
  <c r="AB34" i="61"/>
  <c r="G34" i="61"/>
  <c r="L34" i="61" s="1"/>
  <c r="AC33" i="61"/>
  <c r="AB33" i="61"/>
  <c r="G33" i="61"/>
  <c r="L33" i="61" s="1"/>
  <c r="AC32" i="61"/>
  <c r="AB32" i="61"/>
  <c r="G32" i="61"/>
  <c r="L32" i="61" s="1"/>
  <c r="AC31" i="61"/>
  <c r="AB31" i="61"/>
  <c r="G31" i="61"/>
  <c r="L31" i="61" s="1"/>
  <c r="AC30" i="61"/>
  <c r="AB30" i="61"/>
  <c r="G30" i="61"/>
  <c r="L30" i="61" s="1"/>
  <c r="AC29" i="61"/>
  <c r="AB29" i="61"/>
  <c r="G29" i="61"/>
  <c r="L29" i="61" s="1"/>
  <c r="AC28" i="61"/>
  <c r="AC37" i="61" s="1"/>
  <c r="AB28" i="61"/>
  <c r="G28" i="61"/>
  <c r="E26" i="61"/>
  <c r="D26" i="61"/>
  <c r="G25" i="61"/>
  <c r="K25" i="61" s="1"/>
  <c r="L25" i="61" s="1"/>
  <c r="I24" i="61"/>
  <c r="G24" i="61"/>
  <c r="K24" i="61" s="1"/>
  <c r="L24" i="61" s="1"/>
  <c r="I23" i="61"/>
  <c r="G23" i="61"/>
  <c r="K23" i="61" s="1"/>
  <c r="L23" i="61" s="1"/>
  <c r="G22" i="61"/>
  <c r="K22" i="61" s="1"/>
  <c r="L22" i="61" s="1"/>
  <c r="I21" i="61"/>
  <c r="G21" i="61"/>
  <c r="K21" i="61" s="1"/>
  <c r="L21" i="61" s="1"/>
  <c r="I20" i="61"/>
  <c r="G20" i="61"/>
  <c r="K20" i="61" s="1"/>
  <c r="L20" i="61" s="1"/>
  <c r="G19" i="61"/>
  <c r="K19" i="61" s="1"/>
  <c r="L19" i="61" s="1"/>
  <c r="I18" i="61"/>
  <c r="G18" i="61"/>
  <c r="K18" i="61" s="1"/>
  <c r="L18" i="61" s="1"/>
  <c r="I17" i="61"/>
  <c r="G17" i="61"/>
  <c r="K17" i="61" s="1"/>
  <c r="L17" i="61" s="1"/>
  <c r="G16" i="61"/>
  <c r="K16" i="61" s="1"/>
  <c r="L16" i="61" s="1"/>
  <c r="I15" i="61"/>
  <c r="G15" i="61"/>
  <c r="K15" i="61" s="1"/>
  <c r="L15" i="61" s="1"/>
  <c r="G14" i="61"/>
  <c r="K14" i="61" s="1"/>
  <c r="I13" i="61"/>
  <c r="G13" i="61"/>
  <c r="K13" i="61" s="1"/>
  <c r="L13" i="61" s="1"/>
  <c r="G12" i="61"/>
  <c r="K12" i="61" s="1"/>
  <c r="L12" i="61" s="1"/>
  <c r="I11" i="61"/>
  <c r="G11" i="61"/>
  <c r="M11" i="61" s="1"/>
  <c r="G10" i="61"/>
  <c r="AB7" i="61"/>
  <c r="X47" i="61" s="1"/>
  <c r="X7" i="61"/>
  <c r="V4" i="61"/>
  <c r="B3" i="61"/>
  <c r="V2" i="61"/>
  <c r="G26" i="61" l="1"/>
  <c r="K84" i="61" s="1"/>
  <c r="L76" i="61"/>
  <c r="Z75" i="61"/>
  <c r="K11" i="61"/>
  <c r="L11" i="61" s="1"/>
  <c r="AC75" i="61"/>
  <c r="G37" i="61"/>
  <c r="M15" i="61"/>
  <c r="C48" i="61"/>
  <c r="K48" i="61" s="1"/>
  <c r="L14" i="61"/>
  <c r="C49" i="61"/>
  <c r="K49" i="61" s="1"/>
  <c r="L75" i="61"/>
  <c r="Z74" i="61"/>
  <c r="AC74" i="61" s="1"/>
  <c r="M13" i="61"/>
  <c r="K10" i="61"/>
  <c r="L28" i="61"/>
  <c r="L37" i="61" s="1"/>
  <c r="X48" i="61"/>
  <c r="L40" i="61" l="1"/>
  <c r="G56" i="61"/>
  <c r="K57" i="61" s="1"/>
  <c r="C47" i="61"/>
  <c r="L10" i="61"/>
  <c r="L26" i="61" s="1"/>
  <c r="L44" i="61" s="1"/>
  <c r="K26" i="61"/>
  <c r="G53" i="61" s="1"/>
  <c r="K54" i="61" s="1"/>
  <c r="K69" i="61"/>
  <c r="L69" i="61" s="1"/>
  <c r="K72" i="61"/>
  <c r="L72" i="61" s="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AC14" i="61" l="1"/>
  <c r="W49" i="61"/>
  <c r="AB49" i="61" s="1"/>
  <c r="K71" i="61"/>
  <c r="L71" i="61" s="1"/>
  <c r="L77" i="61"/>
  <c r="K70" i="61"/>
  <c r="L70" i="61" s="1"/>
  <c r="K59" i="61"/>
  <c r="L59" i="61" s="1"/>
  <c r="K78" i="61"/>
  <c r="L78" i="61" s="1"/>
  <c r="K67" i="61"/>
  <c r="L67" i="61" s="1"/>
  <c r="C50" i="61"/>
  <c r="K47" i="61"/>
  <c r="L50" i="61" s="1"/>
  <c r="L82" i="61" s="1"/>
  <c r="X26" i="61"/>
  <c r="AB10" i="61"/>
  <c r="AC12" i="61"/>
  <c r="W48" i="61"/>
  <c r="AB48" i="61" s="1"/>
  <c r="AB26" i="61" l="1"/>
  <c r="X53" i="61" s="1"/>
  <c r="AB54" i="61" s="1"/>
  <c r="AC10" i="61"/>
  <c r="AC26" i="61" s="1"/>
  <c r="W47" i="61"/>
  <c r="X56" i="61"/>
  <c r="AB57"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M86" i="60"/>
  <c r="V78" i="60"/>
  <c r="Y77" i="60"/>
  <c r="V77" i="60"/>
  <c r="Y76" i="60"/>
  <c r="V76" i="60"/>
  <c r="G76" i="60"/>
  <c r="I76" i="60" s="1"/>
  <c r="AB75" i="60"/>
  <c r="G75" i="60"/>
  <c r="I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C36" i="60"/>
  <c r="AB36" i="60"/>
  <c r="G36" i="60"/>
  <c r="L36" i="60" s="1"/>
  <c r="AC35" i="60"/>
  <c r="AB35" i="60"/>
  <c r="G35" i="60"/>
  <c r="L35" i="60" s="1"/>
  <c r="AC34" i="60"/>
  <c r="AB34" i="60"/>
  <c r="G34" i="60"/>
  <c r="L34" i="60" s="1"/>
  <c r="AC33" i="60"/>
  <c r="AB33" i="60"/>
  <c r="G33" i="60"/>
  <c r="L33" i="60" s="1"/>
  <c r="AC32" i="60"/>
  <c r="AB32" i="60"/>
  <c r="G32" i="60"/>
  <c r="L32" i="60" s="1"/>
  <c r="AC31" i="60"/>
  <c r="AB31" i="60"/>
  <c r="G31" i="60"/>
  <c r="L31" i="60" s="1"/>
  <c r="AC30" i="60"/>
  <c r="AB30" i="60"/>
  <c r="G30" i="60"/>
  <c r="L30" i="60" s="1"/>
  <c r="AC29" i="60"/>
  <c r="AB29" i="60"/>
  <c r="G29" i="60"/>
  <c r="L29" i="60" s="1"/>
  <c r="AC28" i="60"/>
  <c r="AB28" i="60"/>
  <c r="G28" i="60"/>
  <c r="G37" i="60" s="1"/>
  <c r="E26" i="60"/>
  <c r="D26" i="60"/>
  <c r="G25" i="60"/>
  <c r="K25" i="60" s="1"/>
  <c r="L25" i="60" s="1"/>
  <c r="I24" i="60"/>
  <c r="G24" i="60"/>
  <c r="K24" i="60" s="1"/>
  <c r="L24" i="60" s="1"/>
  <c r="I23" i="60"/>
  <c r="G23" i="60"/>
  <c r="K23" i="60" s="1"/>
  <c r="L23" i="60" s="1"/>
  <c r="G22" i="60"/>
  <c r="K22" i="60" s="1"/>
  <c r="L22" i="60" s="1"/>
  <c r="I21" i="60"/>
  <c r="G21" i="60"/>
  <c r="K21" i="60" s="1"/>
  <c r="L21" i="60" s="1"/>
  <c r="I20" i="60"/>
  <c r="G20" i="60"/>
  <c r="K20" i="60" s="1"/>
  <c r="L20" i="60" s="1"/>
  <c r="G19" i="60"/>
  <c r="K19" i="60" s="1"/>
  <c r="L19" i="60" s="1"/>
  <c r="I18" i="60"/>
  <c r="G18" i="60"/>
  <c r="K18" i="60" s="1"/>
  <c r="L18" i="60" s="1"/>
  <c r="I17" i="60"/>
  <c r="G17" i="60"/>
  <c r="K17" i="60" s="1"/>
  <c r="L17" i="60" s="1"/>
  <c r="G16" i="60"/>
  <c r="K16" i="60" s="1"/>
  <c r="L16" i="60" s="1"/>
  <c r="I15" i="60"/>
  <c r="G15" i="60"/>
  <c r="G14" i="60"/>
  <c r="K14" i="60" s="1"/>
  <c r="I13" i="60"/>
  <c r="G13" i="60"/>
  <c r="K13" i="60" s="1"/>
  <c r="L13" i="60" s="1"/>
  <c r="G12" i="60"/>
  <c r="K12" i="60" s="1"/>
  <c r="I11" i="60"/>
  <c r="G11" i="60"/>
  <c r="M11" i="60" s="1"/>
  <c r="G10" i="60"/>
  <c r="AB7" i="60"/>
  <c r="X7" i="60"/>
  <c r="V4" i="60"/>
  <c r="B3" i="60"/>
  <c r="V2" i="60"/>
  <c r="K15" i="60" l="1"/>
  <c r="L15" i="60" s="1"/>
  <c r="G26" i="60"/>
  <c r="L40" i="60" s="1"/>
  <c r="K11" i="60"/>
  <c r="L11" i="60" s="1"/>
  <c r="M15" i="60"/>
  <c r="AC37" i="60"/>
  <c r="Y58" i="60"/>
  <c r="L75" i="60"/>
  <c r="Z74" i="60"/>
  <c r="AC74" i="60" s="1"/>
  <c r="L12" i="60"/>
  <c r="C48" i="60"/>
  <c r="K48" i="60" s="1"/>
  <c r="X47" i="60"/>
  <c r="X49" i="60"/>
  <c r="X48" i="60"/>
  <c r="K84" i="60"/>
  <c r="L14" i="60"/>
  <c r="C49" i="60"/>
  <c r="K49" i="60" s="1"/>
  <c r="L76" i="60"/>
  <c r="Z75" i="60"/>
  <c r="AC75" i="60" s="1"/>
  <c r="K10" i="60"/>
  <c r="L28" i="60"/>
  <c r="L37" i="60" s="1"/>
  <c r="M13" i="60"/>
  <c r="G56" i="60" l="1"/>
  <c r="K57" i="60" s="1"/>
  <c r="C47" i="60"/>
  <c r="L10" i="60"/>
  <c r="L26" i="60" s="1"/>
  <c r="L44" i="60" s="1"/>
  <c r="K26" i="60"/>
  <c r="G53" i="60" s="1"/>
  <c r="K54" i="60" s="1"/>
  <c r="K69" i="60"/>
  <c r="L69" i="60" s="1"/>
  <c r="K72" i="60"/>
  <c r="L72" i="60" s="1"/>
  <c r="X25" i="60"/>
  <c r="AB25" i="60" s="1"/>
  <c r="AC25" i="60" s="1"/>
  <c r="X22" i="60"/>
  <c r="AB22" i="60" s="1"/>
  <c r="AC22" i="60" s="1"/>
  <c r="X19" i="60"/>
  <c r="AB19" i="60" s="1"/>
  <c r="AC19" i="60" s="1"/>
  <c r="X16" i="60"/>
  <c r="AB16" i="60" s="1"/>
  <c r="AC16" i="60" s="1"/>
  <c r="X13" i="60"/>
  <c r="AB13" i="60" s="1"/>
  <c r="AC13" i="60" s="1"/>
  <c r="X12" i="60"/>
  <c r="AB12" i="60" s="1"/>
  <c r="X23" i="60"/>
  <c r="AB23" i="60" s="1"/>
  <c r="AC23" i="60" s="1"/>
  <c r="X20" i="60"/>
  <c r="AB20" i="60" s="1"/>
  <c r="AC20" i="60" s="1"/>
  <c r="X17" i="60"/>
  <c r="AB17" i="60" s="1"/>
  <c r="AC17" i="60" s="1"/>
  <c r="X15" i="60"/>
  <c r="AB15" i="60" s="1"/>
  <c r="AC15" i="60" s="1"/>
  <c r="X11" i="60"/>
  <c r="AB11" i="60" s="1"/>
  <c r="AC11" i="60" s="1"/>
  <c r="X24" i="60"/>
  <c r="AB24" i="60" s="1"/>
  <c r="AC24" i="60" s="1"/>
  <c r="X18" i="60"/>
  <c r="AB18" i="60" s="1"/>
  <c r="AC18" i="60" s="1"/>
  <c r="X14" i="60"/>
  <c r="AB14" i="60" s="1"/>
  <c r="X10" i="60"/>
  <c r="X21" i="60"/>
  <c r="AB21" i="60" s="1"/>
  <c r="AC21" i="60" s="1"/>
  <c r="W48" i="60" l="1"/>
  <c r="AB48" i="60" s="1"/>
  <c r="AC12" i="60"/>
  <c r="AB10" i="60"/>
  <c r="X26" i="60"/>
  <c r="K71" i="60"/>
  <c r="L71" i="60" s="1"/>
  <c r="L77" i="60"/>
  <c r="K70" i="60"/>
  <c r="L70" i="60" s="1"/>
  <c r="K59" i="60"/>
  <c r="L59" i="60" s="1"/>
  <c r="K78" i="60"/>
  <c r="L78" i="60" s="1"/>
  <c r="K67" i="60"/>
  <c r="L67" i="60" s="1"/>
  <c r="AC14" i="60"/>
  <c r="W49" i="60"/>
  <c r="AB49" i="60" s="1"/>
  <c r="K47" i="60"/>
  <c r="L50" i="60" s="1"/>
  <c r="C50" i="60"/>
  <c r="L82" i="60" l="1"/>
  <c r="K86" i="60" s="1"/>
  <c r="AB26" i="60"/>
  <c r="X53" i="60" s="1"/>
  <c r="AB54" i="60" s="1"/>
  <c r="W47" i="60"/>
  <c r="AC10" i="60"/>
  <c r="AC26" i="60" s="1"/>
  <c r="X56" i="60"/>
  <c r="AB57"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M86" i="59"/>
  <c r="V78" i="59"/>
  <c r="Y77" i="59"/>
  <c r="V77" i="59"/>
  <c r="Y76" i="59"/>
  <c r="V76" i="59"/>
  <c r="G76" i="59"/>
  <c r="I76" i="59" s="1"/>
  <c r="AB75" i="59"/>
  <c r="G75" i="59"/>
  <c r="I75" i="59" s="1"/>
  <c r="AB74" i="59"/>
  <c r="Y71" i="59"/>
  <c r="Y70" i="59"/>
  <c r="Y69" i="59"/>
  <c r="Y68" i="59"/>
  <c r="Y66" i="59"/>
  <c r="X65" i="59"/>
  <c r="G65" i="59"/>
  <c r="X64" i="59"/>
  <c r="X61" i="59"/>
  <c r="X60" i="59"/>
  <c r="AA56" i="59"/>
  <c r="J56" i="59"/>
  <c r="AA53" i="59"/>
  <c r="Z49" i="59"/>
  <c r="G49" i="59"/>
  <c r="Z48" i="59"/>
  <c r="G48" i="59"/>
  <c r="Z47" i="59"/>
  <c r="G47" i="59"/>
  <c r="X40" i="59"/>
  <c r="K40" i="59"/>
  <c r="X39" i="59"/>
  <c r="AB40" i="59" s="1"/>
  <c r="X37" i="59"/>
  <c r="E37" i="59"/>
  <c r="D37" i="59"/>
  <c r="AC36" i="59"/>
  <c r="AB36" i="59"/>
  <c r="G36" i="59"/>
  <c r="L36" i="59" s="1"/>
  <c r="AC35" i="59"/>
  <c r="AB35" i="59"/>
  <c r="G35" i="59"/>
  <c r="L35" i="59" s="1"/>
  <c r="AC34" i="59"/>
  <c r="AB34" i="59"/>
  <c r="G34" i="59"/>
  <c r="L34" i="59" s="1"/>
  <c r="AC33" i="59"/>
  <c r="AB33" i="59"/>
  <c r="G33" i="59"/>
  <c r="L33" i="59" s="1"/>
  <c r="AC32" i="59"/>
  <c r="AB32" i="59"/>
  <c r="G32" i="59"/>
  <c r="L32" i="59" s="1"/>
  <c r="AC31" i="59"/>
  <c r="AB31" i="59"/>
  <c r="G31" i="59"/>
  <c r="L31" i="59" s="1"/>
  <c r="AC30" i="59"/>
  <c r="AB30" i="59"/>
  <c r="G30" i="59"/>
  <c r="L30" i="59" s="1"/>
  <c r="AC29" i="59"/>
  <c r="AB29" i="59"/>
  <c r="G29" i="59"/>
  <c r="L29" i="59" s="1"/>
  <c r="AC28" i="59"/>
  <c r="AB28" i="59"/>
  <c r="G28" i="59"/>
  <c r="E26" i="59"/>
  <c r="D26" i="59"/>
  <c r="G25" i="59"/>
  <c r="K25" i="59" s="1"/>
  <c r="L25" i="59" s="1"/>
  <c r="I24" i="59"/>
  <c r="G24" i="59"/>
  <c r="I23" i="59"/>
  <c r="G23" i="59"/>
  <c r="K23" i="59" s="1"/>
  <c r="L23" i="59" s="1"/>
  <c r="G22" i="59"/>
  <c r="K22" i="59" s="1"/>
  <c r="L22" i="59" s="1"/>
  <c r="I21" i="59"/>
  <c r="G21" i="59"/>
  <c r="I20" i="59"/>
  <c r="G20" i="59"/>
  <c r="K20" i="59" s="1"/>
  <c r="L20" i="59" s="1"/>
  <c r="G19" i="59"/>
  <c r="K19" i="59" s="1"/>
  <c r="L19" i="59" s="1"/>
  <c r="G18" i="59"/>
  <c r="I17" i="59"/>
  <c r="I18" i="59" s="1"/>
  <c r="K18" i="59" s="1"/>
  <c r="L18" i="59" s="1"/>
  <c r="G17" i="59"/>
  <c r="K16" i="59"/>
  <c r="L16" i="59" s="1"/>
  <c r="G16" i="59"/>
  <c r="I15" i="59"/>
  <c r="G15" i="59"/>
  <c r="K15" i="59" s="1"/>
  <c r="L15" i="59" s="1"/>
  <c r="G14" i="59"/>
  <c r="K14" i="59" s="1"/>
  <c r="I13" i="59"/>
  <c r="G13" i="59"/>
  <c r="G12" i="59"/>
  <c r="K12" i="59" s="1"/>
  <c r="L12" i="59" s="1"/>
  <c r="I11" i="59"/>
  <c r="G11" i="59"/>
  <c r="K11" i="59" s="1"/>
  <c r="L11" i="59" s="1"/>
  <c r="G10" i="59"/>
  <c r="K10" i="59" s="1"/>
  <c r="AB7" i="59"/>
  <c r="X49" i="59" s="1"/>
  <c r="X7" i="59"/>
  <c r="V4" i="59"/>
  <c r="B3" i="59"/>
  <c r="V2" i="59"/>
  <c r="L76" i="59" l="1"/>
  <c r="Z75" i="59"/>
  <c r="C47" i="59"/>
  <c r="L10" i="59"/>
  <c r="L14" i="59"/>
  <c r="G37" i="59"/>
  <c r="L28" i="59"/>
  <c r="L37" i="59" s="1"/>
  <c r="K21" i="59"/>
  <c r="L21" i="59" s="1"/>
  <c r="K24" i="59"/>
  <c r="L24" i="59" s="1"/>
  <c r="Y58" i="59"/>
  <c r="AC75" i="59"/>
  <c r="G26" i="59"/>
  <c r="M13" i="59"/>
  <c r="M15" i="59"/>
  <c r="K17" i="59"/>
  <c r="L17" i="59" s="1"/>
  <c r="L75" i="59"/>
  <c r="Z74" i="59"/>
  <c r="AC74" i="59" s="1"/>
  <c r="X47" i="59"/>
  <c r="X48" i="59"/>
  <c r="M11" i="59"/>
  <c r="K13" i="59"/>
  <c r="L13" i="59" s="1"/>
  <c r="AC37" i="59"/>
  <c r="K26" i="59" l="1"/>
  <c r="G53" i="59" s="1"/>
  <c r="K54" i="59" s="1"/>
  <c r="K84" i="59"/>
  <c r="G56" i="59"/>
  <c r="K57" i="59" s="1"/>
  <c r="C49" i="59"/>
  <c r="K49" i="59" s="1"/>
  <c r="K47" i="59"/>
  <c r="L26" i="59"/>
  <c r="C48" i="59"/>
  <c r="K48" i="59" s="1"/>
  <c r="L40" i="59"/>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L71" i="59" s="1"/>
  <c r="L77" i="59"/>
  <c r="K70" i="59"/>
  <c r="L70" i="59" s="1"/>
  <c r="K59" i="59"/>
  <c r="L59" i="59" s="1"/>
  <c r="K78" i="59"/>
  <c r="L78" i="59" s="1"/>
  <c r="K67" i="59"/>
  <c r="L67" i="59" s="1"/>
  <c r="L44" i="59"/>
  <c r="K72" i="59"/>
  <c r="L72" i="59" s="1"/>
  <c r="K69" i="59"/>
  <c r="L69" i="59" s="1"/>
  <c r="AC12" i="59" l="1"/>
  <c r="W48" i="59"/>
  <c r="AB48" i="59" s="1"/>
  <c r="L82" i="59"/>
  <c r="AC14" i="59"/>
  <c r="W49" i="59"/>
  <c r="AB49" i="59" s="1"/>
  <c r="X26" i="59"/>
  <c r="AB10" i="59"/>
  <c r="K86" i="59" l="1"/>
  <c r="X56" i="59"/>
  <c r="AB57" i="59" s="1"/>
  <c r="AC40" i="59"/>
  <c r="AB26" i="59"/>
  <c r="X53" i="59" s="1"/>
  <c r="AB54" i="59" s="1"/>
  <c r="W47" i="59"/>
  <c r="AC10" i="59"/>
  <c r="AC26" i="59" s="1"/>
  <c r="AC44" i="59" s="1"/>
  <c r="AB68" i="59" l="1"/>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M86" i="58"/>
  <c r="V78" i="58"/>
  <c r="Y77" i="58"/>
  <c r="V77" i="58"/>
  <c r="Y76" i="58"/>
  <c r="V76" i="58"/>
  <c r="G76" i="58"/>
  <c r="I76" i="58" s="1"/>
  <c r="AB75" i="58"/>
  <c r="G75" i="58"/>
  <c r="I75" i="58" s="1"/>
  <c r="AB74" i="58"/>
  <c r="Y71" i="58"/>
  <c r="Y70" i="58"/>
  <c r="Y69" i="58"/>
  <c r="Y68" i="58"/>
  <c r="Y66" i="58"/>
  <c r="X65" i="58"/>
  <c r="Y58" i="58" s="1"/>
  <c r="G65" i="58"/>
  <c r="X64" i="58"/>
  <c r="X61" i="58"/>
  <c r="X60" i="58"/>
  <c r="AA56" i="58"/>
  <c r="J56" i="58"/>
  <c r="AA53" i="58"/>
  <c r="Z49" i="58"/>
  <c r="X49" i="58"/>
  <c r="G49" i="58"/>
  <c r="Z48" i="58"/>
  <c r="G48" i="58"/>
  <c r="Z47" i="58"/>
  <c r="G47" i="58"/>
  <c r="X40" i="58"/>
  <c r="K40" i="58"/>
  <c r="X39" i="58"/>
  <c r="AB40" i="58" s="1"/>
  <c r="X37" i="58"/>
  <c r="E37" i="58"/>
  <c r="D37" i="58"/>
  <c r="AC36" i="58"/>
  <c r="AB36" i="58"/>
  <c r="G36" i="58"/>
  <c r="L36" i="58" s="1"/>
  <c r="AC35" i="58"/>
  <c r="AB35" i="58"/>
  <c r="G35" i="58"/>
  <c r="L35" i="58" s="1"/>
  <c r="AC34" i="58"/>
  <c r="AB34" i="58"/>
  <c r="G34" i="58"/>
  <c r="L34" i="58" s="1"/>
  <c r="AC33" i="58"/>
  <c r="AB33" i="58"/>
  <c r="G33" i="58"/>
  <c r="L33" i="58" s="1"/>
  <c r="AC32" i="58"/>
  <c r="AB32" i="58"/>
  <c r="G32" i="58"/>
  <c r="L32" i="58" s="1"/>
  <c r="AC31" i="58"/>
  <c r="AB31" i="58"/>
  <c r="G31" i="58"/>
  <c r="L31" i="58" s="1"/>
  <c r="AC30" i="58"/>
  <c r="AB30" i="58"/>
  <c r="G30" i="58"/>
  <c r="L30" i="58" s="1"/>
  <c r="AC29" i="58"/>
  <c r="AB29" i="58"/>
  <c r="G29" i="58"/>
  <c r="L29" i="58" s="1"/>
  <c r="AC28" i="58"/>
  <c r="AC37" i="58" s="1"/>
  <c r="AB28" i="58"/>
  <c r="G28" i="58"/>
  <c r="E26" i="58"/>
  <c r="D26" i="58"/>
  <c r="G25" i="58"/>
  <c r="K25" i="58" s="1"/>
  <c r="L25" i="58" s="1"/>
  <c r="I24" i="58"/>
  <c r="G24" i="58"/>
  <c r="K24" i="58" s="1"/>
  <c r="L24" i="58" s="1"/>
  <c r="I23" i="58"/>
  <c r="G23" i="58"/>
  <c r="K23" i="58" s="1"/>
  <c r="L23" i="58" s="1"/>
  <c r="G22" i="58"/>
  <c r="K22" i="58" s="1"/>
  <c r="L22" i="58" s="1"/>
  <c r="I21" i="58"/>
  <c r="G21" i="58"/>
  <c r="K21" i="58" s="1"/>
  <c r="L21" i="58" s="1"/>
  <c r="I20" i="58"/>
  <c r="G20" i="58"/>
  <c r="K20" i="58" s="1"/>
  <c r="L20" i="58" s="1"/>
  <c r="G19" i="58"/>
  <c r="K19" i="58" s="1"/>
  <c r="L19" i="58" s="1"/>
  <c r="I18" i="58"/>
  <c r="G18" i="58"/>
  <c r="K18" i="58" s="1"/>
  <c r="L18" i="58" s="1"/>
  <c r="I17" i="58"/>
  <c r="G17" i="58"/>
  <c r="K17" i="58" s="1"/>
  <c r="L17" i="58" s="1"/>
  <c r="G16" i="58"/>
  <c r="K16" i="58" s="1"/>
  <c r="L16" i="58" s="1"/>
  <c r="I15" i="58"/>
  <c r="G15" i="58"/>
  <c r="M15" i="58" s="1"/>
  <c r="G14" i="58"/>
  <c r="K14" i="58" s="1"/>
  <c r="I13" i="58"/>
  <c r="G13" i="58"/>
  <c r="K13" i="58" s="1"/>
  <c r="L13" i="58" s="1"/>
  <c r="G12" i="58"/>
  <c r="K12" i="58" s="1"/>
  <c r="L12" i="58" s="1"/>
  <c r="I11" i="58"/>
  <c r="G11" i="58"/>
  <c r="K11" i="58" s="1"/>
  <c r="L11" i="58" s="1"/>
  <c r="G10" i="58"/>
  <c r="AB7" i="58"/>
  <c r="X47" i="58" s="1"/>
  <c r="X7" i="58"/>
  <c r="V4" i="58"/>
  <c r="B3" i="58"/>
  <c r="V2" i="58"/>
  <c r="L76" i="58" l="1"/>
  <c r="Z75" i="58"/>
  <c r="K15" i="58"/>
  <c r="L15" i="58" s="1"/>
  <c r="AC75" i="58"/>
  <c r="G26" i="58"/>
  <c r="K84" i="58" s="1"/>
  <c r="G37" i="58"/>
  <c r="M11" i="58"/>
  <c r="C48" i="58"/>
  <c r="K48" i="58" s="1"/>
  <c r="L14" i="58"/>
  <c r="C49" i="58"/>
  <c r="K49" i="58" s="1"/>
  <c r="L75" i="58"/>
  <c r="Z74" i="58"/>
  <c r="AC74" i="58" s="1"/>
  <c r="L28" i="58"/>
  <c r="L37" i="58" s="1"/>
  <c r="X48" i="58"/>
  <c r="M13" i="58"/>
  <c r="K10" i="58"/>
  <c r="G56" i="58" l="1"/>
  <c r="K57" i="58" s="1"/>
  <c r="L40" i="58"/>
  <c r="C47" i="58"/>
  <c r="L10" i="58"/>
  <c r="L26" i="58" s="1"/>
  <c r="L44" i="58" s="1"/>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L69" i="58" s="1"/>
  <c r="K72" i="58"/>
  <c r="L72" i="58" s="1"/>
  <c r="AC12" i="58" l="1"/>
  <c r="W48" i="58"/>
  <c r="AB48" i="58" s="1"/>
  <c r="C50" i="58"/>
  <c r="K47" i="58"/>
  <c r="L50" i="58" s="1"/>
  <c r="X26" i="58"/>
  <c r="AB10" i="58"/>
  <c r="K71" i="58"/>
  <c r="L71" i="58" s="1"/>
  <c r="L77" i="58"/>
  <c r="K70" i="58"/>
  <c r="L70" i="58" s="1"/>
  <c r="K59" i="58"/>
  <c r="L59" i="58" s="1"/>
  <c r="K78" i="58"/>
  <c r="L78" i="58" s="1"/>
  <c r="K67" i="58"/>
  <c r="L67" i="58" s="1"/>
  <c r="AC14" i="58"/>
  <c r="W49" i="58"/>
  <c r="AB49" i="58" s="1"/>
  <c r="L82" i="58" l="1"/>
  <c r="K86" i="58" s="1"/>
  <c r="AB26" i="58"/>
  <c r="X53" i="58" s="1"/>
  <c r="AB54" i="58" s="1"/>
  <c r="W47" i="58"/>
  <c r="AC10" i="58"/>
  <c r="AC26" i="58" s="1"/>
  <c r="X56" i="58"/>
  <c r="AB57"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M86" i="57"/>
  <c r="V78" i="57"/>
  <c r="Y77" i="57"/>
  <c r="V77" i="57"/>
  <c r="Y76" i="57"/>
  <c r="V76" i="57"/>
  <c r="G76" i="57"/>
  <c r="I76" i="57" s="1"/>
  <c r="AB75" i="57"/>
  <c r="G75" i="57"/>
  <c r="I75" i="57" s="1"/>
  <c r="AB74" i="57"/>
  <c r="Y71" i="57"/>
  <c r="Y70" i="57"/>
  <c r="Y69" i="57"/>
  <c r="Y68" i="57"/>
  <c r="Y66" i="57"/>
  <c r="X65" i="57"/>
  <c r="Y58" i="57" s="1"/>
  <c r="G65" i="57"/>
  <c r="X64" i="57"/>
  <c r="X61" i="57"/>
  <c r="X60" i="57"/>
  <c r="J56" i="57"/>
  <c r="AA56" i="57" s="1"/>
  <c r="AA53" i="57"/>
  <c r="Z49" i="57"/>
  <c r="X49" i="57"/>
  <c r="G49" i="57"/>
  <c r="Z48" i="57"/>
  <c r="G48" i="57"/>
  <c r="Z47" i="57"/>
  <c r="G47" i="57"/>
  <c r="X40" i="57"/>
  <c r="K40" i="57"/>
  <c r="X39" i="57"/>
  <c r="AB40" i="57" s="1"/>
  <c r="X37" i="57"/>
  <c r="E37" i="57"/>
  <c r="D37" i="57"/>
  <c r="AC36" i="57"/>
  <c r="AB36" i="57"/>
  <c r="G36" i="57"/>
  <c r="L36" i="57" s="1"/>
  <c r="AC35" i="57"/>
  <c r="AB35" i="57"/>
  <c r="G35" i="57"/>
  <c r="L35" i="57" s="1"/>
  <c r="AC34" i="57"/>
  <c r="AB34" i="57"/>
  <c r="G34" i="57"/>
  <c r="L34" i="57" s="1"/>
  <c r="AC33" i="57"/>
  <c r="AB33" i="57"/>
  <c r="G33" i="57"/>
  <c r="L33" i="57" s="1"/>
  <c r="AC32" i="57"/>
  <c r="AB32" i="57"/>
  <c r="G32" i="57"/>
  <c r="L32" i="57" s="1"/>
  <c r="AC31" i="57"/>
  <c r="AB31" i="57"/>
  <c r="G31" i="57"/>
  <c r="L31" i="57" s="1"/>
  <c r="AC30" i="57"/>
  <c r="AB30" i="57"/>
  <c r="G30" i="57"/>
  <c r="L30" i="57" s="1"/>
  <c r="AC29" i="57"/>
  <c r="AB29" i="57"/>
  <c r="G29" i="57"/>
  <c r="L29" i="57" s="1"/>
  <c r="AC28" i="57"/>
  <c r="AC37" i="57" s="1"/>
  <c r="AB28" i="57"/>
  <c r="G28" i="57"/>
  <c r="E26" i="57"/>
  <c r="D26" i="57"/>
  <c r="G25" i="57"/>
  <c r="K25" i="57" s="1"/>
  <c r="L25" i="57" s="1"/>
  <c r="I24" i="57"/>
  <c r="G24" i="57"/>
  <c r="K24" i="57" s="1"/>
  <c r="L24" i="57" s="1"/>
  <c r="I23" i="57"/>
  <c r="G23" i="57"/>
  <c r="K23" i="57" s="1"/>
  <c r="L23" i="57" s="1"/>
  <c r="G22" i="57"/>
  <c r="K22" i="57" s="1"/>
  <c r="L22" i="57" s="1"/>
  <c r="I21" i="57"/>
  <c r="G21" i="57"/>
  <c r="K21" i="57" s="1"/>
  <c r="L21" i="57" s="1"/>
  <c r="I20" i="57"/>
  <c r="G20" i="57"/>
  <c r="K20" i="57" s="1"/>
  <c r="L20" i="57" s="1"/>
  <c r="G19" i="57"/>
  <c r="K19" i="57" s="1"/>
  <c r="L19" i="57" s="1"/>
  <c r="I18" i="57"/>
  <c r="G18" i="57"/>
  <c r="K18" i="57" s="1"/>
  <c r="L18" i="57" s="1"/>
  <c r="I17" i="57"/>
  <c r="G17" i="57"/>
  <c r="K17" i="57" s="1"/>
  <c r="L17" i="57" s="1"/>
  <c r="G16" i="57"/>
  <c r="K16" i="57" s="1"/>
  <c r="L16" i="57" s="1"/>
  <c r="I15" i="57"/>
  <c r="G15" i="57"/>
  <c r="M15" i="57" s="1"/>
  <c r="G14" i="57"/>
  <c r="K14" i="57" s="1"/>
  <c r="I13" i="57"/>
  <c r="G13" i="57"/>
  <c r="K13" i="57" s="1"/>
  <c r="L13" i="57" s="1"/>
  <c r="G12" i="57"/>
  <c r="K12" i="57" s="1"/>
  <c r="L12" i="57" s="1"/>
  <c r="I11" i="57"/>
  <c r="G11" i="57"/>
  <c r="K11" i="57" s="1"/>
  <c r="L11" i="57" s="1"/>
  <c r="G10" i="57"/>
  <c r="AB7" i="57"/>
  <c r="X47" i="57" s="1"/>
  <c r="X7" i="57"/>
  <c r="V4" i="57"/>
  <c r="B3" i="57"/>
  <c r="V2" i="57"/>
  <c r="K15" i="57" l="1"/>
  <c r="L15" i="57" s="1"/>
  <c r="G26" i="57"/>
  <c r="K84" i="57" s="1"/>
  <c r="L76" i="57"/>
  <c r="Z75" i="57"/>
  <c r="AC75" i="57" s="1"/>
  <c r="L90" i="58"/>
  <c r="L92" i="58" s="1"/>
  <c r="M11" i="57"/>
  <c r="G37" i="57"/>
  <c r="L75" i="57"/>
  <c r="Z74" i="57"/>
  <c r="AC74" i="57" s="1"/>
  <c r="C48" i="57"/>
  <c r="K48" i="57" s="1"/>
  <c r="L14" i="57"/>
  <c r="C49" i="57"/>
  <c r="K49" i="57" s="1"/>
  <c r="K10" i="57"/>
  <c r="L28" i="57"/>
  <c r="L37" i="57" s="1"/>
  <c r="X48" i="57"/>
  <c r="M13" i="57"/>
  <c r="G56" i="57" l="1"/>
  <c r="K57" i="57" s="1"/>
  <c r="K77" i="57" s="1"/>
  <c r="L40" i="57"/>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10" i="57"/>
  <c r="L26" i="57" s="1"/>
  <c r="L44" i="57" s="1"/>
  <c r="K26" i="57"/>
  <c r="G53" i="57" s="1"/>
  <c r="K54" i="57" s="1"/>
  <c r="K72" i="57"/>
  <c r="L72" i="57" s="1"/>
  <c r="K69" i="57" l="1"/>
  <c r="L69" i="57" s="1"/>
  <c r="K71" i="57"/>
  <c r="L71" i="57" s="1"/>
  <c r="L77" i="57"/>
  <c r="K70" i="57"/>
  <c r="L70" i="57" s="1"/>
  <c r="K59" i="57"/>
  <c r="L59" i="57" s="1"/>
  <c r="K78" i="57"/>
  <c r="L78" i="57" s="1"/>
  <c r="K67" i="57"/>
  <c r="L67" i="57" s="1"/>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M86" i="55"/>
  <c r="V78" i="55"/>
  <c r="Y77" i="55"/>
  <c r="V77" i="55"/>
  <c r="Y76" i="55"/>
  <c r="V76" i="55"/>
  <c r="G76" i="55"/>
  <c r="I76" i="55" s="1"/>
  <c r="AB75" i="55"/>
  <c r="G75" i="55"/>
  <c r="I75" i="55" s="1"/>
  <c r="AB74" i="55"/>
  <c r="Y71" i="55"/>
  <c r="Y70" i="55"/>
  <c r="Y69" i="55"/>
  <c r="Y68" i="55"/>
  <c r="Y66" i="55"/>
  <c r="X65" i="55"/>
  <c r="Y58" i="55" s="1"/>
  <c r="G65" i="55"/>
  <c r="X64" i="55"/>
  <c r="X61" i="55"/>
  <c r="X60" i="55"/>
  <c r="J56" i="55"/>
  <c r="AA56" i="55" s="1"/>
  <c r="AA53" i="55"/>
  <c r="Z49" i="55"/>
  <c r="X49" i="55"/>
  <c r="G49" i="55"/>
  <c r="Z48" i="55"/>
  <c r="X48" i="55"/>
  <c r="G48" i="55"/>
  <c r="Z47" i="55"/>
  <c r="G47" i="55"/>
  <c r="X40" i="55"/>
  <c r="K40" i="55"/>
  <c r="X39" i="55"/>
  <c r="AB40" i="55" s="1"/>
  <c r="AC37" i="55"/>
  <c r="X37" i="55"/>
  <c r="E37" i="55"/>
  <c r="D37" i="55"/>
  <c r="AC36" i="55"/>
  <c r="AB36" i="55"/>
  <c r="G36" i="55"/>
  <c r="L36" i="55" s="1"/>
  <c r="AC35" i="55"/>
  <c r="AB35" i="55"/>
  <c r="G35" i="55"/>
  <c r="L35" i="55" s="1"/>
  <c r="AC34" i="55"/>
  <c r="AB34" i="55"/>
  <c r="G34" i="55"/>
  <c r="L34" i="55" s="1"/>
  <c r="AC33" i="55"/>
  <c r="AB33" i="55"/>
  <c r="G33" i="55"/>
  <c r="L33" i="55" s="1"/>
  <c r="AC32" i="55"/>
  <c r="AB32" i="55"/>
  <c r="G32" i="55"/>
  <c r="L32" i="55" s="1"/>
  <c r="AC31" i="55"/>
  <c r="AB31" i="55"/>
  <c r="G31" i="55"/>
  <c r="L31" i="55" s="1"/>
  <c r="AC30" i="55"/>
  <c r="AB30" i="55"/>
  <c r="G30" i="55"/>
  <c r="L30" i="55" s="1"/>
  <c r="AC29" i="55"/>
  <c r="AB29" i="55"/>
  <c r="G29" i="55"/>
  <c r="L29" i="55" s="1"/>
  <c r="AC28" i="55"/>
  <c r="AB28" i="55"/>
  <c r="G28" i="55"/>
  <c r="G37" i="55" s="1"/>
  <c r="E26" i="55"/>
  <c r="D26" i="55"/>
  <c r="G25" i="55"/>
  <c r="K25" i="55" s="1"/>
  <c r="L25" i="55" s="1"/>
  <c r="I24" i="55"/>
  <c r="G24" i="55"/>
  <c r="I23" i="55"/>
  <c r="G23" i="55"/>
  <c r="K23" i="55" s="1"/>
  <c r="L23" i="55" s="1"/>
  <c r="G22" i="55"/>
  <c r="K22" i="55" s="1"/>
  <c r="L22" i="55" s="1"/>
  <c r="I21" i="55"/>
  <c r="G21" i="55"/>
  <c r="I20" i="55"/>
  <c r="G20" i="55"/>
  <c r="K20" i="55" s="1"/>
  <c r="L20" i="55" s="1"/>
  <c r="G19" i="55"/>
  <c r="K19" i="55" s="1"/>
  <c r="L19" i="55" s="1"/>
  <c r="I18" i="55"/>
  <c r="G18" i="55"/>
  <c r="I17" i="55"/>
  <c r="G17" i="55"/>
  <c r="K17" i="55" s="1"/>
  <c r="L17" i="55" s="1"/>
  <c r="G16" i="55"/>
  <c r="K16" i="55" s="1"/>
  <c r="L16" i="55" s="1"/>
  <c r="I15" i="55"/>
  <c r="G15" i="55"/>
  <c r="M15" i="55" s="1"/>
  <c r="G14" i="55"/>
  <c r="K14" i="55" s="1"/>
  <c r="I13" i="55"/>
  <c r="G13" i="55"/>
  <c r="K13" i="55" s="1"/>
  <c r="G12" i="55"/>
  <c r="K12" i="55" s="1"/>
  <c r="L12" i="55" s="1"/>
  <c r="I11" i="55"/>
  <c r="G11" i="55"/>
  <c r="M11" i="55" s="1"/>
  <c r="G10" i="55"/>
  <c r="AB7" i="55"/>
  <c r="X47" i="55" s="1"/>
  <c r="X7" i="55"/>
  <c r="V4" i="55"/>
  <c r="B3" i="55"/>
  <c r="V2" i="55"/>
  <c r="K24" i="55" l="1"/>
  <c r="L24" i="55" s="1"/>
  <c r="K18" i="55"/>
  <c r="L18" i="55" s="1"/>
  <c r="L76" i="55"/>
  <c r="Z75" i="55"/>
  <c r="K11" i="55"/>
  <c r="L11" i="55" s="1"/>
  <c r="M13" i="55"/>
  <c r="K15" i="55"/>
  <c r="L15" i="55" s="1"/>
  <c r="K21" i="55"/>
  <c r="L21" i="55" s="1"/>
  <c r="AC75" i="55"/>
  <c r="L13" i="55"/>
  <c r="C48" i="55"/>
  <c r="K48" i="55" s="1"/>
  <c r="L75" i="55"/>
  <c r="Z74" i="55"/>
  <c r="AC74" i="55" s="1"/>
  <c r="G26" i="55"/>
  <c r="K10" i="55"/>
  <c r="L14" i="55"/>
  <c r="C49" i="55"/>
  <c r="K49" i="55" s="1"/>
  <c r="L28" i="55"/>
  <c r="L37" i="55" s="1"/>
  <c r="K84" i="55" l="1"/>
  <c r="G56" i="55"/>
  <c r="K57" i="55" s="1"/>
  <c r="L40" i="55"/>
  <c r="C47" i="55"/>
  <c r="L10" i="55"/>
  <c r="L26" i="55" s="1"/>
  <c r="L44" i="55" s="1"/>
  <c r="K26" i="55"/>
  <c r="G53" i="55" s="1"/>
  <c r="K54" i="55" s="1"/>
  <c r="K71" i="55" l="1"/>
  <c r="L71" i="55" s="1"/>
  <c r="K70" i="55"/>
  <c r="L70" i="55" s="1"/>
  <c r="K78" i="55"/>
  <c r="L78" i="55" s="1"/>
  <c r="K67" i="55"/>
  <c r="L67" i="55" s="1"/>
  <c r="L77" i="55"/>
  <c r="K59" i="55"/>
  <c r="L59" i="55" s="1"/>
  <c r="K69" i="55"/>
  <c r="L69" i="55" s="1"/>
  <c r="K72" i="55"/>
  <c r="L72" i="55" s="1"/>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C40" i="55"/>
  <c r="AB26" i="55"/>
  <c r="X53" i="55" s="1"/>
  <c r="AB54" i="55" s="1"/>
  <c r="W47" i="55"/>
  <c r="AC10" i="55"/>
  <c r="AC26" i="55" s="1"/>
  <c r="AC44" i="55" s="1"/>
  <c r="W50" i="55" l="1"/>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0" i="55" l="1"/>
  <c r="L92" i="55" s="1"/>
  <c r="C177" i="54"/>
  <c r="C176" i="54"/>
  <c r="B136" i="54"/>
  <c r="B135" i="54"/>
  <c r="M86" i="54"/>
  <c r="V78" i="54"/>
  <c r="Y77" i="54"/>
  <c r="V77" i="54"/>
  <c r="Y76" i="54"/>
  <c r="V76" i="54"/>
  <c r="G76" i="54"/>
  <c r="I76" i="54" s="1"/>
  <c r="L76" i="54" s="1"/>
  <c r="AB75" i="54"/>
  <c r="G75" i="54"/>
  <c r="I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C36" i="54"/>
  <c r="AB36" i="54"/>
  <c r="G36" i="54"/>
  <c r="L36" i="54" s="1"/>
  <c r="AC35" i="54"/>
  <c r="AB35" i="54"/>
  <c r="G35" i="54"/>
  <c r="L35" i="54" s="1"/>
  <c r="AC34" i="54"/>
  <c r="AB34" i="54"/>
  <c r="G34" i="54"/>
  <c r="L34" i="54" s="1"/>
  <c r="AC33" i="54"/>
  <c r="AB33" i="54"/>
  <c r="G33" i="54"/>
  <c r="L33" i="54" s="1"/>
  <c r="AC32" i="54"/>
  <c r="AB32" i="54"/>
  <c r="G32" i="54"/>
  <c r="L32" i="54" s="1"/>
  <c r="AC31" i="54"/>
  <c r="AB31" i="54"/>
  <c r="G31" i="54"/>
  <c r="L31" i="54" s="1"/>
  <c r="AC30" i="54"/>
  <c r="AB30" i="54"/>
  <c r="G30" i="54"/>
  <c r="L30" i="54" s="1"/>
  <c r="AC29" i="54"/>
  <c r="AB29" i="54"/>
  <c r="G29" i="54"/>
  <c r="L29" i="54" s="1"/>
  <c r="AC28" i="54"/>
  <c r="AB28" i="54"/>
  <c r="G28" i="54"/>
  <c r="G37" i="54" s="1"/>
  <c r="E26" i="54"/>
  <c r="D26" i="54"/>
  <c r="G25" i="54"/>
  <c r="K25" i="54" s="1"/>
  <c r="L25" i="54" s="1"/>
  <c r="I24" i="54"/>
  <c r="G24" i="54"/>
  <c r="K24" i="54" s="1"/>
  <c r="L24" i="54" s="1"/>
  <c r="I23" i="54"/>
  <c r="G23" i="54"/>
  <c r="K23" i="54" s="1"/>
  <c r="L23" i="54" s="1"/>
  <c r="G22" i="54"/>
  <c r="K22" i="54" s="1"/>
  <c r="L22" i="54" s="1"/>
  <c r="I21" i="54"/>
  <c r="G21" i="54"/>
  <c r="K21" i="54" s="1"/>
  <c r="L21" i="54" s="1"/>
  <c r="I20" i="54"/>
  <c r="G20" i="54"/>
  <c r="K20" i="54" s="1"/>
  <c r="L20" i="54" s="1"/>
  <c r="G19" i="54"/>
  <c r="K19" i="54" s="1"/>
  <c r="L19" i="54" s="1"/>
  <c r="I18" i="54"/>
  <c r="G18" i="54"/>
  <c r="K18" i="54" s="1"/>
  <c r="L18" i="54" s="1"/>
  <c r="I17" i="54"/>
  <c r="G17" i="54"/>
  <c r="K17" i="54" s="1"/>
  <c r="L17" i="54" s="1"/>
  <c r="G16" i="54"/>
  <c r="K16" i="54" s="1"/>
  <c r="L16" i="54" s="1"/>
  <c r="I15" i="54"/>
  <c r="G15" i="54"/>
  <c r="M15" i="54" s="1"/>
  <c r="G14" i="54"/>
  <c r="K14" i="54" s="1"/>
  <c r="I13" i="54"/>
  <c r="G13" i="54"/>
  <c r="K13" i="54" s="1"/>
  <c r="L13" i="54" s="1"/>
  <c r="G12" i="54"/>
  <c r="K12" i="54" s="1"/>
  <c r="I11" i="54"/>
  <c r="G11" i="54"/>
  <c r="M11" i="54" s="1"/>
  <c r="G10" i="54"/>
  <c r="AB7" i="54"/>
  <c r="X7" i="54"/>
  <c r="V4" i="54"/>
  <c r="B3" i="54"/>
  <c r="V2" i="54"/>
  <c r="G26" i="54" l="1"/>
  <c r="K84" i="54" s="1"/>
  <c r="K11" i="54"/>
  <c r="L11" i="54" s="1"/>
  <c r="K15" i="54"/>
  <c r="L15" i="54" s="1"/>
  <c r="L14" i="54"/>
  <c r="C49" i="54"/>
  <c r="K49" i="54" s="1"/>
  <c r="L75" i="54"/>
  <c r="Z74" i="54"/>
  <c r="AC74" i="54" s="1"/>
  <c r="AC37" i="54"/>
  <c r="Y58" i="54"/>
  <c r="C48" i="54"/>
  <c r="K48" i="54" s="1"/>
  <c r="L12" i="54"/>
  <c r="X47" i="54"/>
  <c r="X49" i="54"/>
  <c r="X48" i="54"/>
  <c r="L40" i="54"/>
  <c r="Z75" i="54"/>
  <c r="AC75" i="54" s="1"/>
  <c r="K10" i="54"/>
  <c r="L28" i="54"/>
  <c r="L37" i="54" s="1"/>
  <c r="M13" i="54"/>
  <c r="G56" i="54" l="1"/>
  <c r="K57" i="54" s="1"/>
  <c r="K69" i="54" s="1"/>
  <c r="L69" i="54" s="1"/>
  <c r="C47" i="54"/>
  <c r="L10" i="54"/>
  <c r="L26" i="54" s="1"/>
  <c r="L44" i="54" s="1"/>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K72" i="54" l="1"/>
  <c r="L72" i="54" s="1"/>
  <c r="W48" i="54"/>
  <c r="AB48" i="54" s="1"/>
  <c r="AC12" i="54"/>
  <c r="K47" i="54"/>
  <c r="L50" i="54" s="1"/>
  <c r="C50" i="54"/>
  <c r="AB10" i="54"/>
  <c r="X26" i="54"/>
  <c r="AC14" i="54"/>
  <c r="W49" i="54"/>
  <c r="AB49" i="54" s="1"/>
  <c r="K71" i="54"/>
  <c r="L71" i="54" s="1"/>
  <c r="K78" i="54"/>
  <c r="L78" i="54" s="1"/>
  <c r="K67" i="54"/>
  <c r="L67" i="54" s="1"/>
  <c r="L77" i="54"/>
  <c r="K70" i="54"/>
  <c r="L70" i="54" s="1"/>
  <c r="K59" i="54"/>
  <c r="L59" i="54" s="1"/>
  <c r="L82" i="54" l="1"/>
  <c r="K86" i="54" s="1"/>
  <c r="AB26" i="54"/>
  <c r="X53" i="54" s="1"/>
  <c r="AB54" i="54" s="1"/>
  <c r="W47" i="54"/>
  <c r="AC10" i="54"/>
  <c r="AC26" i="54" s="1"/>
  <c r="X56" i="54"/>
  <c r="AB57"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M86" i="53"/>
  <c r="V78" i="53"/>
  <c r="Y77" i="53"/>
  <c r="V77" i="53"/>
  <c r="Y76" i="53"/>
  <c r="V76" i="53"/>
  <c r="G76" i="53"/>
  <c r="I76" i="53" s="1"/>
  <c r="L76" i="53" s="1"/>
  <c r="AB75" i="53"/>
  <c r="G75" i="53"/>
  <c r="I75" i="53" s="1"/>
  <c r="AB74" i="53"/>
  <c r="Y71" i="53"/>
  <c r="Y70" i="53"/>
  <c r="Y69" i="53"/>
  <c r="Y68" i="53"/>
  <c r="Y66" i="53"/>
  <c r="X65" i="53"/>
  <c r="G65" i="53"/>
  <c r="X64" i="53"/>
  <c r="X61" i="53"/>
  <c r="X60" i="53"/>
  <c r="AA56" i="53"/>
  <c r="J56" i="53"/>
  <c r="AA53" i="53"/>
  <c r="Z49" i="53"/>
  <c r="G49" i="53"/>
  <c r="Z48" i="53"/>
  <c r="G48" i="53"/>
  <c r="Z47" i="53"/>
  <c r="G47" i="53"/>
  <c r="X40" i="53"/>
  <c r="K40" i="53"/>
  <c r="X39" i="53"/>
  <c r="AB40" i="53" s="1"/>
  <c r="X37" i="53"/>
  <c r="E37" i="53"/>
  <c r="D37" i="53"/>
  <c r="AC36" i="53"/>
  <c r="AB36" i="53"/>
  <c r="G36" i="53"/>
  <c r="L36" i="53" s="1"/>
  <c r="AC35" i="53"/>
  <c r="AB35" i="53"/>
  <c r="G35" i="53"/>
  <c r="L35" i="53" s="1"/>
  <c r="AC34" i="53"/>
  <c r="AB34" i="53"/>
  <c r="G34" i="53"/>
  <c r="L34" i="53" s="1"/>
  <c r="AC33" i="53"/>
  <c r="AB33" i="53"/>
  <c r="G33" i="53"/>
  <c r="L33" i="53" s="1"/>
  <c r="AC32" i="53"/>
  <c r="AB32" i="53"/>
  <c r="G32" i="53"/>
  <c r="L32" i="53" s="1"/>
  <c r="AC31" i="53"/>
  <c r="AB31" i="53"/>
  <c r="G31" i="53"/>
  <c r="L31" i="53" s="1"/>
  <c r="AC30" i="53"/>
  <c r="AB30" i="53"/>
  <c r="G30" i="53"/>
  <c r="L30" i="53" s="1"/>
  <c r="AC29" i="53"/>
  <c r="AB29" i="53"/>
  <c r="G29" i="53"/>
  <c r="L29" i="53" s="1"/>
  <c r="AC28" i="53"/>
  <c r="AC37" i="53" s="1"/>
  <c r="AB28" i="53"/>
  <c r="G28" i="53"/>
  <c r="E26" i="53"/>
  <c r="D26" i="53"/>
  <c r="G25" i="53"/>
  <c r="K25" i="53" s="1"/>
  <c r="L25" i="53" s="1"/>
  <c r="I24" i="53"/>
  <c r="G24" i="53"/>
  <c r="K24" i="53" s="1"/>
  <c r="L24" i="53" s="1"/>
  <c r="I23" i="53"/>
  <c r="G23" i="53"/>
  <c r="K23" i="53" s="1"/>
  <c r="L23" i="53" s="1"/>
  <c r="G22" i="53"/>
  <c r="K22" i="53" s="1"/>
  <c r="L22" i="53" s="1"/>
  <c r="I21" i="53"/>
  <c r="G21" i="53"/>
  <c r="K21" i="53" s="1"/>
  <c r="L21" i="53" s="1"/>
  <c r="I20" i="53"/>
  <c r="G20" i="53"/>
  <c r="K20" i="53" s="1"/>
  <c r="L20" i="53" s="1"/>
  <c r="G19" i="53"/>
  <c r="K19" i="53" s="1"/>
  <c r="L19" i="53" s="1"/>
  <c r="I18" i="53"/>
  <c r="G18" i="53"/>
  <c r="K18" i="53" s="1"/>
  <c r="L18" i="53" s="1"/>
  <c r="I17" i="53"/>
  <c r="G17" i="53"/>
  <c r="K17" i="53" s="1"/>
  <c r="L17" i="53" s="1"/>
  <c r="G16" i="53"/>
  <c r="K16" i="53" s="1"/>
  <c r="L16" i="53" s="1"/>
  <c r="I15" i="53"/>
  <c r="G15" i="53"/>
  <c r="M15" i="53" s="1"/>
  <c r="G14" i="53"/>
  <c r="K14" i="53" s="1"/>
  <c r="I13" i="53"/>
  <c r="G13" i="53"/>
  <c r="K13" i="53" s="1"/>
  <c r="L13" i="53" s="1"/>
  <c r="G12" i="53"/>
  <c r="K12" i="53" s="1"/>
  <c r="I11" i="53"/>
  <c r="G11" i="53"/>
  <c r="G10" i="53"/>
  <c r="AB7" i="53"/>
  <c r="X7" i="53"/>
  <c r="V4" i="53"/>
  <c r="B3" i="53"/>
  <c r="V2" i="53"/>
  <c r="M11" i="53" l="1"/>
  <c r="K15" i="53"/>
  <c r="L15" i="53" s="1"/>
  <c r="K11" i="53"/>
  <c r="L11" i="53" s="1"/>
  <c r="G37" i="53"/>
  <c r="L75" i="53"/>
  <c r="Z74" i="53"/>
  <c r="AC74" i="53" s="1"/>
  <c r="L12" i="53"/>
  <c r="C48" i="53"/>
  <c r="K48" i="53" s="1"/>
  <c r="Y58" i="53"/>
  <c r="X47" i="53"/>
  <c r="X48" i="53"/>
  <c r="X49" i="53"/>
  <c r="G26" i="53"/>
  <c r="L40" i="53" s="1"/>
  <c r="L14" i="53"/>
  <c r="C49" i="53"/>
  <c r="K49" i="53" s="1"/>
  <c r="M13" i="53"/>
  <c r="K10" i="53"/>
  <c r="L28" i="53"/>
  <c r="L37" i="53" s="1"/>
  <c r="Z75" i="53"/>
  <c r="AC75" i="53" s="1"/>
  <c r="K84" i="53" l="1"/>
  <c r="G56" i="53"/>
  <c r="K57" i="53" s="1"/>
  <c r="C47" i="53"/>
  <c r="L10" i="53"/>
  <c r="L26" i="53" s="1"/>
  <c r="L44" i="53" s="1"/>
  <c r="K26" i="53"/>
  <c r="G53" i="53" s="1"/>
  <c r="K54" i="53" s="1"/>
  <c r="K71" i="53" l="1"/>
  <c r="L71" i="53" s="1"/>
  <c r="L77" i="53"/>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2" l="1"/>
  <c r="C176" i="52"/>
  <c r="B136" i="52"/>
  <c r="B135" i="52"/>
  <c r="M86" i="52"/>
  <c r="V78" i="52"/>
  <c r="Y77" i="52"/>
  <c r="V77" i="52"/>
  <c r="Y76" i="52"/>
  <c r="V76" i="52"/>
  <c r="G76" i="52"/>
  <c r="I76" i="52" s="1"/>
  <c r="AB75" i="52"/>
  <c r="G75" i="52"/>
  <c r="I75" i="52" s="1"/>
  <c r="AB74" i="52"/>
  <c r="Y71" i="52"/>
  <c r="Y70" i="52"/>
  <c r="Y69" i="52"/>
  <c r="Y68" i="52"/>
  <c r="Y66" i="52"/>
  <c r="X65" i="52"/>
  <c r="Y58" i="52" s="1"/>
  <c r="G65" i="52"/>
  <c r="X64" i="52"/>
  <c r="X61" i="52"/>
  <c r="X60" i="52"/>
  <c r="J56" i="52"/>
  <c r="AA56" i="52" s="1"/>
  <c r="AA53" i="52"/>
  <c r="Z49" i="52"/>
  <c r="G49" i="52"/>
  <c r="Z48" i="52"/>
  <c r="G48" i="52"/>
  <c r="Z47" i="52"/>
  <c r="G47" i="52"/>
  <c r="X40" i="52"/>
  <c r="K40" i="52"/>
  <c r="X39" i="52"/>
  <c r="AB40" i="52" s="1"/>
  <c r="X37" i="52"/>
  <c r="E37" i="52"/>
  <c r="D37" i="52"/>
  <c r="AC36" i="52"/>
  <c r="AB36" i="52"/>
  <c r="G36" i="52"/>
  <c r="L36" i="52" s="1"/>
  <c r="AC35" i="52"/>
  <c r="AB35" i="52"/>
  <c r="G35" i="52"/>
  <c r="L35" i="52" s="1"/>
  <c r="AC34" i="52"/>
  <c r="AB34" i="52"/>
  <c r="G34" i="52"/>
  <c r="L34" i="52" s="1"/>
  <c r="AC33" i="52"/>
  <c r="AB33" i="52"/>
  <c r="G33" i="52"/>
  <c r="L33" i="52" s="1"/>
  <c r="AC32" i="52"/>
  <c r="AB32" i="52"/>
  <c r="G32" i="52"/>
  <c r="L32" i="52" s="1"/>
  <c r="AC31" i="52"/>
  <c r="AB31" i="52"/>
  <c r="G31" i="52"/>
  <c r="L31" i="52" s="1"/>
  <c r="AC30" i="52"/>
  <c r="AB30" i="52"/>
  <c r="G30" i="52"/>
  <c r="L30" i="52" s="1"/>
  <c r="AC29" i="52"/>
  <c r="AB29" i="52"/>
  <c r="G29" i="52"/>
  <c r="L29" i="52" s="1"/>
  <c r="AC28" i="52"/>
  <c r="AC37" i="52" s="1"/>
  <c r="AB28" i="52"/>
  <c r="G28" i="52"/>
  <c r="G37" i="52" s="1"/>
  <c r="E26" i="52"/>
  <c r="D26" i="52"/>
  <c r="G25" i="52"/>
  <c r="K25" i="52" s="1"/>
  <c r="L25" i="52" s="1"/>
  <c r="I24" i="52"/>
  <c r="G24" i="52"/>
  <c r="K24" i="52" s="1"/>
  <c r="L24" i="52" s="1"/>
  <c r="I23" i="52"/>
  <c r="G23" i="52"/>
  <c r="K23" i="52" s="1"/>
  <c r="L23" i="52" s="1"/>
  <c r="G22" i="52"/>
  <c r="K22" i="52" s="1"/>
  <c r="L22" i="52" s="1"/>
  <c r="I21" i="52"/>
  <c r="G21" i="52"/>
  <c r="K21" i="52" s="1"/>
  <c r="L21" i="52" s="1"/>
  <c r="I20" i="52"/>
  <c r="G20" i="52"/>
  <c r="K20" i="52" s="1"/>
  <c r="L20" i="52" s="1"/>
  <c r="G19" i="52"/>
  <c r="K19" i="52" s="1"/>
  <c r="L19" i="52" s="1"/>
  <c r="I18" i="52"/>
  <c r="G18" i="52"/>
  <c r="K18" i="52" s="1"/>
  <c r="L18" i="52" s="1"/>
  <c r="I17" i="52"/>
  <c r="G17" i="52"/>
  <c r="K17" i="52" s="1"/>
  <c r="L17" i="52" s="1"/>
  <c r="G16" i="52"/>
  <c r="K16" i="52" s="1"/>
  <c r="L16" i="52" s="1"/>
  <c r="I15" i="52"/>
  <c r="G15" i="52"/>
  <c r="M15" i="52" s="1"/>
  <c r="G14" i="52"/>
  <c r="K14" i="52" s="1"/>
  <c r="I13" i="52"/>
  <c r="G13" i="52"/>
  <c r="K13" i="52" s="1"/>
  <c r="L13" i="52" s="1"/>
  <c r="G12" i="52"/>
  <c r="K12" i="52" s="1"/>
  <c r="L12" i="52" s="1"/>
  <c r="I11" i="52"/>
  <c r="G11" i="52"/>
  <c r="M11" i="52" s="1"/>
  <c r="G10" i="52"/>
  <c r="AB7" i="52"/>
  <c r="X47" i="52" s="1"/>
  <c r="X7" i="52"/>
  <c r="V4" i="52"/>
  <c r="B3" i="52"/>
  <c r="V2" i="52"/>
  <c r="L76" i="52" l="1"/>
  <c r="Z75" i="52"/>
  <c r="K11" i="52"/>
  <c r="L11" i="52" s="1"/>
  <c r="AC75" i="52"/>
  <c r="K15" i="52"/>
  <c r="L15" i="52" s="1"/>
  <c r="C48" i="52"/>
  <c r="K48" i="52" s="1"/>
  <c r="G26" i="52"/>
  <c r="K84" i="52" s="1"/>
  <c r="L14" i="52"/>
  <c r="C49" i="52"/>
  <c r="K49" i="52" s="1"/>
  <c r="L75" i="52"/>
  <c r="Z74" i="52"/>
  <c r="AC74" i="52" s="1"/>
  <c r="M13" i="52"/>
  <c r="X49" i="52"/>
  <c r="K10" i="52"/>
  <c r="L28" i="52"/>
  <c r="L37" i="52" s="1"/>
  <c r="X48" i="52"/>
  <c r="L40" i="52" l="1"/>
  <c r="G56" i="52"/>
  <c r="K57" i="52" s="1"/>
  <c r="C47" i="52"/>
  <c r="L10" i="52"/>
  <c r="L26" i="52" s="1"/>
  <c r="L44" i="52" s="1"/>
  <c r="K26" i="52"/>
  <c r="G53" i="52" s="1"/>
  <c r="K54" i="52" s="1"/>
  <c r="K69" i="52"/>
  <c r="L69" i="52" s="1"/>
  <c r="K72" i="52"/>
  <c r="L72" i="52" s="1"/>
  <c r="X20" i="52"/>
  <c r="AB20" i="52" s="1"/>
  <c r="AC20"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X17" i="52"/>
  <c r="AB17" i="52" s="1"/>
  <c r="AC17" i="52" s="1"/>
  <c r="X24" i="52"/>
  <c r="AB24" i="52" s="1"/>
  <c r="AC24" i="52" s="1"/>
  <c r="X21" i="52"/>
  <c r="AB21" i="52" s="1"/>
  <c r="AC21" i="52" s="1"/>
  <c r="X18" i="52"/>
  <c r="AB18" i="52" s="1"/>
  <c r="AC18" i="52" s="1"/>
  <c r="X15" i="52"/>
  <c r="AB15" i="52" s="1"/>
  <c r="AC15" i="52" s="1"/>
  <c r="X14" i="52"/>
  <c r="AB14" i="52" s="1"/>
  <c r="X11" i="52"/>
  <c r="AB11" i="52" s="1"/>
  <c r="AC11" i="52" s="1"/>
  <c r="X10" i="52"/>
  <c r="AC14" i="52" l="1"/>
  <c r="W49" i="52"/>
  <c r="AB49" i="52" s="1"/>
  <c r="K71" i="52"/>
  <c r="L71" i="52" s="1"/>
  <c r="L77" i="52"/>
  <c r="K70" i="52"/>
  <c r="L70" i="52" s="1"/>
  <c r="K59" i="52"/>
  <c r="L59" i="52" s="1"/>
  <c r="K78" i="52"/>
  <c r="L78" i="52" s="1"/>
  <c r="K67" i="52"/>
  <c r="L67" i="52" s="1"/>
  <c r="AB10" i="52"/>
  <c r="X26" i="52"/>
  <c r="W48" i="52"/>
  <c r="AB48" i="52" s="1"/>
  <c r="AC12" i="52"/>
  <c r="K47" i="52"/>
  <c r="L50" i="52" s="1"/>
  <c r="C50" i="52"/>
  <c r="L82" i="52" l="1"/>
  <c r="K86" i="52" s="1"/>
  <c r="X56" i="52"/>
  <c r="AB57" i="52" s="1"/>
  <c r="AC40" i="52"/>
  <c r="AB26" i="52"/>
  <c r="X53" i="52" s="1"/>
  <c r="AB54" i="52" s="1"/>
  <c r="W47" i="52"/>
  <c r="AC10" i="52"/>
  <c r="AC26" i="52" s="1"/>
  <c r="AC44" i="52" s="1"/>
  <c r="AB68" i="52" l="1"/>
  <c r="AC68" i="52" s="1"/>
  <c r="AB71" i="52"/>
  <c r="AC71" i="52" s="1"/>
  <c r="W50" i="52"/>
  <c r="AB47" i="52"/>
  <c r="AC50" i="52" s="1"/>
  <c r="L86" i="52"/>
  <c r="AB77" i="52"/>
  <c r="AC77" i="52" s="1"/>
  <c r="AB66" i="52"/>
  <c r="AC66" i="52" s="1"/>
  <c r="AB70" i="52"/>
  <c r="AC70" i="52" s="1"/>
  <c r="AC76" i="52"/>
  <c r="AB69" i="52"/>
  <c r="AC69" i="52" s="1"/>
  <c r="AB58" i="52"/>
  <c r="AC58" i="52" s="1"/>
  <c r="AC81" i="52" l="1"/>
  <c r="L84" i="52" s="1"/>
  <c r="L87" i="52"/>
  <c r="L94" i="52"/>
  <c r="C177" i="51"/>
  <c r="C176" i="51"/>
  <c r="B136" i="51"/>
  <c r="B135" i="51"/>
  <c r="M86" i="51"/>
  <c r="V78" i="51"/>
  <c r="Y77" i="51"/>
  <c r="V77" i="51"/>
  <c r="Y76" i="51"/>
  <c r="V76" i="51"/>
  <c r="G76" i="51"/>
  <c r="I76" i="51" s="1"/>
  <c r="L76" i="51" s="1"/>
  <c r="AB75" i="51"/>
  <c r="G75" i="51"/>
  <c r="I75" i="51" s="1"/>
  <c r="AB74" i="51"/>
  <c r="Y71" i="51"/>
  <c r="Y70" i="51"/>
  <c r="Y69" i="51"/>
  <c r="Y68" i="51"/>
  <c r="Y66" i="51"/>
  <c r="X65" i="51"/>
  <c r="Y58" i="51" s="1"/>
  <c r="G65" i="51"/>
  <c r="X64" i="51"/>
  <c r="X61" i="51"/>
  <c r="X60" i="51"/>
  <c r="J56" i="51"/>
  <c r="AA56" i="51" s="1"/>
  <c r="AA53" i="51"/>
  <c r="Z49" i="51"/>
  <c r="G49" i="51"/>
  <c r="Z48" i="51"/>
  <c r="G48" i="51"/>
  <c r="Z47" i="51"/>
  <c r="G47" i="51"/>
  <c r="X40" i="51"/>
  <c r="K40" i="51"/>
  <c r="X39" i="51"/>
  <c r="AB40" i="51" s="1"/>
  <c r="X37" i="51"/>
  <c r="E37" i="51"/>
  <c r="D37" i="51"/>
  <c r="AC36" i="51"/>
  <c r="AB36" i="51"/>
  <c r="G36" i="51"/>
  <c r="L36" i="51" s="1"/>
  <c r="AC35" i="51"/>
  <c r="AB35" i="51"/>
  <c r="G35" i="51"/>
  <c r="L35" i="51" s="1"/>
  <c r="AC34" i="51"/>
  <c r="AB34" i="51"/>
  <c r="G34" i="51"/>
  <c r="L34" i="51" s="1"/>
  <c r="AC33" i="51"/>
  <c r="AB33" i="51"/>
  <c r="G33" i="51"/>
  <c r="L33" i="51" s="1"/>
  <c r="AC32" i="51"/>
  <c r="AB32" i="51"/>
  <c r="G32" i="51"/>
  <c r="L32" i="51" s="1"/>
  <c r="AC31" i="51"/>
  <c r="AB31" i="51"/>
  <c r="G31" i="51"/>
  <c r="L31" i="51" s="1"/>
  <c r="AC30" i="51"/>
  <c r="AB30" i="51"/>
  <c r="G30" i="51"/>
  <c r="L30" i="51" s="1"/>
  <c r="AC29" i="51"/>
  <c r="AB29" i="51"/>
  <c r="G29" i="51"/>
  <c r="L29" i="51" s="1"/>
  <c r="AC28" i="51"/>
  <c r="AC37" i="51" s="1"/>
  <c r="AB28" i="51"/>
  <c r="G28" i="51"/>
  <c r="E26" i="51"/>
  <c r="D26" i="51"/>
  <c r="G25" i="51"/>
  <c r="K25" i="51" s="1"/>
  <c r="L25" i="51" s="1"/>
  <c r="I24" i="51"/>
  <c r="G24" i="51"/>
  <c r="K24" i="51" s="1"/>
  <c r="L24" i="51" s="1"/>
  <c r="I23" i="51"/>
  <c r="G23" i="51"/>
  <c r="K23" i="51" s="1"/>
  <c r="L23" i="51" s="1"/>
  <c r="G22" i="51"/>
  <c r="K22" i="51" s="1"/>
  <c r="L22" i="51" s="1"/>
  <c r="I21" i="51"/>
  <c r="G21" i="51"/>
  <c r="K21" i="51" s="1"/>
  <c r="L21" i="51" s="1"/>
  <c r="I20" i="51"/>
  <c r="G20" i="51"/>
  <c r="K20" i="51" s="1"/>
  <c r="L20" i="51" s="1"/>
  <c r="G19" i="51"/>
  <c r="K19" i="51" s="1"/>
  <c r="L19" i="51" s="1"/>
  <c r="I18" i="51"/>
  <c r="G18" i="51"/>
  <c r="K18" i="51" s="1"/>
  <c r="L18" i="51" s="1"/>
  <c r="I17" i="51"/>
  <c r="G17" i="51"/>
  <c r="K17" i="51" s="1"/>
  <c r="L17" i="51" s="1"/>
  <c r="G16" i="51"/>
  <c r="K16" i="51" s="1"/>
  <c r="L16" i="51" s="1"/>
  <c r="I15" i="51"/>
  <c r="G15" i="51"/>
  <c r="M15" i="51" s="1"/>
  <c r="G14" i="51"/>
  <c r="K14" i="51" s="1"/>
  <c r="I13" i="51"/>
  <c r="G13" i="51"/>
  <c r="K13" i="51" s="1"/>
  <c r="L13" i="51" s="1"/>
  <c r="G12" i="51"/>
  <c r="K12" i="51" s="1"/>
  <c r="L12" i="51" s="1"/>
  <c r="I11" i="51"/>
  <c r="G11" i="51"/>
  <c r="K11" i="51" s="1"/>
  <c r="L11" i="51" s="1"/>
  <c r="G10" i="51"/>
  <c r="AB7" i="51"/>
  <c r="X47" i="51" s="1"/>
  <c r="X7" i="51"/>
  <c r="V4" i="51"/>
  <c r="B3" i="51"/>
  <c r="V2" i="51"/>
  <c r="K15" i="51" l="1"/>
  <c r="L15" i="51" s="1"/>
  <c r="Z75" i="51"/>
  <c r="AC75" i="51"/>
  <c r="C48" i="51"/>
  <c r="K48" i="51" s="1"/>
  <c r="G26" i="51"/>
  <c r="G56" i="51" s="1"/>
  <c r="K57" i="51" s="1"/>
  <c r="L90" i="52"/>
  <c r="L92" i="52" s="1"/>
  <c r="G37" i="51"/>
  <c r="M11" i="51"/>
  <c r="L14" i="51"/>
  <c r="C49" i="51"/>
  <c r="K49" i="51" s="1"/>
  <c r="L75" i="51"/>
  <c r="Z74" i="51"/>
  <c r="AC74" i="51" s="1"/>
  <c r="X49" i="51"/>
  <c r="M13" i="51"/>
  <c r="K10" i="51"/>
  <c r="L28" i="51"/>
  <c r="L37" i="51" s="1"/>
  <c r="X48" i="51"/>
  <c r="L40" i="51" l="1"/>
  <c r="K84" i="51"/>
  <c r="X25" i="51" s="1"/>
  <c r="AB25" i="51" s="1"/>
  <c r="AC25" i="51" s="1"/>
  <c r="C47" i="51"/>
  <c r="L10" i="51"/>
  <c r="L26" i="51" s="1"/>
  <c r="L44" i="51" s="1"/>
  <c r="K26" i="51"/>
  <c r="G53" i="51" s="1"/>
  <c r="K54" i="51" s="1"/>
  <c r="K69" i="51"/>
  <c r="L69" i="51" s="1"/>
  <c r="K72" i="51"/>
  <c r="L72" i="51" s="1"/>
  <c r="X20" i="51"/>
  <c r="AB20" i="51" s="1"/>
  <c r="AC20" i="51" s="1"/>
  <c r="X17" i="51"/>
  <c r="AB17" i="51" s="1"/>
  <c r="AC17" i="51" s="1"/>
  <c r="X21" i="51"/>
  <c r="AB21" i="51" s="1"/>
  <c r="AC21" i="51" s="1"/>
  <c r="X18" i="51"/>
  <c r="AB18" i="51" s="1"/>
  <c r="AC18" i="51" s="1"/>
  <c r="X15" i="51"/>
  <c r="AB15" i="51" s="1"/>
  <c r="AC15" i="51" s="1"/>
  <c r="X14" i="51"/>
  <c r="AB14" i="51" s="1"/>
  <c r="X11" i="51"/>
  <c r="AB11" i="51" s="1"/>
  <c r="AC11" i="51" s="1"/>
  <c r="X10" i="51"/>
  <c r="X24" i="51" l="1"/>
  <c r="AB24" i="51" s="1"/>
  <c r="AC24" i="51" s="1"/>
  <c r="X23" i="51"/>
  <c r="AB23" i="51" s="1"/>
  <c r="AC23" i="51" s="1"/>
  <c r="X13" i="51"/>
  <c r="AB13" i="51" s="1"/>
  <c r="AC13" i="51" s="1"/>
  <c r="X19" i="51"/>
  <c r="AB19" i="51" s="1"/>
  <c r="AC19" i="51" s="1"/>
  <c r="X12" i="51"/>
  <c r="AB12" i="51" s="1"/>
  <c r="X16" i="51"/>
  <c r="AB16" i="51" s="1"/>
  <c r="AC16" i="51" s="1"/>
  <c r="X22" i="51"/>
  <c r="AB22" i="51" s="1"/>
  <c r="AC22" i="51" s="1"/>
  <c r="AC14" i="51"/>
  <c r="W49" i="51"/>
  <c r="AB49" i="51" s="1"/>
  <c r="K71" i="51"/>
  <c r="L71" i="51" s="1"/>
  <c r="L77" i="51"/>
  <c r="K70" i="51"/>
  <c r="L70" i="51" s="1"/>
  <c r="K59" i="51"/>
  <c r="L59" i="51" s="1"/>
  <c r="K78" i="51"/>
  <c r="L78" i="51" s="1"/>
  <c r="K67" i="51"/>
  <c r="L67" i="51" s="1"/>
  <c r="AB10" i="51"/>
  <c r="AC12" i="51"/>
  <c r="K47" i="51"/>
  <c r="L50" i="51" s="1"/>
  <c r="C50" i="51"/>
  <c r="W48" i="51" l="1"/>
  <c r="AB48" i="51" s="1"/>
  <c r="X26" i="51"/>
  <c r="X56" i="51" s="1"/>
  <c r="AB57" i="51" s="1"/>
  <c r="L82" i="51"/>
  <c r="K86" i="51" s="1"/>
  <c r="AB26" i="51"/>
  <c r="X53" i="51" s="1"/>
  <c r="AB54" i="51" s="1"/>
  <c r="W47" i="51"/>
  <c r="AC10" i="51"/>
  <c r="AC26" i="51" s="1"/>
  <c r="AC40" i="51"/>
  <c r="AC44" i="51" l="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M86" i="50"/>
  <c r="V78" i="50"/>
  <c r="Y77" i="50"/>
  <c r="V77" i="50"/>
  <c r="Y76" i="50"/>
  <c r="V76" i="50"/>
  <c r="G76" i="50"/>
  <c r="I76" i="50" s="1"/>
  <c r="AB75" i="50"/>
  <c r="G75" i="50"/>
  <c r="I75" i="50" s="1"/>
  <c r="AB74" i="50"/>
  <c r="Y71" i="50"/>
  <c r="Y70" i="50"/>
  <c r="Y69" i="50"/>
  <c r="Y68" i="50"/>
  <c r="Y66" i="50"/>
  <c r="X65" i="50"/>
  <c r="G65" i="50"/>
  <c r="X64" i="50"/>
  <c r="X61" i="50"/>
  <c r="X60" i="50"/>
  <c r="AA56" i="50"/>
  <c r="J56" i="50"/>
  <c r="AA53" i="50"/>
  <c r="Z49" i="50"/>
  <c r="G49" i="50"/>
  <c r="Z48" i="50"/>
  <c r="G48" i="50"/>
  <c r="Z47" i="50"/>
  <c r="G47" i="50"/>
  <c r="X40" i="50"/>
  <c r="K40" i="50"/>
  <c r="X39" i="50"/>
  <c r="AB40" i="50" s="1"/>
  <c r="X37" i="50"/>
  <c r="E37" i="50"/>
  <c r="D37" i="50"/>
  <c r="AC36" i="50"/>
  <c r="AB36" i="50"/>
  <c r="G36" i="50"/>
  <c r="L36" i="50" s="1"/>
  <c r="AC35" i="50"/>
  <c r="AB35" i="50"/>
  <c r="G35" i="50"/>
  <c r="L35" i="50" s="1"/>
  <c r="AC34" i="50"/>
  <c r="AB34" i="50"/>
  <c r="G34" i="50"/>
  <c r="L34" i="50" s="1"/>
  <c r="AC33" i="50"/>
  <c r="AB33" i="50"/>
  <c r="G33" i="50"/>
  <c r="L33" i="50" s="1"/>
  <c r="AC32" i="50"/>
  <c r="AB32" i="50"/>
  <c r="G32" i="50"/>
  <c r="L32" i="50" s="1"/>
  <c r="AC31" i="50"/>
  <c r="AB31" i="50"/>
  <c r="G31" i="50"/>
  <c r="L31" i="50" s="1"/>
  <c r="AC30" i="50"/>
  <c r="AB30" i="50"/>
  <c r="G30" i="50"/>
  <c r="L30" i="50" s="1"/>
  <c r="AC29" i="50"/>
  <c r="AB29" i="50"/>
  <c r="G29" i="50"/>
  <c r="L29" i="50" s="1"/>
  <c r="AC28" i="50"/>
  <c r="AB28" i="50"/>
  <c r="G28" i="50"/>
  <c r="E26" i="50"/>
  <c r="D26" i="50"/>
  <c r="G25" i="50"/>
  <c r="K25" i="50" s="1"/>
  <c r="L25" i="50" s="1"/>
  <c r="I24" i="50"/>
  <c r="G24" i="50"/>
  <c r="K24" i="50" s="1"/>
  <c r="L24" i="50" s="1"/>
  <c r="I23" i="50"/>
  <c r="G23" i="50"/>
  <c r="K23" i="50" s="1"/>
  <c r="L23" i="50" s="1"/>
  <c r="G22" i="50"/>
  <c r="K22" i="50" s="1"/>
  <c r="L22" i="50" s="1"/>
  <c r="I21" i="50"/>
  <c r="G21" i="50"/>
  <c r="K21" i="50" s="1"/>
  <c r="L21" i="50" s="1"/>
  <c r="I20" i="50"/>
  <c r="G20" i="50"/>
  <c r="K20" i="50" s="1"/>
  <c r="L20" i="50" s="1"/>
  <c r="G19" i="50"/>
  <c r="K19" i="50" s="1"/>
  <c r="L19" i="50" s="1"/>
  <c r="I18" i="50"/>
  <c r="G18" i="50"/>
  <c r="I17" i="50"/>
  <c r="G17" i="50"/>
  <c r="G16" i="50"/>
  <c r="K16" i="50" s="1"/>
  <c r="L16" i="50" s="1"/>
  <c r="I15" i="50"/>
  <c r="G15" i="50"/>
  <c r="K15" i="50" s="1"/>
  <c r="L15" i="50" s="1"/>
  <c r="G14" i="50"/>
  <c r="K14" i="50" s="1"/>
  <c r="I13" i="50"/>
  <c r="G13" i="50"/>
  <c r="G12" i="50"/>
  <c r="K12" i="50" s="1"/>
  <c r="L12" i="50" s="1"/>
  <c r="I11" i="50"/>
  <c r="G11" i="50"/>
  <c r="G10" i="50"/>
  <c r="K10" i="50" s="1"/>
  <c r="AB7" i="50"/>
  <c r="X7" i="50"/>
  <c r="V4" i="50"/>
  <c r="B3" i="50"/>
  <c r="V2" i="50"/>
  <c r="M13" i="50" l="1"/>
  <c r="K11" i="50"/>
  <c r="L11" i="50" s="1"/>
  <c r="L76" i="50"/>
  <c r="Z75" i="50"/>
  <c r="K18" i="50"/>
  <c r="L18" i="50" s="1"/>
  <c r="AC75" i="50"/>
  <c r="L14" i="50"/>
  <c r="C49" i="50"/>
  <c r="K49" i="50" s="1"/>
  <c r="Y58" i="50"/>
  <c r="X47" i="50"/>
  <c r="X48" i="50"/>
  <c r="G37" i="50"/>
  <c r="L28" i="50"/>
  <c r="L37" i="50" s="1"/>
  <c r="G26" i="50"/>
  <c r="M15" i="50"/>
  <c r="K17" i="50"/>
  <c r="L17" i="50" s="1"/>
  <c r="X49" i="50"/>
  <c r="L75" i="50"/>
  <c r="Z74" i="50"/>
  <c r="AC74" i="50" s="1"/>
  <c r="C47" i="50"/>
  <c r="L10" i="50"/>
  <c r="M11" i="50"/>
  <c r="K13" i="50"/>
  <c r="L13" i="50" s="1"/>
  <c r="AC37" i="50"/>
  <c r="K47" i="50" l="1"/>
  <c r="K84" i="50"/>
  <c r="G56" i="50"/>
  <c r="K57" i="50" s="1"/>
  <c r="L26" i="50"/>
  <c r="C48" i="50"/>
  <c r="K48" i="50" s="1"/>
  <c r="L50" i="50" s="1"/>
  <c r="K26" i="50"/>
  <c r="G53" i="50" s="1"/>
  <c r="K54" i="50" s="1"/>
  <c r="L40" i="50"/>
  <c r="K71" i="50" l="1"/>
  <c r="L71" i="50" s="1"/>
  <c r="L77" i="50"/>
  <c r="K70" i="50"/>
  <c r="L70" i="50" s="1"/>
  <c r="K59" i="50"/>
  <c r="L59" i="50" s="1"/>
  <c r="K78" i="50"/>
  <c r="L78" i="50" s="1"/>
  <c r="K67" i="50"/>
  <c r="L67" i="50" s="1"/>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L72" i="50" s="1"/>
  <c r="K69" i="50"/>
  <c r="L69" i="50" s="1"/>
  <c r="X26" i="50" l="1"/>
  <c r="AB10" i="50"/>
  <c r="AC12" i="50"/>
  <c r="W48" i="50"/>
  <c r="AB48" i="50" s="1"/>
  <c r="AC14" i="50"/>
  <c r="W49" i="50"/>
  <c r="AB49" i="50" s="1"/>
  <c r="L82" i="50"/>
  <c r="AB26" i="50" l="1"/>
  <c r="X53" i="50" s="1"/>
  <c r="AB54" i="50" s="1"/>
  <c r="W47" i="50"/>
  <c r="AC10" i="50"/>
  <c r="AC26" i="50" s="1"/>
  <c r="K86" i="50"/>
  <c r="X56" i="50"/>
  <c r="AB57"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M86" i="49"/>
  <c r="V78" i="49"/>
  <c r="Y77" i="49"/>
  <c r="V77" i="49"/>
  <c r="Y76" i="49"/>
  <c r="V76" i="49"/>
  <c r="G76" i="49"/>
  <c r="I76" i="49" s="1"/>
  <c r="AB75" i="49"/>
  <c r="G75" i="49"/>
  <c r="I75" i="49" s="1"/>
  <c r="AB74" i="49"/>
  <c r="Y71" i="49"/>
  <c r="Y70" i="49"/>
  <c r="Y69" i="49"/>
  <c r="Y68" i="49"/>
  <c r="Y66" i="49"/>
  <c r="X65" i="49"/>
  <c r="Y58" i="49" s="1"/>
  <c r="G65" i="49"/>
  <c r="X64" i="49"/>
  <c r="X61" i="49"/>
  <c r="X60" i="49"/>
  <c r="AA56" i="49"/>
  <c r="J56" i="49"/>
  <c r="AA53" i="49"/>
  <c r="Z49" i="49"/>
  <c r="G49" i="49"/>
  <c r="Z48" i="49"/>
  <c r="G48" i="49"/>
  <c r="Z47" i="49"/>
  <c r="G47" i="49"/>
  <c r="X40" i="49"/>
  <c r="K40" i="49"/>
  <c r="X39" i="49"/>
  <c r="AB40" i="49" s="1"/>
  <c r="X37" i="49"/>
  <c r="E37" i="49"/>
  <c r="D37" i="49"/>
  <c r="AC36" i="49"/>
  <c r="AB36" i="49"/>
  <c r="G36" i="49"/>
  <c r="L36" i="49" s="1"/>
  <c r="AC35" i="49"/>
  <c r="AB35" i="49"/>
  <c r="G35" i="49"/>
  <c r="L35" i="49" s="1"/>
  <c r="AC34" i="49"/>
  <c r="AB34" i="49"/>
  <c r="G34" i="49"/>
  <c r="L34" i="49" s="1"/>
  <c r="AC33" i="49"/>
  <c r="AB33" i="49"/>
  <c r="G33" i="49"/>
  <c r="L33" i="49" s="1"/>
  <c r="AC32" i="49"/>
  <c r="AB32" i="49"/>
  <c r="G32" i="49"/>
  <c r="L32" i="49" s="1"/>
  <c r="AC31" i="49"/>
  <c r="AB31" i="49"/>
  <c r="G31" i="49"/>
  <c r="L31" i="49" s="1"/>
  <c r="AC30" i="49"/>
  <c r="AB30" i="49"/>
  <c r="G30" i="49"/>
  <c r="L30" i="49" s="1"/>
  <c r="AC29" i="49"/>
  <c r="AB29" i="49"/>
  <c r="G29" i="49"/>
  <c r="L29" i="49" s="1"/>
  <c r="AC28" i="49"/>
  <c r="AC37" i="49" s="1"/>
  <c r="AB28" i="49"/>
  <c r="G28" i="49"/>
  <c r="G37" i="49" s="1"/>
  <c r="E26" i="49"/>
  <c r="D26" i="49"/>
  <c r="G25" i="49"/>
  <c r="K25" i="49" s="1"/>
  <c r="L25" i="49" s="1"/>
  <c r="G24" i="49"/>
  <c r="I23" i="49"/>
  <c r="I24" i="49" s="1"/>
  <c r="G23" i="49"/>
  <c r="K23" i="49" s="1"/>
  <c r="L23" i="49" s="1"/>
  <c r="G22" i="49"/>
  <c r="K22" i="49" s="1"/>
  <c r="L22" i="49" s="1"/>
  <c r="G21" i="49"/>
  <c r="K21" i="49" s="1"/>
  <c r="L21" i="49" s="1"/>
  <c r="I20" i="49"/>
  <c r="I21" i="49" s="1"/>
  <c r="G20" i="49"/>
  <c r="K20" i="49" s="1"/>
  <c r="L20" i="49" s="1"/>
  <c r="G19" i="49"/>
  <c r="K19" i="49" s="1"/>
  <c r="L19" i="49" s="1"/>
  <c r="G18" i="49"/>
  <c r="K18" i="49" s="1"/>
  <c r="L18" i="49" s="1"/>
  <c r="I17" i="49"/>
  <c r="I18" i="49" s="1"/>
  <c r="G17" i="49"/>
  <c r="K17" i="49" s="1"/>
  <c r="L17" i="49" s="1"/>
  <c r="G16" i="49"/>
  <c r="K16" i="49" s="1"/>
  <c r="L16" i="49" s="1"/>
  <c r="I15" i="49"/>
  <c r="G15" i="49"/>
  <c r="M15" i="49" s="1"/>
  <c r="G14" i="49"/>
  <c r="K14" i="49" s="1"/>
  <c r="L14" i="49" s="1"/>
  <c r="I13" i="49"/>
  <c r="G13" i="49"/>
  <c r="K13" i="49" s="1"/>
  <c r="L13" i="49" s="1"/>
  <c r="G12" i="49"/>
  <c r="K12" i="49" s="1"/>
  <c r="I11" i="49"/>
  <c r="G11" i="49"/>
  <c r="M11" i="49" s="1"/>
  <c r="G10" i="49"/>
  <c r="AB7" i="49"/>
  <c r="X7" i="49"/>
  <c r="V4" i="49"/>
  <c r="B3" i="49"/>
  <c r="V2" i="49"/>
  <c r="G26" i="49" l="1"/>
  <c r="K84" i="49" s="1"/>
  <c r="L76" i="49"/>
  <c r="Z75" i="49"/>
  <c r="AC75" i="49" s="1"/>
  <c r="K10" i="49"/>
  <c r="L10" i="49" s="1"/>
  <c r="K11" i="49"/>
  <c r="L11" i="49" s="1"/>
  <c r="K15" i="49"/>
  <c r="L15" i="49" s="1"/>
  <c r="L28" i="49"/>
  <c r="L37" i="49" s="1"/>
  <c r="L75" i="49"/>
  <c r="Z74" i="49"/>
  <c r="AC74" i="49" s="1"/>
  <c r="K24" i="49"/>
  <c r="L24" i="49" s="1"/>
  <c r="X47" i="49"/>
  <c r="X48" i="49"/>
  <c r="X49" i="49"/>
  <c r="C48" i="49"/>
  <c r="K48" i="49" s="1"/>
  <c r="L12" i="49"/>
  <c r="M13" i="49"/>
  <c r="C49" i="49"/>
  <c r="K49" i="49" s="1"/>
  <c r="G56" i="49" l="1"/>
  <c r="K57" i="49" s="1"/>
  <c r="L40" i="49"/>
  <c r="C47" i="49"/>
  <c r="K26" i="49"/>
  <c r="G53" i="49" s="1"/>
  <c r="K54"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L69" i="49" s="1"/>
  <c r="K72" i="49"/>
  <c r="L72" i="49" s="1"/>
  <c r="K71" i="49"/>
  <c r="L71" i="49" s="1"/>
  <c r="L77" i="49"/>
  <c r="K70" i="49"/>
  <c r="L70" i="49" s="1"/>
  <c r="K59" i="49"/>
  <c r="L59" i="49" s="1"/>
  <c r="K78" i="49"/>
  <c r="L78" i="49" s="1"/>
  <c r="K67" i="49"/>
  <c r="L67" i="49" s="1"/>
  <c r="K47" i="49"/>
  <c r="L50" i="49" s="1"/>
  <c r="C50" i="49"/>
  <c r="W48" i="49" l="1"/>
  <c r="AB48" i="49" s="1"/>
  <c r="AC12" i="49"/>
  <c r="L82" i="49"/>
  <c r="AC14" i="49"/>
  <c r="W49" i="49"/>
  <c r="AB49" i="49" s="1"/>
  <c r="X26" i="49"/>
  <c r="AB10" i="49"/>
  <c r="AB26" i="49" l="1"/>
  <c r="X53" i="49" s="1"/>
  <c r="AB54" i="49" s="1"/>
  <c r="W47" i="49"/>
  <c r="AC10" i="49"/>
  <c r="AC26" i="49" s="1"/>
  <c r="K86" i="49"/>
  <c r="X56" i="49"/>
  <c r="AB57"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M86" i="48"/>
  <c r="V78" i="48"/>
  <c r="Y77" i="48"/>
  <c r="V77" i="48"/>
  <c r="Y76" i="48"/>
  <c r="V76" i="48"/>
  <c r="G76" i="48"/>
  <c r="I76" i="48" s="1"/>
  <c r="AB75" i="48"/>
  <c r="G75" i="48"/>
  <c r="I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C36" i="48"/>
  <c r="AB36" i="48"/>
  <c r="G36" i="48"/>
  <c r="L36" i="48" s="1"/>
  <c r="AC35" i="48"/>
  <c r="AB35" i="48"/>
  <c r="G35" i="48"/>
  <c r="L35" i="48" s="1"/>
  <c r="AC34" i="48"/>
  <c r="AB34" i="48"/>
  <c r="G34" i="48"/>
  <c r="L34" i="48" s="1"/>
  <c r="AC33" i="48"/>
  <c r="AB33" i="48"/>
  <c r="G33" i="48"/>
  <c r="L33" i="48" s="1"/>
  <c r="AC32" i="48"/>
  <c r="AB32" i="48"/>
  <c r="G32" i="48"/>
  <c r="L32" i="48" s="1"/>
  <c r="AC31" i="48"/>
  <c r="AB31" i="48"/>
  <c r="G31" i="48"/>
  <c r="L31" i="48" s="1"/>
  <c r="AC30" i="48"/>
  <c r="AB30" i="48"/>
  <c r="G30" i="48"/>
  <c r="L30" i="48" s="1"/>
  <c r="AC29" i="48"/>
  <c r="AB29" i="48"/>
  <c r="G29" i="48"/>
  <c r="L29" i="48" s="1"/>
  <c r="AC28" i="48"/>
  <c r="AC37" i="48" s="1"/>
  <c r="AB28" i="48"/>
  <c r="G28" i="48"/>
  <c r="E26" i="48"/>
  <c r="D26" i="48"/>
  <c r="G25" i="48"/>
  <c r="K25" i="48" s="1"/>
  <c r="L25" i="48" s="1"/>
  <c r="I24" i="48"/>
  <c r="G24" i="48"/>
  <c r="K24" i="48" s="1"/>
  <c r="L24" i="48" s="1"/>
  <c r="I23" i="48"/>
  <c r="G23" i="48"/>
  <c r="K23" i="48" s="1"/>
  <c r="L23" i="48" s="1"/>
  <c r="G22" i="48"/>
  <c r="K22" i="48" s="1"/>
  <c r="L22" i="48" s="1"/>
  <c r="I21" i="48"/>
  <c r="G21" i="48"/>
  <c r="K21" i="48" s="1"/>
  <c r="L21" i="48" s="1"/>
  <c r="I20" i="48"/>
  <c r="G20" i="48"/>
  <c r="K20" i="48" s="1"/>
  <c r="L20" i="48" s="1"/>
  <c r="G19" i="48"/>
  <c r="K19" i="48" s="1"/>
  <c r="L19" i="48" s="1"/>
  <c r="I18" i="48"/>
  <c r="G18" i="48"/>
  <c r="K18" i="48" s="1"/>
  <c r="L18" i="48" s="1"/>
  <c r="I17" i="48"/>
  <c r="G17" i="48"/>
  <c r="K17" i="48" s="1"/>
  <c r="L17" i="48" s="1"/>
  <c r="G16" i="48"/>
  <c r="K16" i="48" s="1"/>
  <c r="L16" i="48" s="1"/>
  <c r="I15" i="48"/>
  <c r="G15" i="48"/>
  <c r="K15" i="48" s="1"/>
  <c r="L15" i="48" s="1"/>
  <c r="G14" i="48"/>
  <c r="K14" i="48" s="1"/>
  <c r="I13" i="48"/>
  <c r="G13" i="48"/>
  <c r="K13" i="48" s="1"/>
  <c r="L13" i="48" s="1"/>
  <c r="G12" i="48"/>
  <c r="K12" i="48" s="1"/>
  <c r="I11" i="48"/>
  <c r="G11" i="48"/>
  <c r="M11" i="48" s="1"/>
  <c r="G10" i="48"/>
  <c r="AB7" i="48"/>
  <c r="X47" i="48" s="1"/>
  <c r="X7" i="48"/>
  <c r="V4" i="48"/>
  <c r="B3" i="48"/>
  <c r="V2" i="48"/>
  <c r="L76" i="48" l="1"/>
  <c r="Z75" i="48"/>
  <c r="K11" i="48"/>
  <c r="L11" i="48" s="1"/>
  <c r="C48" i="48"/>
  <c r="K48" i="48" s="1"/>
  <c r="G26" i="48"/>
  <c r="K84" i="48" s="1"/>
  <c r="L12" i="48"/>
  <c r="AC75" i="48"/>
  <c r="M15" i="48"/>
  <c r="G37" i="48"/>
  <c r="L14" i="48"/>
  <c r="C49" i="48"/>
  <c r="K49" i="48" s="1"/>
  <c r="L75" i="48"/>
  <c r="Z74" i="48"/>
  <c r="AC74" i="48" s="1"/>
  <c r="Y58" i="48"/>
  <c r="M13" i="48"/>
  <c r="X49" i="48"/>
  <c r="K10" i="48"/>
  <c r="L28" i="48"/>
  <c r="L37" i="48" s="1"/>
  <c r="X48" i="48"/>
  <c r="L40" i="48" l="1"/>
  <c r="G56" i="48"/>
  <c r="K5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10" i="48"/>
  <c r="L26" i="48" s="1"/>
  <c r="L44" i="48" s="1"/>
  <c r="K26" i="48"/>
  <c r="G53" i="48" s="1"/>
  <c r="K54" i="48" s="1"/>
  <c r="K69" i="48"/>
  <c r="L69" i="48" s="1"/>
  <c r="K72" i="48"/>
  <c r="L72" i="48" s="1"/>
  <c r="AC14" i="48" l="1"/>
  <c r="W49" i="48"/>
  <c r="AB49" i="48" s="1"/>
  <c r="W48" i="48"/>
  <c r="AB48" i="48" s="1"/>
  <c r="AC12" i="48"/>
  <c r="K47" i="48"/>
  <c r="L50" i="48" s="1"/>
  <c r="C50" i="48"/>
  <c r="X26" i="48"/>
  <c r="AB10" i="48"/>
  <c r="K71" i="48"/>
  <c r="L71" i="48" s="1"/>
  <c r="L77" i="48"/>
  <c r="K70" i="48"/>
  <c r="L70" i="48" s="1"/>
  <c r="K59" i="48"/>
  <c r="L59" i="48" s="1"/>
  <c r="K78" i="48"/>
  <c r="L78" i="48" s="1"/>
  <c r="K67" i="48"/>
  <c r="L67" i="48" s="1"/>
  <c r="L82" i="48" l="1"/>
  <c r="X56" i="48"/>
  <c r="AB57"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M86" i="46"/>
  <c r="V78" i="46"/>
  <c r="Y77" i="46"/>
  <c r="V77" i="46"/>
  <c r="Y76" i="46"/>
  <c r="V76" i="46"/>
  <c r="G76" i="46"/>
  <c r="I76" i="46" s="1"/>
  <c r="AB75" i="46"/>
  <c r="G75" i="46"/>
  <c r="I75" i="46" s="1"/>
  <c r="AB74" i="46"/>
  <c r="Y71" i="46"/>
  <c r="Y70" i="46"/>
  <c r="Y69" i="46"/>
  <c r="Y68" i="46"/>
  <c r="Y66" i="46"/>
  <c r="X65" i="46"/>
  <c r="Y58" i="46" s="1"/>
  <c r="G65" i="46"/>
  <c r="X64" i="46"/>
  <c r="X61" i="46"/>
  <c r="X60" i="46"/>
  <c r="AA56" i="46"/>
  <c r="J56" i="46"/>
  <c r="AA53" i="46"/>
  <c r="Z49" i="46"/>
  <c r="G49" i="46"/>
  <c r="Z48" i="46"/>
  <c r="G48" i="46"/>
  <c r="Z47" i="46"/>
  <c r="G47" i="46"/>
  <c r="X40" i="46"/>
  <c r="K40" i="46"/>
  <c r="X39" i="46"/>
  <c r="AB40" i="46" s="1"/>
  <c r="X37" i="46"/>
  <c r="E37" i="46"/>
  <c r="D37" i="46"/>
  <c r="AC36" i="46"/>
  <c r="AB36" i="46"/>
  <c r="G36" i="46"/>
  <c r="L36" i="46" s="1"/>
  <c r="AC35" i="46"/>
  <c r="AB35" i="46"/>
  <c r="G35" i="46"/>
  <c r="L35" i="46" s="1"/>
  <c r="AC34" i="46"/>
  <c r="AB34" i="46"/>
  <c r="G34" i="46"/>
  <c r="L34" i="46" s="1"/>
  <c r="AC33" i="46"/>
  <c r="AB33" i="46"/>
  <c r="G33" i="46"/>
  <c r="L33" i="46" s="1"/>
  <c r="AC32" i="46"/>
  <c r="AB32" i="46"/>
  <c r="G32" i="46"/>
  <c r="L32" i="46" s="1"/>
  <c r="AC31" i="46"/>
  <c r="AB31" i="46"/>
  <c r="G31" i="46"/>
  <c r="L31" i="46" s="1"/>
  <c r="AC30" i="46"/>
  <c r="AB30" i="46"/>
  <c r="G30" i="46"/>
  <c r="L30" i="46" s="1"/>
  <c r="AC29" i="46"/>
  <c r="AB29" i="46"/>
  <c r="G29" i="46"/>
  <c r="L29" i="46" s="1"/>
  <c r="AC28" i="46"/>
  <c r="AC37" i="46" s="1"/>
  <c r="AB28" i="46"/>
  <c r="G28" i="46"/>
  <c r="E26" i="46"/>
  <c r="D26" i="46"/>
  <c r="G25" i="46"/>
  <c r="K25" i="46" s="1"/>
  <c r="L25" i="46" s="1"/>
  <c r="I24" i="46"/>
  <c r="G24" i="46"/>
  <c r="K24" i="46" s="1"/>
  <c r="L24" i="46" s="1"/>
  <c r="I23" i="46"/>
  <c r="G23" i="46"/>
  <c r="K23" i="46" s="1"/>
  <c r="L23" i="46" s="1"/>
  <c r="G22" i="46"/>
  <c r="K22" i="46" s="1"/>
  <c r="L22" i="46" s="1"/>
  <c r="I21" i="46"/>
  <c r="G21" i="46"/>
  <c r="K21" i="46" s="1"/>
  <c r="L21" i="46" s="1"/>
  <c r="I20" i="46"/>
  <c r="G20" i="46"/>
  <c r="K20" i="46" s="1"/>
  <c r="L20" i="46" s="1"/>
  <c r="G19" i="46"/>
  <c r="K19" i="46" s="1"/>
  <c r="L19" i="46" s="1"/>
  <c r="I18" i="46"/>
  <c r="G18" i="46"/>
  <c r="K18" i="46" s="1"/>
  <c r="L18" i="46" s="1"/>
  <c r="I17" i="46"/>
  <c r="G17" i="46"/>
  <c r="K17" i="46" s="1"/>
  <c r="L17" i="46" s="1"/>
  <c r="G16" i="46"/>
  <c r="K16" i="46" s="1"/>
  <c r="L16" i="46" s="1"/>
  <c r="I15" i="46"/>
  <c r="G15" i="46"/>
  <c r="M15" i="46" s="1"/>
  <c r="G14" i="46"/>
  <c r="K14" i="46" s="1"/>
  <c r="I13" i="46"/>
  <c r="G13" i="46"/>
  <c r="K13" i="46" s="1"/>
  <c r="L13" i="46" s="1"/>
  <c r="G12" i="46"/>
  <c r="K12" i="46" s="1"/>
  <c r="I11" i="46"/>
  <c r="G11" i="46"/>
  <c r="M11" i="46" s="1"/>
  <c r="G10" i="46"/>
  <c r="AB7" i="46"/>
  <c r="X47" i="46" s="1"/>
  <c r="X7" i="46"/>
  <c r="V4" i="46"/>
  <c r="B3" i="46"/>
  <c r="V2" i="46"/>
  <c r="C48" i="46" l="1"/>
  <c r="K48" i="46" s="1"/>
  <c r="L12" i="46"/>
  <c r="L76" i="46"/>
  <c r="Z75" i="46"/>
  <c r="K15" i="46"/>
  <c r="L15" i="46" s="1"/>
  <c r="AC75" i="46"/>
  <c r="K11" i="46"/>
  <c r="L11" i="46" s="1"/>
  <c r="G26" i="46"/>
  <c r="G56" i="46" s="1"/>
  <c r="K57" i="46" s="1"/>
  <c r="G37" i="46"/>
  <c r="L75" i="46"/>
  <c r="Z74" i="46"/>
  <c r="AC74" i="46" s="1"/>
  <c r="L14" i="46"/>
  <c r="C49" i="46"/>
  <c r="K49" i="46" s="1"/>
  <c r="X49" i="46"/>
  <c r="M13" i="46"/>
  <c r="K10" i="46"/>
  <c r="L28" i="46"/>
  <c r="L37" i="46" s="1"/>
  <c r="X48" i="46"/>
  <c r="K84" i="46" l="1"/>
  <c r="L40" i="46"/>
  <c r="K69" i="46"/>
  <c r="L69" i="46" s="1"/>
  <c r="K72" i="46"/>
  <c r="L72" i="46" s="1"/>
  <c r="C47" i="46"/>
  <c r="L10" i="46"/>
  <c r="L26" i="46" s="1"/>
  <c r="L44" i="46" s="1"/>
  <c r="K26" i="46"/>
  <c r="G53" i="46" s="1"/>
  <c r="K54" i="46" s="1"/>
  <c r="X25" i="46"/>
  <c r="AB25" i="46" s="1"/>
  <c r="AC25" i="46" s="1"/>
  <c r="X22" i="46"/>
  <c r="AB22" i="46" s="1"/>
  <c r="AC22" i="46" s="1"/>
  <c r="X19" i="46"/>
  <c r="AB19" i="46" s="1"/>
  <c r="AC19" i="46" s="1"/>
  <c r="X16" i="46"/>
  <c r="AB16" i="46" s="1"/>
  <c r="AC16" i="46" s="1"/>
  <c r="X13" i="46"/>
  <c r="AB13" i="46" s="1"/>
  <c r="AC13" i="46" s="1"/>
  <c r="X12" i="46"/>
  <c r="AB12" i="46" s="1"/>
  <c r="X17" i="46"/>
  <c r="AB17" i="46" s="1"/>
  <c r="AC17" i="46" s="1"/>
  <c r="X23" i="46"/>
  <c r="AB23" i="46" s="1"/>
  <c r="AC23" i="46" s="1"/>
  <c r="X20" i="46"/>
  <c r="AB20" i="46" s="1"/>
  <c r="AC20" i="46" s="1"/>
  <c r="X24" i="46"/>
  <c r="AB24" i="46" s="1"/>
  <c r="AC24" i="46" s="1"/>
  <c r="X21" i="46"/>
  <c r="AB21" i="46" s="1"/>
  <c r="AC21" i="46" s="1"/>
  <c r="X18" i="46"/>
  <c r="AB18" i="46" s="1"/>
  <c r="AC18" i="46" s="1"/>
  <c r="X15" i="46"/>
  <c r="AB15" i="46" s="1"/>
  <c r="AC15" i="46" s="1"/>
  <c r="X14" i="46"/>
  <c r="AB14" i="46" s="1"/>
  <c r="X11" i="46"/>
  <c r="AB11" i="46" s="1"/>
  <c r="AC11" i="46" s="1"/>
  <c r="X10" i="46"/>
  <c r="K47" i="46" l="1"/>
  <c r="L50" i="46" s="1"/>
  <c r="C50" i="46"/>
  <c r="X26" i="46"/>
  <c r="AB10" i="46"/>
  <c r="K71" i="46"/>
  <c r="L71" i="46" s="1"/>
  <c r="L77" i="46"/>
  <c r="K70" i="46"/>
  <c r="L70" i="46" s="1"/>
  <c r="K59" i="46"/>
  <c r="L59" i="46" s="1"/>
  <c r="K78" i="46"/>
  <c r="L78" i="46" s="1"/>
  <c r="K67" i="46"/>
  <c r="L67" i="46" s="1"/>
  <c r="AC14" i="46"/>
  <c r="W49" i="46"/>
  <c r="AB49" i="46" s="1"/>
  <c r="W48" i="46"/>
  <c r="AB48" i="46" s="1"/>
  <c r="AC12" i="46"/>
  <c r="L82" i="46" l="1"/>
  <c r="AB26" i="46"/>
  <c r="X53" i="46" s="1"/>
  <c r="AB54" i="46" s="1"/>
  <c r="W47" i="46"/>
  <c r="AC10" i="46"/>
  <c r="AC26" i="46" s="1"/>
  <c r="X56" i="46"/>
  <c r="AB57"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M86" i="45"/>
  <c r="V78" i="45"/>
  <c r="Y77" i="45"/>
  <c r="V77" i="45"/>
  <c r="Y76" i="45"/>
  <c r="V76" i="45"/>
  <c r="G76" i="45"/>
  <c r="I76" i="45" s="1"/>
  <c r="L76" i="45" s="1"/>
  <c r="AB75" i="45"/>
  <c r="G75" i="45"/>
  <c r="I75" i="45" s="1"/>
  <c r="AB74" i="45"/>
  <c r="Y71" i="45"/>
  <c r="Y70" i="45"/>
  <c r="Y69" i="45"/>
  <c r="Y68" i="45"/>
  <c r="Y66" i="45"/>
  <c r="X65" i="45"/>
  <c r="G65" i="45"/>
  <c r="X64" i="45"/>
  <c r="X61" i="45"/>
  <c r="X60" i="45"/>
  <c r="AA56" i="45"/>
  <c r="J56" i="45"/>
  <c r="AA53" i="45"/>
  <c r="Z49" i="45"/>
  <c r="G49" i="45"/>
  <c r="Z48" i="45"/>
  <c r="G48" i="45"/>
  <c r="Z47" i="45"/>
  <c r="G47" i="45"/>
  <c r="X40" i="45"/>
  <c r="K40" i="45"/>
  <c r="X39" i="45"/>
  <c r="AB40" i="45" s="1"/>
  <c r="X37" i="45"/>
  <c r="E37" i="45"/>
  <c r="D37" i="45"/>
  <c r="AC36" i="45"/>
  <c r="AB36" i="45"/>
  <c r="G36" i="45"/>
  <c r="L36" i="45" s="1"/>
  <c r="AC35" i="45"/>
  <c r="AB35" i="45"/>
  <c r="G35" i="45"/>
  <c r="L35" i="45" s="1"/>
  <c r="AC34" i="45"/>
  <c r="AB34" i="45"/>
  <c r="G34" i="45"/>
  <c r="L34" i="45" s="1"/>
  <c r="AC33" i="45"/>
  <c r="AB33" i="45"/>
  <c r="G33" i="45"/>
  <c r="L33" i="45" s="1"/>
  <c r="AC32" i="45"/>
  <c r="AB32" i="45"/>
  <c r="G32" i="45"/>
  <c r="L32" i="45" s="1"/>
  <c r="AC31" i="45"/>
  <c r="AB31" i="45"/>
  <c r="G31" i="45"/>
  <c r="L31" i="45" s="1"/>
  <c r="AC30" i="45"/>
  <c r="AB30" i="45"/>
  <c r="G30" i="45"/>
  <c r="L30" i="45" s="1"/>
  <c r="AC29" i="45"/>
  <c r="AB29" i="45"/>
  <c r="G29" i="45"/>
  <c r="L29" i="45" s="1"/>
  <c r="AC28" i="45"/>
  <c r="AB28" i="45"/>
  <c r="G28" i="45"/>
  <c r="E26" i="45"/>
  <c r="D26" i="45"/>
  <c r="G25" i="45"/>
  <c r="K25" i="45" s="1"/>
  <c r="L25" i="45" s="1"/>
  <c r="I24" i="45"/>
  <c r="G24" i="45"/>
  <c r="K24" i="45" s="1"/>
  <c r="L24" i="45" s="1"/>
  <c r="I23" i="45"/>
  <c r="G23" i="45"/>
  <c r="K23" i="45" s="1"/>
  <c r="L23" i="45" s="1"/>
  <c r="G22" i="45"/>
  <c r="K22" i="45" s="1"/>
  <c r="L22" i="45" s="1"/>
  <c r="I21" i="45"/>
  <c r="G21" i="45"/>
  <c r="K21" i="45" s="1"/>
  <c r="L21" i="45" s="1"/>
  <c r="I20" i="45"/>
  <c r="G20" i="45"/>
  <c r="K20" i="45" s="1"/>
  <c r="L20" i="45" s="1"/>
  <c r="G19" i="45"/>
  <c r="K19" i="45" s="1"/>
  <c r="L19" i="45" s="1"/>
  <c r="I18" i="45"/>
  <c r="G18" i="45"/>
  <c r="K18" i="45" s="1"/>
  <c r="L18" i="45" s="1"/>
  <c r="I17" i="45"/>
  <c r="G17" i="45"/>
  <c r="K17" i="45" s="1"/>
  <c r="L17" i="45" s="1"/>
  <c r="G16" i="45"/>
  <c r="K16" i="45" s="1"/>
  <c r="L16" i="45" s="1"/>
  <c r="I15" i="45"/>
  <c r="G15" i="45"/>
  <c r="M15" i="45" s="1"/>
  <c r="G14" i="45"/>
  <c r="K14" i="45" s="1"/>
  <c r="I13" i="45"/>
  <c r="G13" i="45"/>
  <c r="K13" i="45" s="1"/>
  <c r="L13" i="45" s="1"/>
  <c r="G12" i="45"/>
  <c r="K12" i="45" s="1"/>
  <c r="I11" i="45"/>
  <c r="G11" i="45"/>
  <c r="M11" i="45" s="1"/>
  <c r="G10" i="45"/>
  <c r="AB7" i="45"/>
  <c r="X7" i="45"/>
  <c r="V4" i="45"/>
  <c r="B3" i="45"/>
  <c r="V2" i="45"/>
  <c r="K15" i="45" l="1"/>
  <c r="L15" i="45" s="1"/>
  <c r="K11" i="45"/>
  <c r="L11" i="45" s="1"/>
  <c r="G37" i="45"/>
  <c r="X47" i="45"/>
  <c r="X48" i="45"/>
  <c r="X49" i="45"/>
  <c r="G26" i="45"/>
  <c r="L14" i="45"/>
  <c r="C49" i="45"/>
  <c r="K49" i="45" s="1"/>
  <c r="Z75" i="45"/>
  <c r="AC75" i="45" s="1"/>
  <c r="AC37" i="45"/>
  <c r="L75" i="45"/>
  <c r="Z74" i="45"/>
  <c r="AC74" i="45" s="1"/>
  <c r="C48" i="45"/>
  <c r="K48" i="45" s="1"/>
  <c r="L12" i="45"/>
  <c r="Y58" i="45"/>
  <c r="L28" i="45"/>
  <c r="L37" i="45" s="1"/>
  <c r="M13" i="45"/>
  <c r="K10" i="45"/>
  <c r="K84" i="45" l="1"/>
  <c r="G56" i="45"/>
  <c r="K57" i="45" s="1"/>
  <c r="L40" i="45"/>
  <c r="C47" i="45"/>
  <c r="L10" i="45"/>
  <c r="L26" i="45" s="1"/>
  <c r="K26" i="45"/>
  <c r="G53" i="45" s="1"/>
  <c r="K54" i="45" s="1"/>
  <c r="L44" i="45" l="1"/>
  <c r="K47" i="45"/>
  <c r="L50" i="45" s="1"/>
  <c r="C50" i="45"/>
  <c r="K69" i="45"/>
  <c r="L69" i="45" s="1"/>
  <c r="K72" i="45"/>
  <c r="L72" i="45" s="1"/>
  <c r="K71" i="45"/>
  <c r="L71" i="45" s="1"/>
  <c r="L77" i="45"/>
  <c r="K70" i="45"/>
  <c r="L70" i="45" s="1"/>
  <c r="K59" i="45"/>
  <c r="L59" i="45" s="1"/>
  <c r="K78" i="45"/>
  <c r="L78" i="45" s="1"/>
  <c r="K67" i="45"/>
  <c r="L67" i="45" s="1"/>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M86" i="44"/>
  <c r="V78" i="44"/>
  <c r="Y77" i="44"/>
  <c r="V77" i="44"/>
  <c r="Y76" i="44"/>
  <c r="V76" i="44"/>
  <c r="G76" i="44"/>
  <c r="I76" i="44" s="1"/>
  <c r="AB75" i="44"/>
  <c r="G75" i="44"/>
  <c r="I75" i="44" s="1"/>
  <c r="AB74" i="44"/>
  <c r="Y71" i="44"/>
  <c r="Y70" i="44"/>
  <c r="Y69" i="44"/>
  <c r="Y68" i="44"/>
  <c r="Y66" i="44"/>
  <c r="X65" i="44"/>
  <c r="Y58" i="44" s="1"/>
  <c r="G65" i="44"/>
  <c r="X64" i="44"/>
  <c r="X61" i="44"/>
  <c r="X60" i="44"/>
  <c r="J56" i="44"/>
  <c r="AA56" i="44" s="1"/>
  <c r="AA53" i="44"/>
  <c r="Z49" i="44"/>
  <c r="X49" i="44"/>
  <c r="G49" i="44"/>
  <c r="Z48" i="44"/>
  <c r="G48" i="44"/>
  <c r="Z47" i="44"/>
  <c r="G47" i="44"/>
  <c r="X40" i="44"/>
  <c r="K40" i="44"/>
  <c r="X39" i="44"/>
  <c r="AB40" i="44" s="1"/>
  <c r="X37" i="44"/>
  <c r="E37" i="44"/>
  <c r="D37" i="44"/>
  <c r="AC36" i="44"/>
  <c r="AB36" i="44"/>
  <c r="G36" i="44"/>
  <c r="L36" i="44" s="1"/>
  <c r="AC35" i="44"/>
  <c r="AB35" i="44"/>
  <c r="G35" i="44"/>
  <c r="L35" i="44" s="1"/>
  <c r="AC34" i="44"/>
  <c r="AB34" i="44"/>
  <c r="G34" i="44"/>
  <c r="L34" i="44" s="1"/>
  <c r="AC33" i="44"/>
  <c r="AB33" i="44"/>
  <c r="G33" i="44"/>
  <c r="L33" i="44" s="1"/>
  <c r="AC32" i="44"/>
  <c r="AB32" i="44"/>
  <c r="G32" i="44"/>
  <c r="L32" i="44" s="1"/>
  <c r="AC31" i="44"/>
  <c r="AB31" i="44"/>
  <c r="G31" i="44"/>
  <c r="L31" i="44" s="1"/>
  <c r="AC30" i="44"/>
  <c r="AB30" i="44"/>
  <c r="G30" i="44"/>
  <c r="L30" i="44" s="1"/>
  <c r="AC29" i="44"/>
  <c r="AB29" i="44"/>
  <c r="G29" i="44"/>
  <c r="L29" i="44" s="1"/>
  <c r="AC28" i="44"/>
  <c r="AC37" i="44" s="1"/>
  <c r="AB28" i="44"/>
  <c r="G28" i="44"/>
  <c r="E26" i="44"/>
  <c r="D26" i="44"/>
  <c r="G25" i="44"/>
  <c r="K25" i="44" s="1"/>
  <c r="L25" i="44" s="1"/>
  <c r="I24" i="44"/>
  <c r="G24" i="44"/>
  <c r="K24" i="44" s="1"/>
  <c r="L24" i="44" s="1"/>
  <c r="I23" i="44"/>
  <c r="G23" i="44"/>
  <c r="K23" i="44" s="1"/>
  <c r="L23" i="44" s="1"/>
  <c r="G22" i="44"/>
  <c r="K22" i="44" s="1"/>
  <c r="L22" i="44" s="1"/>
  <c r="I21" i="44"/>
  <c r="G21" i="44"/>
  <c r="K21" i="44" s="1"/>
  <c r="L21" i="44" s="1"/>
  <c r="I20" i="44"/>
  <c r="G20" i="44"/>
  <c r="K20" i="44" s="1"/>
  <c r="L20" i="44" s="1"/>
  <c r="G19" i="44"/>
  <c r="K19" i="44" s="1"/>
  <c r="L19" i="44" s="1"/>
  <c r="I18" i="44"/>
  <c r="G18" i="44"/>
  <c r="K18" i="44" s="1"/>
  <c r="L18" i="44" s="1"/>
  <c r="I17" i="44"/>
  <c r="G17" i="44"/>
  <c r="K17" i="44" s="1"/>
  <c r="L17" i="44" s="1"/>
  <c r="G16" i="44"/>
  <c r="K16" i="44" s="1"/>
  <c r="L16" i="44" s="1"/>
  <c r="I15" i="44"/>
  <c r="G15" i="44"/>
  <c r="M15" i="44" s="1"/>
  <c r="G14" i="44"/>
  <c r="K14" i="44" s="1"/>
  <c r="I13" i="44"/>
  <c r="G13" i="44"/>
  <c r="K13" i="44" s="1"/>
  <c r="L13" i="44" s="1"/>
  <c r="G12" i="44"/>
  <c r="K12" i="44" s="1"/>
  <c r="L12" i="44" s="1"/>
  <c r="I11" i="44"/>
  <c r="G11" i="44"/>
  <c r="K11" i="44" s="1"/>
  <c r="L11" i="44" s="1"/>
  <c r="G10" i="44"/>
  <c r="AB7" i="44"/>
  <c r="X47" i="44" s="1"/>
  <c r="X7" i="44"/>
  <c r="V4" i="44"/>
  <c r="B3" i="44"/>
  <c r="V2" i="44"/>
  <c r="G26" i="44" l="1"/>
  <c r="G56" i="44" s="1"/>
  <c r="K57" i="44" s="1"/>
  <c r="K77" i="44" s="1"/>
  <c r="L76" i="44"/>
  <c r="Z75" i="44"/>
  <c r="K15" i="44"/>
  <c r="L15" i="44" s="1"/>
  <c r="AC75" i="44"/>
  <c r="G37" i="44"/>
  <c r="M11" i="44"/>
  <c r="L75" i="44"/>
  <c r="Z74" i="44"/>
  <c r="AC74" i="44" s="1"/>
  <c r="C48" i="44"/>
  <c r="K48" i="44" s="1"/>
  <c r="L14" i="44"/>
  <c r="C49" i="44"/>
  <c r="K49" i="44" s="1"/>
  <c r="L28" i="44"/>
  <c r="L37" i="44" s="1"/>
  <c r="X48" i="44"/>
  <c r="M13" i="44"/>
  <c r="K10" i="44"/>
  <c r="K84" i="44" l="1"/>
  <c r="X25" i="44" s="1"/>
  <c r="AB25" i="44" s="1"/>
  <c r="AC25" i="44" s="1"/>
  <c r="L40" i="44"/>
  <c r="X20" i="44"/>
  <c r="AB20" i="44" s="1"/>
  <c r="AC20" i="44" s="1"/>
  <c r="C47" i="44"/>
  <c r="L10" i="44"/>
  <c r="L26" i="44" s="1"/>
  <c r="L44" i="44" s="1"/>
  <c r="K26" i="44"/>
  <c r="G53" i="44" s="1"/>
  <c r="K54" i="44" s="1"/>
  <c r="K69" i="44"/>
  <c r="L69" i="44" s="1"/>
  <c r="K72" i="44"/>
  <c r="L72" i="44" s="1"/>
  <c r="X10" i="44" l="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X22" i="44"/>
  <c r="AB22" i="44" s="1"/>
  <c r="AC22" i="44" s="1"/>
  <c r="X18" i="44"/>
  <c r="AB18" i="44" s="1"/>
  <c r="AC18" i="44" s="1"/>
  <c r="X24" i="44"/>
  <c r="AB24" i="44" s="1"/>
  <c r="AC24" i="44" s="1"/>
  <c r="X13" i="44"/>
  <c r="AB13" i="44" s="1"/>
  <c r="AC13" i="44" s="1"/>
  <c r="X19" i="44"/>
  <c r="AB19" i="44" s="1"/>
  <c r="AC19" i="44" s="1"/>
  <c r="K71" i="44"/>
  <c r="L71" i="44" s="1"/>
  <c r="L77" i="44"/>
  <c r="K70" i="44"/>
  <c r="L70" i="44" s="1"/>
  <c r="K59" i="44"/>
  <c r="L59" i="44" s="1"/>
  <c r="K78" i="44"/>
  <c r="L78" i="44" s="1"/>
  <c r="K67" i="44"/>
  <c r="L67" i="44" s="1"/>
  <c r="AC12" i="44"/>
  <c r="AB10" i="44"/>
  <c r="K47" i="44"/>
  <c r="L50" i="44" s="1"/>
  <c r="C50" i="44"/>
  <c r="W49" i="44"/>
  <c r="AB49" i="44" s="1"/>
  <c r="L82" i="44" l="1"/>
  <c r="K86" i="44" s="1"/>
  <c r="X26" i="44"/>
  <c r="W48" i="44"/>
  <c r="AB48" i="44" s="1"/>
  <c r="AB26" i="44"/>
  <c r="X53" i="44" s="1"/>
  <c r="AB54" i="44" s="1"/>
  <c r="W47" i="44"/>
  <c r="AC10" i="44"/>
  <c r="AC26" i="44" s="1"/>
  <c r="X56" i="44"/>
  <c r="AB57" i="44" s="1"/>
  <c r="AB76" i="44" s="1"/>
  <c r="AC40" i="44"/>
  <c r="W50" i="44" l="1"/>
  <c r="AB47" i="44"/>
  <c r="AC50" i="44" s="1"/>
  <c r="AB70" i="44"/>
  <c r="AC70" i="44" s="1"/>
  <c r="AB77" i="44"/>
  <c r="AC77" i="44" s="1"/>
  <c r="AB66" i="44"/>
  <c r="AC66" i="44" s="1"/>
  <c r="AC76" i="44"/>
  <c r="AB69" i="44"/>
  <c r="AC69" i="44" s="1"/>
  <c r="AB58" i="44"/>
  <c r="AC58" i="44" s="1"/>
  <c r="L86" i="44"/>
  <c r="AB68" i="44"/>
  <c r="AC68" i="44" s="1"/>
  <c r="AB71" i="44"/>
  <c r="AC71" i="44" s="1"/>
  <c r="AC44" i="44"/>
  <c r="L87" i="44" l="1"/>
  <c r="AC81" i="44"/>
  <c r="L84" i="44" s="1"/>
  <c r="L94" i="44"/>
  <c r="L90" i="44" l="1"/>
  <c r="L92" i="44" s="1"/>
  <c r="C177" i="43"/>
  <c r="C176" i="43"/>
  <c r="B136" i="43"/>
  <c r="B135" i="43"/>
  <c r="M86" i="43"/>
  <c r="V78" i="43"/>
  <c r="Y77" i="43"/>
  <c r="V77" i="43"/>
  <c r="Y76" i="43"/>
  <c r="V76" i="43"/>
  <c r="G76" i="43"/>
  <c r="I76" i="43" s="1"/>
  <c r="AB75" i="43"/>
  <c r="G75" i="43"/>
  <c r="I75" i="43" s="1"/>
  <c r="AB74" i="43"/>
  <c r="Y71" i="43"/>
  <c r="Y70" i="43"/>
  <c r="Y69" i="43"/>
  <c r="Y68" i="43"/>
  <c r="Y66" i="43"/>
  <c r="X65" i="43"/>
  <c r="Y58" i="43" s="1"/>
  <c r="G65" i="43"/>
  <c r="X64" i="43"/>
  <c r="X61" i="43"/>
  <c r="X60" i="43"/>
  <c r="J56" i="43"/>
  <c r="AA56" i="43" s="1"/>
  <c r="AA53" i="43"/>
  <c r="Z49" i="43"/>
  <c r="X49" i="43"/>
  <c r="G49" i="43"/>
  <c r="Z48" i="43"/>
  <c r="X48" i="43"/>
  <c r="G48" i="43"/>
  <c r="Z47" i="43"/>
  <c r="G47" i="43"/>
  <c r="X40" i="43"/>
  <c r="K40" i="43"/>
  <c r="X39" i="43"/>
  <c r="AB40" i="43" s="1"/>
  <c r="AC37" i="43"/>
  <c r="X37" i="43"/>
  <c r="E37" i="43"/>
  <c r="D37" i="43"/>
  <c r="AC36" i="43"/>
  <c r="AB36" i="43"/>
  <c r="G36" i="43"/>
  <c r="L36" i="43" s="1"/>
  <c r="AC35" i="43"/>
  <c r="AB35" i="43"/>
  <c r="G35" i="43"/>
  <c r="L35" i="43" s="1"/>
  <c r="AC34" i="43"/>
  <c r="AB34" i="43"/>
  <c r="G34" i="43"/>
  <c r="L34" i="43" s="1"/>
  <c r="AC33" i="43"/>
  <c r="AB33" i="43"/>
  <c r="G33" i="43"/>
  <c r="L33" i="43" s="1"/>
  <c r="AC32" i="43"/>
  <c r="AB32" i="43"/>
  <c r="G32" i="43"/>
  <c r="L32" i="43" s="1"/>
  <c r="AC31" i="43"/>
  <c r="AB31" i="43"/>
  <c r="G31" i="43"/>
  <c r="L31" i="43" s="1"/>
  <c r="AC30" i="43"/>
  <c r="AB30" i="43"/>
  <c r="G30" i="43"/>
  <c r="L30" i="43" s="1"/>
  <c r="AC29" i="43"/>
  <c r="AB29" i="43"/>
  <c r="G29" i="43"/>
  <c r="L29" i="43" s="1"/>
  <c r="AC28" i="43"/>
  <c r="AB28" i="43"/>
  <c r="G28" i="43"/>
  <c r="E26" i="43"/>
  <c r="D26" i="43"/>
  <c r="G25" i="43"/>
  <c r="K25" i="43" s="1"/>
  <c r="L25" i="43" s="1"/>
  <c r="I24" i="43"/>
  <c r="G24" i="43"/>
  <c r="I23" i="43"/>
  <c r="G23" i="43"/>
  <c r="K23" i="43" s="1"/>
  <c r="L23" i="43" s="1"/>
  <c r="G22" i="43"/>
  <c r="K22" i="43" s="1"/>
  <c r="L22" i="43" s="1"/>
  <c r="I21" i="43"/>
  <c r="G21" i="43"/>
  <c r="I20" i="43"/>
  <c r="G20" i="43"/>
  <c r="K20" i="43" s="1"/>
  <c r="L20" i="43" s="1"/>
  <c r="G19" i="43"/>
  <c r="K19" i="43" s="1"/>
  <c r="L19" i="43" s="1"/>
  <c r="I18" i="43"/>
  <c r="G18" i="43"/>
  <c r="I17" i="43"/>
  <c r="G17" i="43"/>
  <c r="K17" i="43" s="1"/>
  <c r="L17" i="43" s="1"/>
  <c r="G16" i="43"/>
  <c r="K16" i="43" s="1"/>
  <c r="L16" i="43" s="1"/>
  <c r="I15" i="43"/>
  <c r="G15" i="43"/>
  <c r="K15" i="43" s="1"/>
  <c r="L15" i="43" s="1"/>
  <c r="G14" i="43"/>
  <c r="K14" i="43" s="1"/>
  <c r="I13" i="43"/>
  <c r="G13" i="43"/>
  <c r="K13" i="43" s="1"/>
  <c r="G12" i="43"/>
  <c r="K12" i="43" s="1"/>
  <c r="L12" i="43" s="1"/>
  <c r="I11" i="43"/>
  <c r="G11" i="43"/>
  <c r="K11" i="43" s="1"/>
  <c r="L11" i="43" s="1"/>
  <c r="G10" i="43"/>
  <c r="AB7" i="43"/>
  <c r="X47" i="43" s="1"/>
  <c r="X7" i="43"/>
  <c r="V4" i="43"/>
  <c r="B3" i="43"/>
  <c r="V2" i="43"/>
  <c r="K18" i="43" l="1"/>
  <c r="L18" i="43" s="1"/>
  <c r="L76" i="43"/>
  <c r="Z75" i="43"/>
  <c r="K24" i="43"/>
  <c r="L24" i="43" s="1"/>
  <c r="K21" i="43"/>
  <c r="L21" i="43" s="1"/>
  <c r="AC75" i="43"/>
  <c r="M15" i="43"/>
  <c r="G37" i="43"/>
  <c r="M11" i="43"/>
  <c r="L14" i="43"/>
  <c r="C49" i="43"/>
  <c r="K49" i="43" s="1"/>
  <c r="L75" i="43"/>
  <c r="Z74" i="43"/>
  <c r="AC74" i="43" s="1"/>
  <c r="G26" i="43"/>
  <c r="K10" i="43"/>
  <c r="L13" i="43"/>
  <c r="C48" i="43"/>
  <c r="K48" i="43" s="1"/>
  <c r="M13" i="43"/>
  <c r="L28" i="43"/>
  <c r="L37" i="43" s="1"/>
  <c r="C47" i="43" l="1"/>
  <c r="L10" i="43"/>
  <c r="L26" i="43" s="1"/>
  <c r="K26" i="43"/>
  <c r="G53" i="43" s="1"/>
  <c r="K54" i="43" s="1"/>
  <c r="L40" i="43"/>
  <c r="K84" i="43"/>
  <c r="G56" i="43"/>
  <c r="K57" i="43" s="1"/>
  <c r="L44" i="43" l="1"/>
  <c r="K72" i="43"/>
  <c r="L72" i="43" s="1"/>
  <c r="K69" i="43"/>
  <c r="L69" i="43" s="1"/>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L71" i="43" s="1"/>
  <c r="L77" i="43"/>
  <c r="K70" i="43"/>
  <c r="L70" i="43" s="1"/>
  <c r="K59" i="43"/>
  <c r="L59" i="43" s="1"/>
  <c r="K78" i="43"/>
  <c r="L78" i="43" s="1"/>
  <c r="K67" i="43"/>
  <c r="L67" i="43" s="1"/>
  <c r="C50" i="43"/>
  <c r="K47" i="43"/>
  <c r="L50" i="43" s="1"/>
  <c r="L82" i="43" s="1"/>
  <c r="K86" i="43" l="1"/>
  <c r="AC14" i="43"/>
  <c r="W49" i="43"/>
  <c r="AB49" i="43" s="1"/>
  <c r="AB10" i="43"/>
  <c r="X26" i="43"/>
  <c r="AC12" i="43"/>
  <c r="W48" i="43"/>
  <c r="AB48" i="43" s="1"/>
  <c r="X56" i="43" l="1"/>
  <c r="AB57"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M86" i="42"/>
  <c r="V78" i="42"/>
  <c r="Y77" i="42"/>
  <c r="V77" i="42"/>
  <c r="Y76" i="42"/>
  <c r="V76" i="42"/>
  <c r="G76" i="42"/>
  <c r="I76" i="42" s="1"/>
  <c r="AB75" i="42"/>
  <c r="G75" i="42"/>
  <c r="I75" i="42" s="1"/>
  <c r="AB74" i="42"/>
  <c r="Y71" i="42"/>
  <c r="Y70" i="42"/>
  <c r="Y69" i="42"/>
  <c r="Y68" i="42"/>
  <c r="Y66" i="42"/>
  <c r="X65" i="42"/>
  <c r="G65" i="42"/>
  <c r="X64" i="42" s="1"/>
  <c r="Y58" i="42" s="1"/>
  <c r="X61" i="42"/>
  <c r="X60" i="42"/>
  <c r="J56" i="42"/>
  <c r="AA56" i="42" s="1"/>
  <c r="AA53" i="42"/>
  <c r="Z49" i="42"/>
  <c r="X49" i="42"/>
  <c r="G49" i="42"/>
  <c r="Z48" i="42"/>
  <c r="G48" i="42"/>
  <c r="Z47" i="42"/>
  <c r="X47" i="42"/>
  <c r="G47" i="42"/>
  <c r="X40" i="42"/>
  <c r="K40" i="42"/>
  <c r="X39" i="42"/>
  <c r="AB40" i="42" s="1"/>
  <c r="X37" i="42"/>
  <c r="E37" i="42"/>
  <c r="D37" i="42"/>
  <c r="AB36" i="42"/>
  <c r="AC36" i="42" s="1"/>
  <c r="G36" i="42"/>
  <c r="L36" i="42" s="1"/>
  <c r="AB35" i="42"/>
  <c r="AC35" i="42" s="1"/>
  <c r="G35" i="42"/>
  <c r="L35" i="42" s="1"/>
  <c r="AB34" i="42"/>
  <c r="AC34" i="42" s="1"/>
  <c r="G34" i="42"/>
  <c r="L34" i="42" s="1"/>
  <c r="AB33" i="42"/>
  <c r="AC33" i="42" s="1"/>
  <c r="G33" i="42"/>
  <c r="L33" i="42" s="1"/>
  <c r="AB32" i="42"/>
  <c r="AC32" i="42" s="1"/>
  <c r="G32" i="42"/>
  <c r="L32" i="42" s="1"/>
  <c r="AB31" i="42"/>
  <c r="AC31" i="42" s="1"/>
  <c r="G31" i="42"/>
  <c r="L31" i="42" s="1"/>
  <c r="AB30" i="42"/>
  <c r="AC30" i="42" s="1"/>
  <c r="G30" i="42"/>
  <c r="L30" i="42" s="1"/>
  <c r="AB29" i="42"/>
  <c r="AC29" i="42" s="1"/>
  <c r="G29" i="42"/>
  <c r="L29" i="42" s="1"/>
  <c r="AB28" i="42"/>
  <c r="AC28" i="42" s="1"/>
  <c r="G28" i="42"/>
  <c r="E26" i="42"/>
  <c r="D26" i="42"/>
  <c r="G25" i="42"/>
  <c r="K25" i="42" s="1"/>
  <c r="L25" i="42" s="1"/>
  <c r="I24" i="42"/>
  <c r="G24" i="42"/>
  <c r="I23" i="42"/>
  <c r="G23" i="42"/>
  <c r="K23" i="42" s="1"/>
  <c r="L23" i="42" s="1"/>
  <c r="G22" i="42"/>
  <c r="K22" i="42" s="1"/>
  <c r="L22" i="42" s="1"/>
  <c r="I21" i="42"/>
  <c r="G21" i="42"/>
  <c r="I20" i="42"/>
  <c r="G20" i="42"/>
  <c r="K20" i="42" s="1"/>
  <c r="L20" i="42" s="1"/>
  <c r="G19" i="42"/>
  <c r="K19" i="42" s="1"/>
  <c r="L19" i="42" s="1"/>
  <c r="I18" i="42"/>
  <c r="G18" i="42"/>
  <c r="G17" i="42"/>
  <c r="K17" i="42" s="1"/>
  <c r="L17" i="42" s="1"/>
  <c r="G16" i="42"/>
  <c r="K16" i="42" s="1"/>
  <c r="L16" i="42" s="1"/>
  <c r="I15" i="42"/>
  <c r="G15" i="42"/>
  <c r="K15" i="42" s="1"/>
  <c r="L15" i="42" s="1"/>
  <c r="G14" i="42"/>
  <c r="K14" i="42" s="1"/>
  <c r="L14" i="42" s="1"/>
  <c r="I13" i="42"/>
  <c r="G13" i="42"/>
  <c r="K13" i="42" s="1"/>
  <c r="L13" i="42" s="1"/>
  <c r="G12" i="42"/>
  <c r="K12" i="42" s="1"/>
  <c r="L12" i="42" s="1"/>
  <c r="I11" i="42"/>
  <c r="G11" i="42"/>
  <c r="K11" i="42" s="1"/>
  <c r="L11" i="42" s="1"/>
  <c r="G10" i="42"/>
  <c r="AB7" i="42"/>
  <c r="X48" i="42" s="1"/>
  <c r="X7" i="42"/>
  <c r="V4" i="42"/>
  <c r="B3" i="42"/>
  <c r="V2" i="42"/>
  <c r="L76" i="42" l="1"/>
  <c r="Z75" i="42"/>
  <c r="AC75" i="42"/>
  <c r="K10" i="42"/>
  <c r="G26" i="42"/>
  <c r="C48" i="42"/>
  <c r="K48" i="42" s="1"/>
  <c r="AC37" i="42"/>
  <c r="M11" i="42"/>
  <c r="M13" i="42"/>
  <c r="M15" i="42"/>
  <c r="L75" i="42"/>
  <c r="Z74" i="42"/>
  <c r="AC74" i="42" s="1"/>
  <c r="K18" i="42"/>
  <c r="K21" i="42"/>
  <c r="L21" i="42" s="1"/>
  <c r="K24" i="42"/>
  <c r="L24" i="42" s="1"/>
  <c r="L28" i="42"/>
  <c r="L37" i="42" s="1"/>
  <c r="G37" i="42"/>
  <c r="K84" i="42" l="1"/>
  <c r="G56" i="42"/>
  <c r="K57" i="42" s="1"/>
  <c r="L40" i="42"/>
  <c r="L18" i="42"/>
  <c r="C49" i="42"/>
  <c r="K49" i="42" s="1"/>
  <c r="K26" i="42"/>
  <c r="G53" i="42" s="1"/>
  <c r="K54" i="42" s="1"/>
  <c r="C47" i="42"/>
  <c r="K47" i="42" s="1"/>
  <c r="L10" i="42"/>
  <c r="L26" i="42" s="1"/>
  <c r="L44" i="42" l="1"/>
  <c r="L77" i="42"/>
  <c r="K70" i="42"/>
  <c r="L70" i="42" s="1"/>
  <c r="K59" i="42"/>
  <c r="L59" i="42" s="1"/>
  <c r="K78" i="42"/>
  <c r="L78" i="42" s="1"/>
  <c r="K67" i="42"/>
  <c r="L67" i="42" s="1"/>
  <c r="K71" i="42"/>
  <c r="L71" i="42" s="1"/>
  <c r="C50" i="42"/>
  <c r="L50" i="42"/>
  <c r="K69" i="42"/>
  <c r="L69" i="42" s="1"/>
  <c r="K72" i="42"/>
  <c r="L72" i="42" s="1"/>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B1" i="98" s="1"/>
  <c r="C177" i="40"/>
  <c r="C176" i="40"/>
  <c r="B136" i="40"/>
  <c r="B135" i="40"/>
  <c r="M86" i="40"/>
  <c r="V78" i="40"/>
  <c r="Y77" i="40"/>
  <c r="V77" i="40"/>
  <c r="Y76" i="40"/>
  <c r="V76" i="40"/>
  <c r="G76" i="40"/>
  <c r="I76" i="40" s="1"/>
  <c r="AB75" i="40"/>
  <c r="G75" i="40"/>
  <c r="I75" i="40" s="1"/>
  <c r="AB74" i="40"/>
  <c r="Y71" i="40"/>
  <c r="Y70" i="40"/>
  <c r="Y69" i="40"/>
  <c r="Y68" i="40"/>
  <c r="Y66" i="40"/>
  <c r="X65" i="40"/>
  <c r="Y58" i="40" s="1"/>
  <c r="G65" i="40"/>
  <c r="X64" i="40"/>
  <c r="X61" i="40"/>
  <c r="X60" i="40"/>
  <c r="J56" i="40"/>
  <c r="AA56" i="40" s="1"/>
  <c r="AA53" i="40"/>
  <c r="Z49" i="40"/>
  <c r="G49" i="40"/>
  <c r="Z48" i="40"/>
  <c r="G48" i="40"/>
  <c r="Z47" i="40"/>
  <c r="G47" i="40"/>
  <c r="X40" i="40"/>
  <c r="K40" i="40"/>
  <c r="X39" i="40"/>
  <c r="AB40" i="40" s="1"/>
  <c r="X37" i="40"/>
  <c r="E37" i="40"/>
  <c r="D37" i="40"/>
  <c r="AC36" i="40"/>
  <c r="AB36" i="40"/>
  <c r="G36" i="40"/>
  <c r="L36" i="40" s="1"/>
  <c r="AC35" i="40"/>
  <c r="AB35" i="40"/>
  <c r="G35" i="40"/>
  <c r="L35" i="40" s="1"/>
  <c r="AC34" i="40"/>
  <c r="AB34" i="40"/>
  <c r="G34" i="40"/>
  <c r="L34" i="40" s="1"/>
  <c r="AC33" i="40"/>
  <c r="AB33" i="40"/>
  <c r="G33" i="40"/>
  <c r="L33" i="40" s="1"/>
  <c r="AC32" i="40"/>
  <c r="AB32" i="40"/>
  <c r="G32" i="40"/>
  <c r="L32" i="40" s="1"/>
  <c r="AC31" i="40"/>
  <c r="AB31" i="40"/>
  <c r="G31" i="40"/>
  <c r="L31" i="40" s="1"/>
  <c r="AC30" i="40"/>
  <c r="AB30" i="40"/>
  <c r="G30" i="40"/>
  <c r="L30" i="40" s="1"/>
  <c r="AC29" i="40"/>
  <c r="AB29" i="40"/>
  <c r="G29" i="40"/>
  <c r="L29" i="40" s="1"/>
  <c r="AC28" i="40"/>
  <c r="AC37" i="40" s="1"/>
  <c r="AB28" i="40"/>
  <c r="G28" i="40"/>
  <c r="E26" i="40"/>
  <c r="D26" i="40"/>
  <c r="G25" i="40"/>
  <c r="K25" i="40" s="1"/>
  <c r="L25" i="40" s="1"/>
  <c r="I24" i="40"/>
  <c r="G24" i="40"/>
  <c r="K24" i="40" s="1"/>
  <c r="L24" i="40" s="1"/>
  <c r="I23" i="40"/>
  <c r="G23" i="40"/>
  <c r="K23" i="40" s="1"/>
  <c r="L23" i="40" s="1"/>
  <c r="G22" i="40"/>
  <c r="K22" i="40" s="1"/>
  <c r="L22" i="40" s="1"/>
  <c r="I21" i="40"/>
  <c r="G21" i="40"/>
  <c r="K21" i="40" s="1"/>
  <c r="L21" i="40" s="1"/>
  <c r="I20" i="40"/>
  <c r="G20" i="40"/>
  <c r="K20" i="40" s="1"/>
  <c r="L20" i="40" s="1"/>
  <c r="G19" i="40"/>
  <c r="K19" i="40" s="1"/>
  <c r="L19" i="40" s="1"/>
  <c r="I18" i="40"/>
  <c r="G18" i="40"/>
  <c r="K18" i="40" s="1"/>
  <c r="L18" i="40" s="1"/>
  <c r="I17" i="40"/>
  <c r="G17" i="40"/>
  <c r="K17" i="40" s="1"/>
  <c r="L17" i="40" s="1"/>
  <c r="G16" i="40"/>
  <c r="K16" i="40" s="1"/>
  <c r="L16" i="40" s="1"/>
  <c r="I15" i="40"/>
  <c r="G15" i="40"/>
  <c r="M15" i="40" s="1"/>
  <c r="G14" i="40"/>
  <c r="K14" i="40" s="1"/>
  <c r="I13" i="40"/>
  <c r="G13" i="40"/>
  <c r="K13" i="40" s="1"/>
  <c r="L13" i="40" s="1"/>
  <c r="G12" i="40"/>
  <c r="K12" i="40" s="1"/>
  <c r="L12" i="40" s="1"/>
  <c r="I11" i="40"/>
  <c r="G11" i="40"/>
  <c r="G10" i="40"/>
  <c r="AB7" i="40"/>
  <c r="X47" i="40" s="1"/>
  <c r="X7" i="40"/>
  <c r="V4" i="40"/>
  <c r="B3" i="40"/>
  <c r="V2" i="40"/>
  <c r="L76" i="40" l="1"/>
  <c r="Z75" i="40"/>
  <c r="K15" i="40"/>
  <c r="L15" i="40" s="1"/>
  <c r="M11" i="40"/>
  <c r="K11" i="40"/>
  <c r="L11" i="40" s="1"/>
  <c r="G37" i="40"/>
  <c r="AC75" i="40"/>
  <c r="G26" i="40"/>
  <c r="G56" i="40" s="1"/>
  <c r="K57" i="40" s="1"/>
  <c r="C48" i="40"/>
  <c r="K48" i="40" s="1"/>
  <c r="L14" i="40"/>
  <c r="C49" i="40"/>
  <c r="K49" i="40" s="1"/>
  <c r="L75" i="40"/>
  <c r="Z74" i="40"/>
  <c r="AC74" i="40" s="1"/>
  <c r="X49" i="40"/>
  <c r="K10" i="40"/>
  <c r="L28" i="40"/>
  <c r="L37" i="40" s="1"/>
  <c r="X48" i="40"/>
  <c r="M13" i="40"/>
  <c r="K84" i="40" l="1"/>
  <c r="X22" i="40" s="1"/>
  <c r="AB22" i="40" s="1"/>
  <c r="AC22" i="40" s="1"/>
  <c r="L40" i="40"/>
  <c r="X25" i="40"/>
  <c r="AB25" i="40" s="1"/>
  <c r="AC25" i="40" s="1"/>
  <c r="K69" i="40"/>
  <c r="L69" i="40" s="1"/>
  <c r="K72" i="40"/>
  <c r="L72" i="40" s="1"/>
  <c r="C47" i="40"/>
  <c r="L10" i="40"/>
  <c r="L26" i="40" s="1"/>
  <c r="L44" i="40" s="1"/>
  <c r="K26" i="40"/>
  <c r="G53" i="40" s="1"/>
  <c r="K54" i="40" s="1"/>
  <c r="X15" i="40" l="1"/>
  <c r="AB15" i="40" s="1"/>
  <c r="AC15" i="40" s="1"/>
  <c r="X11" i="40"/>
  <c r="AB11" i="40" s="1"/>
  <c r="AC11" i="40" s="1"/>
  <c r="X21" i="40"/>
  <c r="AB21" i="40" s="1"/>
  <c r="AC21" i="40" s="1"/>
  <c r="X10" i="40"/>
  <c r="X14" i="40"/>
  <c r="AB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L71" i="40" s="1"/>
  <c r="L77" i="40"/>
  <c r="K70" i="40"/>
  <c r="L70" i="40" s="1"/>
  <c r="K59" i="40"/>
  <c r="L59" i="40" s="1"/>
  <c r="K78" i="40"/>
  <c r="L78" i="40" s="1"/>
  <c r="K67" i="40"/>
  <c r="L67" i="40" s="1"/>
  <c r="AC14" i="40"/>
  <c r="W49" i="40"/>
  <c r="AB49" i="40" s="1"/>
  <c r="W48" i="40"/>
  <c r="AB48" i="40" s="1"/>
  <c r="AC12" i="40"/>
  <c r="K47" i="40"/>
  <c r="L50" i="40" s="1"/>
  <c r="C50" i="40"/>
  <c r="X26" i="40"/>
  <c r="AB10" i="40"/>
  <c r="L82" i="40" l="1"/>
  <c r="K86" i="40" s="1"/>
  <c r="AB26" i="40"/>
  <c r="X53" i="40" s="1"/>
  <c r="AB54" i="40" s="1"/>
  <c r="W47" i="40"/>
  <c r="AC10" i="40"/>
  <c r="AC26" i="40" s="1"/>
  <c r="X56" i="40"/>
  <c r="AB57" i="40" s="1"/>
  <c r="AC40" i="40"/>
  <c r="AC44" i="40" l="1"/>
  <c r="AB77" i="40"/>
  <c r="AC77" i="40" s="1"/>
  <c r="AB66" i="40"/>
  <c r="AC66" i="40" s="1"/>
  <c r="AB70" i="40"/>
  <c r="AC70" i="40" s="1"/>
  <c r="AC76" i="40"/>
  <c r="AB69" i="40"/>
  <c r="AC69" i="40" s="1"/>
  <c r="AB58" i="40"/>
  <c r="AC58" i="40" s="1"/>
  <c r="L86" i="40"/>
  <c r="L87" i="40" s="1"/>
  <c r="L90" i="40" s="1"/>
  <c r="L92" i="40" s="1"/>
  <c r="AB68" i="40"/>
  <c r="AC68" i="40" s="1"/>
  <c r="AB71" i="40"/>
  <c r="AC71" i="40" s="1"/>
  <c r="W50" i="40"/>
  <c r="AB47" i="40"/>
  <c r="AC50" i="40" s="1"/>
  <c r="AC81" i="40" l="1"/>
  <c r="L84" i="40" s="1"/>
  <c r="L94" i="40"/>
  <c r="C177" i="39" l="1"/>
  <c r="C176" i="39"/>
  <c r="B136" i="39"/>
  <c r="B135" i="39"/>
  <c r="M86" i="39"/>
  <c r="V78" i="39"/>
  <c r="Y77" i="39"/>
  <c r="V77" i="39"/>
  <c r="Y76" i="39"/>
  <c r="V76" i="39"/>
  <c r="G76" i="39"/>
  <c r="I76" i="39" s="1"/>
  <c r="AB75" i="39"/>
  <c r="G75" i="39"/>
  <c r="I75" i="39" s="1"/>
  <c r="AB74" i="39"/>
  <c r="Y71" i="39"/>
  <c r="Y70" i="39"/>
  <c r="Y69" i="39"/>
  <c r="Y68" i="39"/>
  <c r="Y66" i="39"/>
  <c r="X65" i="39"/>
  <c r="G65" i="39"/>
  <c r="X64" i="39" s="1"/>
  <c r="X61" i="39"/>
  <c r="X60" i="39"/>
  <c r="AA56" i="39"/>
  <c r="J56" i="39"/>
  <c r="AA53" i="39"/>
  <c r="Z49" i="39"/>
  <c r="G49" i="39"/>
  <c r="Z48" i="39"/>
  <c r="G48" i="39"/>
  <c r="Z47" i="39"/>
  <c r="G47" i="39"/>
  <c r="X40" i="39"/>
  <c r="K40" i="39"/>
  <c r="X39" i="39"/>
  <c r="AB40" i="39" s="1"/>
  <c r="X37" i="39"/>
  <c r="E37" i="39"/>
  <c r="D37" i="39"/>
  <c r="AC36" i="39"/>
  <c r="AB36" i="39"/>
  <c r="G36" i="39"/>
  <c r="L36" i="39" s="1"/>
  <c r="AC35" i="39"/>
  <c r="AB35" i="39"/>
  <c r="G35" i="39"/>
  <c r="L35" i="39" s="1"/>
  <c r="AC34" i="39"/>
  <c r="AB34" i="39"/>
  <c r="G34" i="39"/>
  <c r="L34" i="39" s="1"/>
  <c r="AC33" i="39"/>
  <c r="AB33" i="39"/>
  <c r="G33" i="39"/>
  <c r="L33" i="39" s="1"/>
  <c r="AC32" i="39"/>
  <c r="AB32" i="39"/>
  <c r="G32" i="39"/>
  <c r="L32" i="39" s="1"/>
  <c r="AC31" i="39"/>
  <c r="AB31" i="39"/>
  <c r="G31" i="39"/>
  <c r="L31" i="39" s="1"/>
  <c r="AC30" i="39"/>
  <c r="AB30" i="39"/>
  <c r="G30" i="39"/>
  <c r="L30" i="39" s="1"/>
  <c r="AC29" i="39"/>
  <c r="AB29" i="39"/>
  <c r="G29" i="39"/>
  <c r="L29" i="39" s="1"/>
  <c r="AC28" i="39"/>
  <c r="AC37" i="39" s="1"/>
  <c r="AB28" i="39"/>
  <c r="G28" i="39"/>
  <c r="G37" i="39" s="1"/>
  <c r="E26" i="39"/>
  <c r="D26" i="39"/>
  <c r="G25" i="39"/>
  <c r="K25" i="39" s="1"/>
  <c r="L25" i="39" s="1"/>
  <c r="I24" i="39"/>
  <c r="G24" i="39"/>
  <c r="K24" i="39" s="1"/>
  <c r="L24" i="39" s="1"/>
  <c r="I23" i="39"/>
  <c r="G23" i="39"/>
  <c r="K23" i="39" s="1"/>
  <c r="L23" i="39" s="1"/>
  <c r="G22" i="39"/>
  <c r="K22" i="39" s="1"/>
  <c r="L22" i="39" s="1"/>
  <c r="I21" i="39"/>
  <c r="G21" i="39"/>
  <c r="K21" i="39" s="1"/>
  <c r="L21" i="39" s="1"/>
  <c r="I20" i="39"/>
  <c r="G20" i="39"/>
  <c r="K20" i="39" s="1"/>
  <c r="L20" i="39" s="1"/>
  <c r="G19" i="39"/>
  <c r="K19" i="39" s="1"/>
  <c r="L19" i="39" s="1"/>
  <c r="I18" i="39"/>
  <c r="G18" i="39"/>
  <c r="K18" i="39" s="1"/>
  <c r="L18" i="39" s="1"/>
  <c r="I17" i="39"/>
  <c r="G17" i="39"/>
  <c r="K17" i="39" s="1"/>
  <c r="L17" i="39" s="1"/>
  <c r="G16" i="39"/>
  <c r="K16" i="39" s="1"/>
  <c r="L16" i="39" s="1"/>
  <c r="I15" i="39"/>
  <c r="G15" i="39"/>
  <c r="M15" i="39" s="1"/>
  <c r="G14" i="39"/>
  <c r="K14" i="39" s="1"/>
  <c r="I13" i="39"/>
  <c r="G13" i="39"/>
  <c r="K13" i="39" s="1"/>
  <c r="L13" i="39" s="1"/>
  <c r="G12" i="39"/>
  <c r="K12" i="39" s="1"/>
  <c r="L12" i="39" s="1"/>
  <c r="I11" i="39"/>
  <c r="G11" i="39"/>
  <c r="M11" i="39" s="1"/>
  <c r="G10" i="39"/>
  <c r="AB7" i="39"/>
  <c r="X47" i="39" s="1"/>
  <c r="X7" i="39"/>
  <c r="V4" i="39"/>
  <c r="B3" i="39"/>
  <c r="V2" i="39"/>
  <c r="L76" i="39" l="1"/>
  <c r="Z75" i="39"/>
  <c r="K15" i="39"/>
  <c r="L15" i="39" s="1"/>
  <c r="AC75" i="39"/>
  <c r="K11" i="39"/>
  <c r="L11" i="39" s="1"/>
  <c r="G26" i="39"/>
  <c r="G56" i="39" s="1"/>
  <c r="K57" i="39" s="1"/>
  <c r="C48" i="39"/>
  <c r="K48" i="39" s="1"/>
  <c r="L14" i="39"/>
  <c r="C49" i="39"/>
  <c r="K49" i="39" s="1"/>
  <c r="L75" i="39"/>
  <c r="Z74" i="39"/>
  <c r="AC74" i="39" s="1"/>
  <c r="Y58" i="39"/>
  <c r="M13" i="39"/>
  <c r="X49" i="39"/>
  <c r="K10" i="39"/>
  <c r="L28" i="39"/>
  <c r="L37" i="39" s="1"/>
  <c r="X48" i="39"/>
  <c r="K84" i="39" l="1"/>
  <c r="X25" i="39" s="1"/>
  <c r="AB25" i="39" s="1"/>
  <c r="AC25" i="39" s="1"/>
  <c r="L40" i="39"/>
  <c r="X17" i="39"/>
  <c r="AB17" i="39" s="1"/>
  <c r="AC17" i="39" s="1"/>
  <c r="X22" i="39"/>
  <c r="AB22" i="39" s="1"/>
  <c r="AC22" i="39" s="1"/>
  <c r="X19" i="39"/>
  <c r="AB19" i="39" s="1"/>
  <c r="AC19" i="39" s="1"/>
  <c r="X16" i="39"/>
  <c r="AB16" i="39" s="1"/>
  <c r="AC16" i="39" s="1"/>
  <c r="X13" i="39"/>
  <c r="AB13" i="39" s="1"/>
  <c r="AC13" i="39" s="1"/>
  <c r="X12" i="39"/>
  <c r="AB12" i="39" s="1"/>
  <c r="X20" i="39"/>
  <c r="AB20" i="39" s="1"/>
  <c r="AC20" i="39" s="1"/>
  <c r="X23" i="39"/>
  <c r="AB23" i="39" s="1"/>
  <c r="AC23" i="39" s="1"/>
  <c r="X24" i="39"/>
  <c r="AB24" i="39" s="1"/>
  <c r="AC24" i="39" s="1"/>
  <c r="X21" i="39"/>
  <c r="AB21" i="39" s="1"/>
  <c r="AC21" i="39" s="1"/>
  <c r="X18" i="39"/>
  <c r="AB18" i="39" s="1"/>
  <c r="AC18" i="39" s="1"/>
  <c r="X15" i="39"/>
  <c r="AB15" i="39" s="1"/>
  <c r="AC15" i="39" s="1"/>
  <c r="X14" i="39"/>
  <c r="AB14" i="39" s="1"/>
  <c r="X11" i="39"/>
  <c r="AB11" i="39" s="1"/>
  <c r="AC11" i="39" s="1"/>
  <c r="X10" i="39"/>
  <c r="C47" i="39"/>
  <c r="L10" i="39"/>
  <c r="L26" i="39" s="1"/>
  <c r="L44" i="39" s="1"/>
  <c r="K26" i="39"/>
  <c r="G53" i="39" s="1"/>
  <c r="K54" i="39" s="1"/>
  <c r="K69" i="39"/>
  <c r="L69" i="39" s="1"/>
  <c r="K72" i="39"/>
  <c r="L72" i="39" s="1"/>
  <c r="K71" i="39" l="1"/>
  <c r="L71" i="39" s="1"/>
  <c r="L77" i="39"/>
  <c r="K70" i="39"/>
  <c r="L70" i="39" s="1"/>
  <c r="K59" i="39"/>
  <c r="L59" i="39" s="1"/>
  <c r="K78" i="39"/>
  <c r="L78" i="39" s="1"/>
  <c r="K67" i="39"/>
  <c r="L67" i="39" s="1"/>
  <c r="W48" i="39"/>
  <c r="AB48" i="39" s="1"/>
  <c r="AC12" i="39"/>
  <c r="AC14" i="39"/>
  <c r="W49" i="39"/>
  <c r="AB49" i="39" s="1"/>
  <c r="K47" i="39"/>
  <c r="L50" i="39" s="1"/>
  <c r="L82" i="39" s="1"/>
  <c r="C50" i="39"/>
  <c r="X26" i="39"/>
  <c r="AB10" i="39"/>
  <c r="AB26" i="39" l="1"/>
  <c r="X53" i="39" s="1"/>
  <c r="AB54" i="39" s="1"/>
  <c r="W47" i="39"/>
  <c r="AC10" i="39"/>
  <c r="AC26" i="39" s="1"/>
  <c r="X56" i="39"/>
  <c r="AB57"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M86" i="38"/>
  <c r="V78" i="38"/>
  <c r="Y77" i="38"/>
  <c r="V77" i="38"/>
  <c r="Y76" i="38"/>
  <c r="V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G47" i="38"/>
  <c r="X40" i="38"/>
  <c r="K40" i="38"/>
  <c r="X39" i="38"/>
  <c r="AB40" i="38" s="1"/>
  <c r="X37" i="38"/>
  <c r="E37" i="38"/>
  <c r="D37" i="38"/>
  <c r="AC36" i="38"/>
  <c r="AB36" i="38"/>
  <c r="G36" i="38"/>
  <c r="L36" i="38" s="1"/>
  <c r="AC35" i="38"/>
  <c r="AB35" i="38"/>
  <c r="G35" i="38"/>
  <c r="L35" i="38" s="1"/>
  <c r="AC34" i="38"/>
  <c r="AB34" i="38"/>
  <c r="G34" i="38"/>
  <c r="L34" i="38" s="1"/>
  <c r="AC33" i="38"/>
  <c r="AB33" i="38"/>
  <c r="G33" i="38"/>
  <c r="L33" i="38" s="1"/>
  <c r="AC32" i="38"/>
  <c r="AB32" i="38"/>
  <c r="G32" i="38"/>
  <c r="L32" i="38" s="1"/>
  <c r="AC31" i="38"/>
  <c r="AB31" i="38"/>
  <c r="G31" i="38"/>
  <c r="L31" i="38" s="1"/>
  <c r="AC30" i="38"/>
  <c r="AB30" i="38"/>
  <c r="G30" i="38"/>
  <c r="L30" i="38" s="1"/>
  <c r="AC29" i="38"/>
  <c r="AB29" i="38"/>
  <c r="G29" i="38"/>
  <c r="L29" i="38" s="1"/>
  <c r="AC28" i="38"/>
  <c r="AC37" i="38" s="1"/>
  <c r="AB28" i="38"/>
  <c r="G28" i="38"/>
  <c r="E26" i="38"/>
  <c r="D26" i="38"/>
  <c r="G25" i="38"/>
  <c r="K25" i="38" s="1"/>
  <c r="L25" i="38" s="1"/>
  <c r="I24" i="38"/>
  <c r="G24" i="38"/>
  <c r="K24" i="38" s="1"/>
  <c r="L24" i="38" s="1"/>
  <c r="I23" i="38"/>
  <c r="G23" i="38"/>
  <c r="K23" i="38" s="1"/>
  <c r="L23" i="38" s="1"/>
  <c r="G22" i="38"/>
  <c r="K22" i="38" s="1"/>
  <c r="L22" i="38" s="1"/>
  <c r="I21" i="38"/>
  <c r="G21" i="38"/>
  <c r="K21" i="38" s="1"/>
  <c r="L21" i="38" s="1"/>
  <c r="I20" i="38"/>
  <c r="G20" i="38"/>
  <c r="K20" i="38" s="1"/>
  <c r="L20" i="38" s="1"/>
  <c r="G19" i="38"/>
  <c r="K19" i="38" s="1"/>
  <c r="L19" i="38" s="1"/>
  <c r="I18" i="38"/>
  <c r="G18" i="38"/>
  <c r="K18" i="38" s="1"/>
  <c r="L18" i="38" s="1"/>
  <c r="I17" i="38"/>
  <c r="G17" i="38"/>
  <c r="K17" i="38" s="1"/>
  <c r="L17" i="38" s="1"/>
  <c r="G16" i="38"/>
  <c r="K16" i="38" s="1"/>
  <c r="L16" i="38" s="1"/>
  <c r="I15" i="38"/>
  <c r="G15" i="38"/>
  <c r="K15" i="38" s="1"/>
  <c r="L15" i="38" s="1"/>
  <c r="G14" i="38"/>
  <c r="K14" i="38" s="1"/>
  <c r="I13" i="38"/>
  <c r="G13" i="38"/>
  <c r="K13" i="38" s="1"/>
  <c r="L13" i="38" s="1"/>
  <c r="G12" i="38"/>
  <c r="K12" i="38" s="1"/>
  <c r="I11" i="38"/>
  <c r="G11" i="38"/>
  <c r="M11" i="38" s="1"/>
  <c r="G10" i="38"/>
  <c r="AB7" i="38"/>
  <c r="X47" i="38" s="1"/>
  <c r="X7" i="38"/>
  <c r="V4" i="38"/>
  <c r="B3" i="38"/>
  <c r="V2" i="38"/>
  <c r="G26" i="38" l="1"/>
  <c r="G56" i="38" s="1"/>
  <c r="K57" i="38" s="1"/>
  <c r="C48" i="38"/>
  <c r="K48" i="38" s="1"/>
  <c r="L12" i="38"/>
  <c r="K11" i="38"/>
  <c r="L11" i="38" s="1"/>
  <c r="M15" i="38"/>
  <c r="G37" i="38"/>
  <c r="L14" i="38"/>
  <c r="C49" i="38"/>
  <c r="K49" i="38" s="1"/>
  <c r="L75" i="38"/>
  <c r="Z74" i="38"/>
  <c r="AC74" i="38" s="1"/>
  <c r="K84" i="38"/>
  <c r="L40" i="38"/>
  <c r="L76" i="38"/>
  <c r="Z75" i="38"/>
  <c r="AC75" i="38" s="1"/>
  <c r="M13" i="38"/>
  <c r="X49" i="38"/>
  <c r="K10" i="38"/>
  <c r="L28" i="38"/>
  <c r="L37" i="38" s="1"/>
  <c r="X48" i="38"/>
  <c r="X25" i="38" l="1"/>
  <c r="AB25" i="38" s="1"/>
  <c r="AC25" i="38" s="1"/>
  <c r="X22" i="38"/>
  <c r="AB22" i="38" s="1"/>
  <c r="AC22" i="38" s="1"/>
  <c r="X19" i="38"/>
  <c r="AB19" i="38" s="1"/>
  <c r="AC19" i="38" s="1"/>
  <c r="X16" i="38"/>
  <c r="AB16" i="38" s="1"/>
  <c r="AC16" i="38" s="1"/>
  <c r="X13" i="38"/>
  <c r="AB13" i="38" s="1"/>
  <c r="AC13" i="38" s="1"/>
  <c r="X12" i="38"/>
  <c r="AB12"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C47" i="38"/>
  <c r="L10" i="38"/>
  <c r="L26" i="38" s="1"/>
  <c r="L44" i="38" s="1"/>
  <c r="K26" i="38"/>
  <c r="G53" i="38" s="1"/>
  <c r="K54" i="38" s="1"/>
  <c r="K69" i="38"/>
  <c r="L69" i="38" s="1"/>
  <c r="K72" i="38"/>
  <c r="L72" i="38" s="1"/>
  <c r="K71" i="38" l="1"/>
  <c r="L71" i="38" s="1"/>
  <c r="L77" i="38"/>
  <c r="K70" i="38"/>
  <c r="L70" i="38" s="1"/>
  <c r="K59" i="38"/>
  <c r="L59" i="38" s="1"/>
  <c r="K78" i="38"/>
  <c r="L78" i="38" s="1"/>
  <c r="K67" i="38"/>
  <c r="L67" i="38" s="1"/>
  <c r="AC14" i="38"/>
  <c r="W49" i="38"/>
  <c r="AB49" i="38" s="1"/>
  <c r="W48" i="38"/>
  <c r="AB48" i="38" s="1"/>
  <c r="AC12" i="38"/>
  <c r="K47" i="38"/>
  <c r="L50" i="38" s="1"/>
  <c r="L82" i="38" s="1"/>
  <c r="C50" i="38"/>
  <c r="X26" i="38"/>
  <c r="AB10" i="38"/>
  <c r="AB26" i="38" l="1"/>
  <c r="X53" i="38" s="1"/>
  <c r="AB54" i="38" s="1"/>
  <c r="W47" i="38"/>
  <c r="AC10" i="38"/>
  <c r="AC26" i="38" s="1"/>
  <c r="AC44" i="38" s="1"/>
  <c r="X56" i="38"/>
  <c r="AB57" i="38" s="1"/>
  <c r="AC40" i="38"/>
  <c r="W50" i="38" l="1"/>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M86" i="37"/>
  <c r="V78" i="37"/>
  <c r="Y77" i="37"/>
  <c r="V77" i="37"/>
  <c r="Y76" i="37"/>
  <c r="V76" i="37"/>
  <c r="G76" i="37"/>
  <c r="I76" i="37" s="1"/>
  <c r="AB75" i="37"/>
  <c r="G75" i="37"/>
  <c r="I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C36" i="37"/>
  <c r="AB36" i="37"/>
  <c r="G36" i="37"/>
  <c r="L36" i="37" s="1"/>
  <c r="AC35" i="37"/>
  <c r="AB35" i="37"/>
  <c r="G35" i="37"/>
  <c r="L35" i="37" s="1"/>
  <c r="AC34" i="37"/>
  <c r="AB34" i="37"/>
  <c r="G34" i="37"/>
  <c r="L34" i="37" s="1"/>
  <c r="AC33" i="37"/>
  <c r="AB33" i="37"/>
  <c r="G33" i="37"/>
  <c r="L33" i="37" s="1"/>
  <c r="AC32" i="37"/>
  <c r="AB32" i="37"/>
  <c r="G32" i="37"/>
  <c r="L32" i="37" s="1"/>
  <c r="AC31" i="37"/>
  <c r="AB31" i="37"/>
  <c r="G31" i="37"/>
  <c r="L31" i="37" s="1"/>
  <c r="AC30" i="37"/>
  <c r="AB30" i="37"/>
  <c r="G30" i="37"/>
  <c r="L30" i="37" s="1"/>
  <c r="AC29" i="37"/>
  <c r="AB29" i="37"/>
  <c r="G29" i="37"/>
  <c r="L29" i="37" s="1"/>
  <c r="AC28" i="37"/>
  <c r="AC37" i="37" s="1"/>
  <c r="AB28" i="37"/>
  <c r="G28" i="37"/>
  <c r="E26" i="37"/>
  <c r="D26" i="37"/>
  <c r="G25" i="37"/>
  <c r="K25" i="37" s="1"/>
  <c r="L25" i="37" s="1"/>
  <c r="I24" i="37"/>
  <c r="G24" i="37"/>
  <c r="K24" i="37" s="1"/>
  <c r="L24" i="37" s="1"/>
  <c r="I23" i="37"/>
  <c r="G23" i="37"/>
  <c r="K23" i="37" s="1"/>
  <c r="L23" i="37" s="1"/>
  <c r="G22" i="37"/>
  <c r="K22" i="37" s="1"/>
  <c r="L22" i="37" s="1"/>
  <c r="I21" i="37"/>
  <c r="G21" i="37"/>
  <c r="K21" i="37" s="1"/>
  <c r="L21" i="37" s="1"/>
  <c r="I20" i="37"/>
  <c r="G20" i="37"/>
  <c r="K20" i="37" s="1"/>
  <c r="L20" i="37" s="1"/>
  <c r="G19" i="37"/>
  <c r="K19" i="37" s="1"/>
  <c r="L19" i="37" s="1"/>
  <c r="I18" i="37"/>
  <c r="G18" i="37"/>
  <c r="K18" i="37" s="1"/>
  <c r="L18" i="37" s="1"/>
  <c r="I17" i="37"/>
  <c r="G17" i="37"/>
  <c r="K17" i="37" s="1"/>
  <c r="L17" i="37" s="1"/>
  <c r="G16" i="37"/>
  <c r="K16" i="37" s="1"/>
  <c r="L16" i="37" s="1"/>
  <c r="I15" i="37"/>
  <c r="G15" i="37"/>
  <c r="M15" i="37" s="1"/>
  <c r="G14" i="37"/>
  <c r="K14" i="37" s="1"/>
  <c r="I13" i="37"/>
  <c r="G13" i="37"/>
  <c r="K13" i="37" s="1"/>
  <c r="L13" i="37" s="1"/>
  <c r="G12" i="37"/>
  <c r="K12" i="37" s="1"/>
  <c r="I11" i="37"/>
  <c r="G11" i="37"/>
  <c r="M11" i="37" s="1"/>
  <c r="G10" i="37"/>
  <c r="AB7" i="37"/>
  <c r="X47" i="37" s="1"/>
  <c r="X7" i="37"/>
  <c r="V4" i="37"/>
  <c r="B3" i="37"/>
  <c r="V2" i="37"/>
  <c r="C48" i="37" l="1"/>
  <c r="K48" i="37" s="1"/>
  <c r="L12" i="37"/>
  <c r="L76" i="37"/>
  <c r="Z75" i="37"/>
  <c r="K15" i="37"/>
  <c r="L15" i="37" s="1"/>
  <c r="K11" i="37"/>
  <c r="L11" i="37" s="1"/>
  <c r="AC75" i="37"/>
  <c r="G26" i="37"/>
  <c r="K84" i="37" s="1"/>
  <c r="L90" i="38"/>
  <c r="L92" i="38" s="1"/>
  <c r="G37" i="37"/>
  <c r="L14" i="37"/>
  <c r="C49" i="37"/>
  <c r="K49" i="37" s="1"/>
  <c r="L75" i="37"/>
  <c r="Z74" i="37"/>
  <c r="AC74" i="37" s="1"/>
  <c r="X49" i="37"/>
  <c r="K10" i="37"/>
  <c r="L28" i="37"/>
  <c r="L37" i="37" s="1"/>
  <c r="X48" i="37"/>
  <c r="M13" i="37"/>
  <c r="L40" i="37" l="1"/>
  <c r="G56" i="37"/>
  <c r="K57" i="37" s="1"/>
  <c r="K69" i="37" s="1"/>
  <c r="L69"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10" i="37"/>
  <c r="L26" i="37" s="1"/>
  <c r="L44" i="37" s="1"/>
  <c r="K26" i="37"/>
  <c r="G53" i="37" s="1"/>
  <c r="K54" i="37" s="1"/>
  <c r="K72" i="37" l="1"/>
  <c r="L72" i="37" s="1"/>
  <c r="K71" i="37"/>
  <c r="L71" i="37" s="1"/>
  <c r="L77" i="37"/>
  <c r="K70" i="37"/>
  <c r="L70" i="37" s="1"/>
  <c r="K59" i="37"/>
  <c r="L59" i="37" s="1"/>
  <c r="K78" i="37"/>
  <c r="L78" i="37" s="1"/>
  <c r="K67" i="37"/>
  <c r="L67" i="37" s="1"/>
  <c r="X26" i="37"/>
  <c r="AB10" i="37"/>
  <c r="W48" i="37"/>
  <c r="AB48" i="37" s="1"/>
  <c r="AC12" i="37"/>
  <c r="K47" i="37"/>
  <c r="L50" i="37" s="1"/>
  <c r="L82" i="37" s="1"/>
  <c r="C50" i="37"/>
  <c r="AC14" i="37"/>
  <c r="W49" i="37"/>
  <c r="AB49" i="37" s="1"/>
  <c r="K86" i="37" l="1"/>
  <c r="AB26" i="37"/>
  <c r="X53" i="37" s="1"/>
  <c r="AB54" i="37" s="1"/>
  <c r="W47" i="37"/>
  <c r="AC10" i="37"/>
  <c r="AC26" i="37" s="1"/>
  <c r="X56" i="37"/>
  <c r="AB57"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M86" i="36"/>
  <c r="V78" i="36"/>
  <c r="Y77" i="36"/>
  <c r="V77" i="36"/>
  <c r="Y76" i="36"/>
  <c r="V76" i="36"/>
  <c r="G76" i="36"/>
  <c r="I76" i="36" s="1"/>
  <c r="AB75" i="36"/>
  <c r="G75" i="36"/>
  <c r="I75" i="36" s="1"/>
  <c r="AB74" i="36"/>
  <c r="Y71" i="36"/>
  <c r="Y70" i="36"/>
  <c r="Y69" i="36"/>
  <c r="Y68" i="36"/>
  <c r="Y66" i="36"/>
  <c r="X65" i="36"/>
  <c r="G65" i="36"/>
  <c r="X64" i="36" s="1"/>
  <c r="Y58" i="36" s="1"/>
  <c r="X61" i="36"/>
  <c r="X60" i="36"/>
  <c r="J56" i="36"/>
  <c r="AA56" i="36" s="1"/>
  <c r="AA53" i="36"/>
  <c r="Z49" i="36"/>
  <c r="X49" i="36"/>
  <c r="G49" i="36"/>
  <c r="Z48" i="36"/>
  <c r="G48" i="36"/>
  <c r="Z47" i="36"/>
  <c r="G47" i="36"/>
  <c r="X40" i="36"/>
  <c r="K40" i="36"/>
  <c r="X39" i="36"/>
  <c r="AB40" i="36" s="1"/>
  <c r="X37" i="36"/>
  <c r="E37" i="36"/>
  <c r="D37" i="36"/>
  <c r="AC36" i="36"/>
  <c r="AB36" i="36"/>
  <c r="G36" i="36"/>
  <c r="L36" i="36" s="1"/>
  <c r="AC35" i="36"/>
  <c r="AB35" i="36"/>
  <c r="G35" i="36"/>
  <c r="L35" i="36" s="1"/>
  <c r="AC34" i="36"/>
  <c r="AB34" i="36"/>
  <c r="G34" i="36"/>
  <c r="L34" i="36" s="1"/>
  <c r="AC33" i="36"/>
  <c r="AB33" i="36"/>
  <c r="G33" i="36"/>
  <c r="L33" i="36" s="1"/>
  <c r="AC32" i="36"/>
  <c r="AB32" i="36"/>
  <c r="G32" i="36"/>
  <c r="L32" i="36" s="1"/>
  <c r="AC31" i="36"/>
  <c r="AB31" i="36"/>
  <c r="G31" i="36"/>
  <c r="L31" i="36" s="1"/>
  <c r="AC30" i="36"/>
  <c r="AB30" i="36"/>
  <c r="G30" i="36"/>
  <c r="L30" i="36" s="1"/>
  <c r="AC29" i="36"/>
  <c r="AB29" i="36"/>
  <c r="G29" i="36"/>
  <c r="L29" i="36" s="1"/>
  <c r="AC28" i="36"/>
  <c r="AC37" i="36" s="1"/>
  <c r="AB28" i="36"/>
  <c r="G28" i="36"/>
  <c r="E26" i="36"/>
  <c r="D26" i="36"/>
  <c r="G25" i="36"/>
  <c r="K25" i="36" s="1"/>
  <c r="L25" i="36" s="1"/>
  <c r="I24" i="36"/>
  <c r="G24" i="36"/>
  <c r="K24" i="36" s="1"/>
  <c r="L24" i="36" s="1"/>
  <c r="I23" i="36"/>
  <c r="G23" i="36"/>
  <c r="K23" i="36" s="1"/>
  <c r="L23" i="36" s="1"/>
  <c r="G22" i="36"/>
  <c r="K22" i="36" s="1"/>
  <c r="L22" i="36" s="1"/>
  <c r="I21" i="36"/>
  <c r="G21" i="36"/>
  <c r="K21" i="36" s="1"/>
  <c r="L21" i="36" s="1"/>
  <c r="I20" i="36"/>
  <c r="G20" i="36"/>
  <c r="K20" i="36" s="1"/>
  <c r="L20" i="36" s="1"/>
  <c r="G19" i="36"/>
  <c r="K19" i="36" s="1"/>
  <c r="L19" i="36" s="1"/>
  <c r="I18" i="36"/>
  <c r="G18" i="36"/>
  <c r="K18" i="36" s="1"/>
  <c r="L18" i="36" s="1"/>
  <c r="I17" i="36"/>
  <c r="G17" i="36"/>
  <c r="K17" i="36" s="1"/>
  <c r="L17" i="36" s="1"/>
  <c r="G16" i="36"/>
  <c r="K16" i="36" s="1"/>
  <c r="L16" i="36" s="1"/>
  <c r="I15" i="36"/>
  <c r="G15" i="36"/>
  <c r="K15" i="36" s="1"/>
  <c r="L15" i="36" s="1"/>
  <c r="G14" i="36"/>
  <c r="K14" i="36" s="1"/>
  <c r="I13" i="36"/>
  <c r="G13" i="36"/>
  <c r="K13" i="36" s="1"/>
  <c r="L13" i="36" s="1"/>
  <c r="G12" i="36"/>
  <c r="K12" i="36" s="1"/>
  <c r="L12" i="36" s="1"/>
  <c r="I11" i="36"/>
  <c r="G11" i="36"/>
  <c r="M11" i="36" s="1"/>
  <c r="G10" i="36"/>
  <c r="AB7" i="36"/>
  <c r="X47" i="36" s="1"/>
  <c r="X7" i="36"/>
  <c r="V4" i="36"/>
  <c r="B3" i="36"/>
  <c r="V2" i="36"/>
  <c r="G26" i="36" l="1"/>
  <c r="L40" i="36" s="1"/>
  <c r="K11" i="36"/>
  <c r="L11" i="36" s="1"/>
  <c r="M15" i="36"/>
  <c r="G37" i="36"/>
  <c r="K84" i="36"/>
  <c r="L75" i="36"/>
  <c r="Z74" i="36"/>
  <c r="AC74" i="36" s="1"/>
  <c r="C48" i="36"/>
  <c r="K48" i="36" s="1"/>
  <c r="L14" i="36"/>
  <c r="C49" i="36"/>
  <c r="K49" i="36" s="1"/>
  <c r="L76" i="36"/>
  <c r="Z75" i="36"/>
  <c r="AC75" i="36" s="1"/>
  <c r="M13" i="36"/>
  <c r="K10" i="36"/>
  <c r="L28" i="36"/>
  <c r="L37" i="36" s="1"/>
  <c r="X48" i="36"/>
  <c r="G56" i="36" l="1"/>
  <c r="K57" i="36" s="1"/>
  <c r="C47" i="36"/>
  <c r="L10" i="36"/>
  <c r="L26" i="36" s="1"/>
  <c r="L44" i="36" s="1"/>
  <c r="K26" i="36"/>
  <c r="G53" i="36" s="1"/>
  <c r="K54" i="36" s="1"/>
  <c r="K69" i="36"/>
  <c r="L69" i="36" s="1"/>
  <c r="K72" i="36"/>
  <c r="L72" i="36" s="1"/>
  <c r="X23" i="36"/>
  <c r="AB23" i="36" s="1"/>
  <c r="AC23" i="36" s="1"/>
  <c r="X17" i="36"/>
  <c r="AB17" i="36" s="1"/>
  <c r="AC17" i="36" s="1"/>
  <c r="X25" i="36"/>
  <c r="AB25" i="36" s="1"/>
  <c r="AC25" i="36" s="1"/>
  <c r="X22" i="36"/>
  <c r="AB22" i="36" s="1"/>
  <c r="AC22" i="36" s="1"/>
  <c r="X19" i="36"/>
  <c r="AB19" i="36" s="1"/>
  <c r="AC19" i="36" s="1"/>
  <c r="X16" i="36"/>
  <c r="AB16" i="36" s="1"/>
  <c r="AC16" i="36" s="1"/>
  <c r="X13" i="36"/>
  <c r="AB13" i="36" s="1"/>
  <c r="AC13" i="36" s="1"/>
  <c r="X12" i="36"/>
  <c r="AB12" i="36" s="1"/>
  <c r="X24" i="36"/>
  <c r="AB24" i="36" s="1"/>
  <c r="AC24" i="36" s="1"/>
  <c r="X21" i="36"/>
  <c r="AB21" i="36" s="1"/>
  <c r="AC21" i="36" s="1"/>
  <c r="X18" i="36"/>
  <c r="AB18" i="36" s="1"/>
  <c r="AC18" i="36" s="1"/>
  <c r="X15" i="36"/>
  <c r="AB15" i="36" s="1"/>
  <c r="AC15" i="36" s="1"/>
  <c r="X14" i="36"/>
  <c r="AB14" i="36" s="1"/>
  <c r="X11" i="36"/>
  <c r="AB11" i="36" s="1"/>
  <c r="AC11" i="36" s="1"/>
  <c r="X10" i="36"/>
  <c r="X20" i="36"/>
  <c r="AB20" i="36" s="1"/>
  <c r="AC20" i="36" s="1"/>
  <c r="W48" i="36" l="1"/>
  <c r="AB48" i="36" s="1"/>
  <c r="AC12" i="36"/>
  <c r="K71" i="36"/>
  <c r="L71" i="36" s="1"/>
  <c r="L77" i="36"/>
  <c r="K70" i="36"/>
  <c r="L70" i="36" s="1"/>
  <c r="K59" i="36"/>
  <c r="L59" i="36" s="1"/>
  <c r="K78" i="36"/>
  <c r="L78" i="36" s="1"/>
  <c r="K67" i="36"/>
  <c r="L67" i="36" s="1"/>
  <c r="X26" i="36"/>
  <c r="AB10" i="36"/>
  <c r="AC14" i="36"/>
  <c r="W49" i="36"/>
  <c r="AB49" i="36" s="1"/>
  <c r="K47" i="36"/>
  <c r="L50" i="36" s="1"/>
  <c r="C50" i="36"/>
  <c r="L82" i="36" l="1"/>
  <c r="AB26" i="36"/>
  <c r="X53" i="36" s="1"/>
  <c r="AB54" i="36" s="1"/>
  <c r="W47" i="36"/>
  <c r="AC10" i="36"/>
  <c r="AC26" i="36" s="1"/>
  <c r="X56" i="36"/>
  <c r="AB57" i="36" s="1"/>
  <c r="AC40" i="36"/>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M86" i="35"/>
  <c r="V78" i="35"/>
  <c r="Y77" i="35"/>
  <c r="V77" i="35"/>
  <c r="Y76" i="35"/>
  <c r="V76" i="35"/>
  <c r="G76" i="35"/>
  <c r="I76" i="35" s="1"/>
  <c r="AB75" i="35"/>
  <c r="G75" i="35"/>
  <c r="I75" i="35" s="1"/>
  <c r="AB74" i="35"/>
  <c r="Y71" i="35"/>
  <c r="Y70" i="35"/>
  <c r="Y69" i="35"/>
  <c r="Y68" i="35"/>
  <c r="Y66" i="35"/>
  <c r="X65" i="35"/>
  <c r="Y58" i="35" s="1"/>
  <c r="G65" i="35"/>
  <c r="X64" i="35"/>
  <c r="X61" i="35"/>
  <c r="X60" i="35"/>
  <c r="AA56" i="35"/>
  <c r="J56" i="35"/>
  <c r="AA53" i="35"/>
  <c r="Z49" i="35"/>
  <c r="G49" i="35"/>
  <c r="Z48" i="35"/>
  <c r="G48" i="35"/>
  <c r="Z47" i="35"/>
  <c r="G47" i="35"/>
  <c r="X40" i="35"/>
  <c r="K40" i="35"/>
  <c r="X39" i="35"/>
  <c r="AB40" i="35" s="1"/>
  <c r="X37" i="35"/>
  <c r="E37" i="35"/>
  <c r="D37" i="35"/>
  <c r="AC36" i="35"/>
  <c r="AB36" i="35"/>
  <c r="G36" i="35"/>
  <c r="L36" i="35" s="1"/>
  <c r="AC35" i="35"/>
  <c r="AB35" i="35"/>
  <c r="G35" i="35"/>
  <c r="L35" i="35" s="1"/>
  <c r="AC34" i="35"/>
  <c r="AB34" i="35"/>
  <c r="G34" i="35"/>
  <c r="L34" i="35" s="1"/>
  <c r="AC33" i="35"/>
  <c r="AB33" i="35"/>
  <c r="G33" i="35"/>
  <c r="L33" i="35" s="1"/>
  <c r="AC32" i="35"/>
  <c r="AB32" i="35"/>
  <c r="G32" i="35"/>
  <c r="L32" i="35" s="1"/>
  <c r="AC31" i="35"/>
  <c r="AB31" i="35"/>
  <c r="G31" i="35"/>
  <c r="L31" i="35" s="1"/>
  <c r="AC30" i="35"/>
  <c r="AB30" i="35"/>
  <c r="G30" i="35"/>
  <c r="L30" i="35" s="1"/>
  <c r="AC29" i="35"/>
  <c r="AB29" i="35"/>
  <c r="G29" i="35"/>
  <c r="L29" i="35" s="1"/>
  <c r="AC28" i="35"/>
  <c r="AC37" i="35" s="1"/>
  <c r="AB28" i="35"/>
  <c r="G28" i="35"/>
  <c r="E26" i="35"/>
  <c r="D26" i="35"/>
  <c r="G25" i="35"/>
  <c r="K25" i="35" s="1"/>
  <c r="L25" i="35" s="1"/>
  <c r="I24" i="35"/>
  <c r="G24" i="35"/>
  <c r="K24" i="35" s="1"/>
  <c r="L24" i="35" s="1"/>
  <c r="I23" i="35"/>
  <c r="G23" i="35"/>
  <c r="K23" i="35" s="1"/>
  <c r="L23" i="35" s="1"/>
  <c r="G22" i="35"/>
  <c r="K22" i="35" s="1"/>
  <c r="L22" i="35" s="1"/>
  <c r="I21" i="35"/>
  <c r="G21" i="35"/>
  <c r="K21" i="35" s="1"/>
  <c r="L21" i="35" s="1"/>
  <c r="I20" i="35"/>
  <c r="G20" i="35"/>
  <c r="K20" i="35" s="1"/>
  <c r="L20" i="35" s="1"/>
  <c r="K19" i="35"/>
  <c r="L19" i="35" s="1"/>
  <c r="G19" i="35"/>
  <c r="I18" i="35"/>
  <c r="G18" i="35"/>
  <c r="K18" i="35" s="1"/>
  <c r="L18" i="35" s="1"/>
  <c r="I17" i="35"/>
  <c r="G17" i="35"/>
  <c r="K17" i="35" s="1"/>
  <c r="L17" i="35" s="1"/>
  <c r="G16" i="35"/>
  <c r="K16" i="35" s="1"/>
  <c r="L16" i="35" s="1"/>
  <c r="I15" i="35"/>
  <c r="G15" i="35"/>
  <c r="M15" i="35" s="1"/>
  <c r="G14" i="35"/>
  <c r="K14" i="35" s="1"/>
  <c r="I13" i="35"/>
  <c r="G13" i="35"/>
  <c r="K13" i="35" s="1"/>
  <c r="L13" i="35" s="1"/>
  <c r="G12" i="35"/>
  <c r="K12" i="35" s="1"/>
  <c r="L12" i="35" s="1"/>
  <c r="I11" i="35"/>
  <c r="G11" i="35"/>
  <c r="M11" i="35" s="1"/>
  <c r="G10" i="35"/>
  <c r="AB7" i="35"/>
  <c r="X47" i="35" s="1"/>
  <c r="X7" i="35"/>
  <c r="V4" i="35"/>
  <c r="B3" i="35"/>
  <c r="V2" i="35"/>
  <c r="G37" i="35" l="1"/>
  <c r="L76" i="35"/>
  <c r="Z75" i="35"/>
  <c r="K15" i="35"/>
  <c r="L15" i="35" s="1"/>
  <c r="AC75" i="35"/>
  <c r="K11" i="35"/>
  <c r="L11" i="35" s="1"/>
  <c r="G26" i="35"/>
  <c r="K84" i="35" s="1"/>
  <c r="L75" i="35"/>
  <c r="Z74" i="35"/>
  <c r="AC74" i="35" s="1"/>
  <c r="C48" i="35"/>
  <c r="K48" i="35" s="1"/>
  <c r="L14" i="35"/>
  <c r="C49" i="35"/>
  <c r="K49" i="35" s="1"/>
  <c r="X49" i="35"/>
  <c r="K10" i="35"/>
  <c r="L28" i="35"/>
  <c r="L37" i="35" s="1"/>
  <c r="X48" i="35"/>
  <c r="M13" i="35"/>
  <c r="L40" i="35" l="1"/>
  <c r="G56" i="35"/>
  <c r="K57" i="35" s="1"/>
  <c r="K72" i="35" s="1"/>
  <c r="L72" i="35" s="1"/>
  <c r="C47" i="35"/>
  <c r="L10" i="35"/>
  <c r="L26" i="35" s="1"/>
  <c r="L44" i="35" s="1"/>
  <c r="K26" i="35"/>
  <c r="G53" i="35" s="1"/>
  <c r="K54" i="35" s="1"/>
  <c r="K69" i="35"/>
  <c r="L69" i="35" s="1"/>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X26" i="35" l="1"/>
  <c r="AB10" i="35"/>
  <c r="K71" i="35"/>
  <c r="L71" i="35" s="1"/>
  <c r="L77" i="35"/>
  <c r="K70" i="35"/>
  <c r="L70" i="35" s="1"/>
  <c r="K59" i="35"/>
  <c r="L59" i="35" s="1"/>
  <c r="K78" i="35"/>
  <c r="L78" i="35" s="1"/>
  <c r="K67" i="35"/>
  <c r="L67" i="35" s="1"/>
  <c r="AC14" i="35"/>
  <c r="W49" i="35"/>
  <c r="AB49" i="35" s="1"/>
  <c r="W48" i="35"/>
  <c r="AB48" i="35" s="1"/>
  <c r="AC12" i="35"/>
  <c r="K47" i="35"/>
  <c r="L50" i="35" s="1"/>
  <c r="C50" i="35"/>
  <c r="L82" i="35" l="1"/>
  <c r="K86" i="35" s="1"/>
  <c r="AB26" i="35"/>
  <c r="X53" i="35" s="1"/>
  <c r="AB54" i="35" s="1"/>
  <c r="W47" i="35"/>
  <c r="AC10" i="35"/>
  <c r="AC26" i="35" s="1"/>
  <c r="X56" i="35"/>
  <c r="AB57"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M86" i="34"/>
  <c r="V78" i="34"/>
  <c r="Y77" i="34"/>
  <c r="V77" i="34"/>
  <c r="Y76" i="34"/>
  <c r="V76" i="34"/>
  <c r="G76" i="34"/>
  <c r="I76" i="34" s="1"/>
  <c r="AB75" i="34"/>
  <c r="G75" i="34"/>
  <c r="I75" i="34" s="1"/>
  <c r="AB74" i="34"/>
  <c r="Y71" i="34"/>
  <c r="Y70" i="34"/>
  <c r="Y69" i="34"/>
  <c r="Y68" i="34"/>
  <c r="Y66" i="34"/>
  <c r="X65" i="34"/>
  <c r="G65" i="34"/>
  <c r="X64" i="34" s="1"/>
  <c r="Y58" i="34" s="1"/>
  <c r="X61" i="34"/>
  <c r="X60" i="34"/>
  <c r="J56" i="34"/>
  <c r="AA56" i="34" s="1"/>
  <c r="AA53" i="34"/>
  <c r="Z49" i="34"/>
  <c r="G49" i="34"/>
  <c r="Z48" i="34"/>
  <c r="G48" i="34"/>
  <c r="Z47" i="34"/>
  <c r="G47" i="34"/>
  <c r="X40" i="34"/>
  <c r="K40" i="34"/>
  <c r="X39" i="34"/>
  <c r="AB40" i="34" s="1"/>
  <c r="X37" i="34"/>
  <c r="E37" i="34"/>
  <c r="D37" i="34"/>
  <c r="AC36" i="34"/>
  <c r="AB36" i="34"/>
  <c r="G36" i="34"/>
  <c r="L36" i="34" s="1"/>
  <c r="AC35" i="34"/>
  <c r="AB35" i="34"/>
  <c r="G35" i="34"/>
  <c r="L35" i="34" s="1"/>
  <c r="AC34" i="34"/>
  <c r="AB34" i="34"/>
  <c r="G34" i="34"/>
  <c r="L34" i="34" s="1"/>
  <c r="AC33" i="34"/>
  <c r="AB33" i="34"/>
  <c r="G33" i="34"/>
  <c r="L33" i="34" s="1"/>
  <c r="AC32" i="34"/>
  <c r="AB32" i="34"/>
  <c r="G32" i="34"/>
  <c r="L32" i="34" s="1"/>
  <c r="AC31" i="34"/>
  <c r="AB31" i="34"/>
  <c r="G31" i="34"/>
  <c r="L31" i="34" s="1"/>
  <c r="AC30" i="34"/>
  <c r="AB30" i="34"/>
  <c r="G30" i="34"/>
  <c r="L30" i="34" s="1"/>
  <c r="AC29" i="34"/>
  <c r="AB29" i="34"/>
  <c r="G29" i="34"/>
  <c r="L29" i="34" s="1"/>
  <c r="AC28" i="34"/>
  <c r="AC37" i="34" s="1"/>
  <c r="AB28" i="34"/>
  <c r="G28" i="34"/>
  <c r="E26" i="34"/>
  <c r="D26" i="34"/>
  <c r="G25" i="34"/>
  <c r="K25" i="34" s="1"/>
  <c r="L25" i="34" s="1"/>
  <c r="I24" i="34"/>
  <c r="G24" i="34"/>
  <c r="K24" i="34" s="1"/>
  <c r="L24" i="34" s="1"/>
  <c r="I23" i="34"/>
  <c r="G23" i="34"/>
  <c r="K23" i="34" s="1"/>
  <c r="L23" i="34" s="1"/>
  <c r="G22" i="34"/>
  <c r="K22" i="34" s="1"/>
  <c r="L22" i="34" s="1"/>
  <c r="I21" i="34"/>
  <c r="G21" i="34"/>
  <c r="K21" i="34" s="1"/>
  <c r="L21" i="34" s="1"/>
  <c r="I20" i="34"/>
  <c r="G20" i="34"/>
  <c r="K20" i="34" s="1"/>
  <c r="L20" i="34" s="1"/>
  <c r="G19" i="34"/>
  <c r="K19" i="34" s="1"/>
  <c r="L19" i="34" s="1"/>
  <c r="I18" i="34"/>
  <c r="G18" i="34"/>
  <c r="K18" i="34" s="1"/>
  <c r="L18" i="34" s="1"/>
  <c r="I17" i="34"/>
  <c r="G17" i="34"/>
  <c r="K17" i="34" s="1"/>
  <c r="L17" i="34" s="1"/>
  <c r="G16" i="34"/>
  <c r="K16" i="34" s="1"/>
  <c r="L16" i="34" s="1"/>
  <c r="I15" i="34"/>
  <c r="G15" i="34"/>
  <c r="M15" i="34" s="1"/>
  <c r="G14" i="34"/>
  <c r="K14" i="34" s="1"/>
  <c r="I13" i="34"/>
  <c r="G13" i="34"/>
  <c r="K13" i="34" s="1"/>
  <c r="L13" i="34" s="1"/>
  <c r="G12" i="34"/>
  <c r="K12" i="34" s="1"/>
  <c r="L12" i="34" s="1"/>
  <c r="I11" i="34"/>
  <c r="G11" i="34"/>
  <c r="M11" i="34" s="1"/>
  <c r="G10" i="34"/>
  <c r="AB7" i="34"/>
  <c r="X47" i="34" s="1"/>
  <c r="X7" i="34"/>
  <c r="V4" i="34"/>
  <c r="B3" i="34"/>
  <c r="V2" i="34"/>
  <c r="G26" i="34" l="1"/>
  <c r="K15" i="34"/>
  <c r="L15" i="34" s="1"/>
  <c r="K11" i="34"/>
  <c r="L11" i="34" s="1"/>
  <c r="G37" i="34"/>
  <c r="L90" i="35"/>
  <c r="L92" i="35" s="1"/>
  <c r="L75" i="34"/>
  <c r="Z74" i="34"/>
  <c r="C48" i="34"/>
  <c r="K48" i="34" s="1"/>
  <c r="L14" i="34"/>
  <c r="C49" i="34"/>
  <c r="K49" i="34" s="1"/>
  <c r="AC74" i="34"/>
  <c r="K84" i="34"/>
  <c r="G56" i="34"/>
  <c r="K57" i="34" s="1"/>
  <c r="L40" i="34"/>
  <c r="L76" i="34"/>
  <c r="Z75" i="34"/>
  <c r="AC75" i="34" s="1"/>
  <c r="X49" i="34"/>
  <c r="M13" i="34"/>
  <c r="K10" i="34"/>
  <c r="L28" i="34"/>
  <c r="L37" i="34" s="1"/>
  <c r="X48" i="34"/>
  <c r="C47" i="34" l="1"/>
  <c r="L10" i="34"/>
  <c r="L26" i="34" s="1"/>
  <c r="L44" i="34" s="1"/>
  <c r="K26" i="34"/>
  <c r="G53" i="34" s="1"/>
  <c r="K54" i="34" s="1"/>
  <c r="K69" i="34"/>
  <c r="L69" i="34" s="1"/>
  <c r="K72" i="34"/>
  <c r="L72" i="34" s="1"/>
  <c r="X23" i="34"/>
  <c r="AB23" i="34" s="1"/>
  <c r="AC23" i="34" s="1"/>
  <c r="X20" i="34"/>
  <c r="AB20" i="34" s="1"/>
  <c r="AC20" i="34" s="1"/>
  <c r="X25" i="34"/>
  <c r="AB25" i="34" s="1"/>
  <c r="AC25" i="34" s="1"/>
  <c r="X22" i="34"/>
  <c r="AB22" i="34" s="1"/>
  <c r="AC22" i="34" s="1"/>
  <c r="X19" i="34"/>
  <c r="AB19" i="34" s="1"/>
  <c r="AC19" i="34" s="1"/>
  <c r="X16" i="34"/>
  <c r="AB16" i="34" s="1"/>
  <c r="AC16" i="34" s="1"/>
  <c r="X13" i="34"/>
  <c r="AB13" i="34" s="1"/>
  <c r="AC13" i="34" s="1"/>
  <c r="X12" i="34"/>
  <c r="AB12" i="34" s="1"/>
  <c r="X17" i="34"/>
  <c r="AB17" i="34" s="1"/>
  <c r="AC17" i="34" s="1"/>
  <c r="X24" i="34"/>
  <c r="AB24" i="34" s="1"/>
  <c r="AC24" i="34" s="1"/>
  <c r="X21" i="34"/>
  <c r="AB21" i="34" s="1"/>
  <c r="AC21" i="34" s="1"/>
  <c r="X18" i="34"/>
  <c r="AB18" i="34" s="1"/>
  <c r="AC18" i="34" s="1"/>
  <c r="X15" i="34"/>
  <c r="AB15" i="34" s="1"/>
  <c r="AC15" i="34" s="1"/>
  <c r="X14" i="34"/>
  <c r="AB14" i="34" s="1"/>
  <c r="X11" i="34"/>
  <c r="AB11" i="34" s="1"/>
  <c r="AC11" i="34" s="1"/>
  <c r="X10" i="34"/>
  <c r="AC14" i="34" l="1"/>
  <c r="W49" i="34"/>
  <c r="AB49" i="34" s="1"/>
  <c r="X26" i="34"/>
  <c r="AB10" i="34"/>
  <c r="W48" i="34"/>
  <c r="AB48" i="34" s="1"/>
  <c r="AC12" i="34"/>
  <c r="K71" i="34"/>
  <c r="L71" i="34" s="1"/>
  <c r="L77" i="34"/>
  <c r="K70" i="34"/>
  <c r="L70" i="34" s="1"/>
  <c r="K59" i="34"/>
  <c r="L59" i="34" s="1"/>
  <c r="K78" i="34"/>
  <c r="L78" i="34" s="1"/>
  <c r="K67" i="34"/>
  <c r="L67" i="34" s="1"/>
  <c r="K47" i="34"/>
  <c r="L50" i="34" s="1"/>
  <c r="C50" i="34"/>
  <c r="L82" i="34" l="1"/>
  <c r="K86" i="34" s="1"/>
  <c r="AB26" i="34"/>
  <c r="X53" i="34" s="1"/>
  <c r="AB54" i="34" s="1"/>
  <c r="W47" i="34"/>
  <c r="AC10" i="34"/>
  <c r="AC26" i="34" s="1"/>
  <c r="X56" i="34"/>
  <c r="AB57" i="34" s="1"/>
  <c r="AC40" i="34"/>
  <c r="W50" i="34" l="1"/>
  <c r="AB47" i="34"/>
  <c r="AC50" i="34" s="1"/>
  <c r="AB68" i="34"/>
  <c r="AC68" i="34" s="1"/>
  <c r="AB71" i="34"/>
  <c r="AC71" i="34" s="1"/>
  <c r="L86" i="34"/>
  <c r="AB77" i="34"/>
  <c r="AC77" i="34" s="1"/>
  <c r="AB66" i="34"/>
  <c r="AC66" i="34" s="1"/>
  <c r="AB70" i="34"/>
  <c r="AC70" i="34" s="1"/>
  <c r="AC76" i="34"/>
  <c r="AB69" i="34"/>
  <c r="AC69" i="34" s="1"/>
  <c r="AB58" i="34"/>
  <c r="AC58" i="34" s="1"/>
  <c r="AC44" i="34"/>
  <c r="L87" i="34" l="1"/>
  <c r="AC81" i="34"/>
  <c r="L84" i="34" s="1"/>
  <c r="L94" i="34"/>
  <c r="L90" i="34" l="1"/>
  <c r="L92" i="34" s="1"/>
  <c r="C177" i="33"/>
  <c r="C176" i="33"/>
  <c r="B136" i="33"/>
  <c r="B135" i="33"/>
  <c r="M86" i="33"/>
  <c r="V78" i="33"/>
  <c r="Y77" i="33"/>
  <c r="V77" i="33"/>
  <c r="Y76" i="33"/>
  <c r="V76" i="33"/>
  <c r="G76" i="33"/>
  <c r="I76" i="33" s="1"/>
  <c r="AB75" i="33"/>
  <c r="G75" i="33"/>
  <c r="I75" i="33" s="1"/>
  <c r="AB74" i="33"/>
  <c r="Y71" i="33"/>
  <c r="Y70" i="33"/>
  <c r="Y69" i="33"/>
  <c r="Y68" i="33"/>
  <c r="Y66" i="33"/>
  <c r="X65" i="33"/>
  <c r="Y58" i="33" s="1"/>
  <c r="G65" i="33"/>
  <c r="X64" i="33"/>
  <c r="X61" i="33"/>
  <c r="X60" i="33"/>
  <c r="J56" i="33"/>
  <c r="AA56" i="33" s="1"/>
  <c r="AA53" i="33"/>
  <c r="Z49" i="33"/>
  <c r="G49" i="33"/>
  <c r="Z48" i="33"/>
  <c r="G48" i="33"/>
  <c r="Z47" i="33"/>
  <c r="G47" i="33"/>
  <c r="X40" i="33"/>
  <c r="K40" i="33"/>
  <c r="X39" i="33"/>
  <c r="AB40" i="33" s="1"/>
  <c r="X37" i="33"/>
  <c r="E37" i="33"/>
  <c r="D37" i="33"/>
  <c r="AC36" i="33"/>
  <c r="AB36" i="33"/>
  <c r="G36" i="33"/>
  <c r="L36" i="33" s="1"/>
  <c r="AC35" i="33"/>
  <c r="AB35" i="33"/>
  <c r="G35" i="33"/>
  <c r="L35" i="33" s="1"/>
  <c r="AC34" i="33"/>
  <c r="AB34" i="33"/>
  <c r="G34" i="33"/>
  <c r="L34" i="33" s="1"/>
  <c r="AC33" i="33"/>
  <c r="AB33" i="33"/>
  <c r="G33" i="33"/>
  <c r="L33" i="33" s="1"/>
  <c r="AC32" i="33"/>
  <c r="AB32" i="33"/>
  <c r="G32" i="33"/>
  <c r="L32" i="33" s="1"/>
  <c r="AC31" i="33"/>
  <c r="AB31" i="33"/>
  <c r="G31" i="33"/>
  <c r="L31" i="33" s="1"/>
  <c r="AC30" i="33"/>
  <c r="AB30" i="33"/>
  <c r="G30" i="33"/>
  <c r="L30" i="33" s="1"/>
  <c r="AC29" i="33"/>
  <c r="AB29" i="33"/>
  <c r="G29" i="33"/>
  <c r="L29" i="33" s="1"/>
  <c r="AC28" i="33"/>
  <c r="AC37" i="33" s="1"/>
  <c r="AB28" i="33"/>
  <c r="G28" i="33"/>
  <c r="G37" i="33" s="1"/>
  <c r="E26" i="33"/>
  <c r="D26" i="33"/>
  <c r="G25" i="33"/>
  <c r="K25" i="33" s="1"/>
  <c r="L25" i="33" s="1"/>
  <c r="I24" i="33"/>
  <c r="G24" i="33"/>
  <c r="K24" i="33" s="1"/>
  <c r="L24" i="33" s="1"/>
  <c r="I23" i="33"/>
  <c r="G23" i="33"/>
  <c r="K23" i="33" s="1"/>
  <c r="L23" i="33" s="1"/>
  <c r="G22" i="33"/>
  <c r="K22" i="33" s="1"/>
  <c r="L22" i="33" s="1"/>
  <c r="I21" i="33"/>
  <c r="G21" i="33"/>
  <c r="K21" i="33" s="1"/>
  <c r="L21" i="33" s="1"/>
  <c r="I20" i="33"/>
  <c r="G20" i="33"/>
  <c r="K20" i="33" s="1"/>
  <c r="L20" i="33" s="1"/>
  <c r="G19" i="33"/>
  <c r="K19" i="33" s="1"/>
  <c r="L19" i="33" s="1"/>
  <c r="I18" i="33"/>
  <c r="G18" i="33"/>
  <c r="K18" i="33" s="1"/>
  <c r="L18" i="33" s="1"/>
  <c r="I17" i="33"/>
  <c r="G17" i="33"/>
  <c r="K17" i="33" s="1"/>
  <c r="L17" i="33" s="1"/>
  <c r="G16" i="33"/>
  <c r="K16" i="33" s="1"/>
  <c r="L16" i="33" s="1"/>
  <c r="I15" i="33"/>
  <c r="G15" i="33"/>
  <c r="M15" i="33" s="1"/>
  <c r="G14" i="33"/>
  <c r="K14" i="33" s="1"/>
  <c r="I13" i="33"/>
  <c r="G13" i="33"/>
  <c r="K13" i="33" s="1"/>
  <c r="L13" i="33" s="1"/>
  <c r="G12" i="33"/>
  <c r="K12" i="33" s="1"/>
  <c r="L12" i="33" s="1"/>
  <c r="I11" i="33"/>
  <c r="G11" i="33"/>
  <c r="M11" i="33" s="1"/>
  <c r="G10" i="33"/>
  <c r="AB7" i="33"/>
  <c r="X47" i="33" s="1"/>
  <c r="X7" i="33"/>
  <c r="V4" i="33"/>
  <c r="B3" i="33"/>
  <c r="V2" i="33"/>
  <c r="L76" i="33" l="1"/>
  <c r="Z75" i="33"/>
  <c r="K11" i="33"/>
  <c r="L11" i="33" s="1"/>
  <c r="AC75" i="33"/>
  <c r="K15" i="33"/>
  <c r="L15" i="33" s="1"/>
  <c r="G26" i="33"/>
  <c r="G56" i="33" s="1"/>
  <c r="K57" i="33" s="1"/>
  <c r="C48" i="33"/>
  <c r="K48" i="33" s="1"/>
  <c r="L14" i="33"/>
  <c r="C49" i="33"/>
  <c r="K49" i="33" s="1"/>
  <c r="L75" i="33"/>
  <c r="Z74" i="33"/>
  <c r="AC74" i="33" s="1"/>
  <c r="L40" i="33"/>
  <c r="M13" i="33"/>
  <c r="X49" i="33"/>
  <c r="K10" i="33"/>
  <c r="L28" i="33"/>
  <c r="L37" i="33" s="1"/>
  <c r="X48" i="33"/>
  <c r="K84" i="33" l="1"/>
  <c r="C47" i="33"/>
  <c r="L10" i="33"/>
  <c r="L26" i="33" s="1"/>
  <c r="L44" i="33" s="1"/>
  <c r="K26" i="33"/>
  <c r="G53" i="33" s="1"/>
  <c r="K54" i="33" s="1"/>
  <c r="X17" i="33"/>
  <c r="AB17" i="33" s="1"/>
  <c r="AC17" i="33" s="1"/>
  <c r="X25" i="33"/>
  <c r="AB25" i="33" s="1"/>
  <c r="AC25" i="33" s="1"/>
  <c r="X22" i="33"/>
  <c r="AB22" i="33" s="1"/>
  <c r="AC22" i="33" s="1"/>
  <c r="X19" i="33"/>
  <c r="AB19" i="33" s="1"/>
  <c r="AC19" i="33" s="1"/>
  <c r="X16" i="33"/>
  <c r="AB16" i="33" s="1"/>
  <c r="AC16" i="33" s="1"/>
  <c r="X13" i="33"/>
  <c r="AB13" i="33" s="1"/>
  <c r="AC13" i="33" s="1"/>
  <c r="X12" i="33"/>
  <c r="AB12" i="33" s="1"/>
  <c r="X23" i="33"/>
  <c r="AB23" i="33" s="1"/>
  <c r="AC23" i="33" s="1"/>
  <c r="X20" i="33"/>
  <c r="AB20" i="33" s="1"/>
  <c r="AC20" i="33" s="1"/>
  <c r="X24" i="33"/>
  <c r="AB24" i="33" s="1"/>
  <c r="AC24" i="33" s="1"/>
  <c r="X21" i="33"/>
  <c r="AB21" i="33" s="1"/>
  <c r="AC21" i="33" s="1"/>
  <c r="X18" i="33"/>
  <c r="AB18" i="33" s="1"/>
  <c r="AC18" i="33" s="1"/>
  <c r="X15" i="33"/>
  <c r="AB15" i="33" s="1"/>
  <c r="AC15" i="33" s="1"/>
  <c r="X14" i="33"/>
  <c r="AB14" i="33" s="1"/>
  <c r="X11" i="33"/>
  <c r="AB11" i="33" s="1"/>
  <c r="AC11" i="33" s="1"/>
  <c r="X10" i="33"/>
  <c r="K69" i="33"/>
  <c r="L69" i="33" s="1"/>
  <c r="K72" i="33"/>
  <c r="L72" i="33" s="1"/>
  <c r="X26" i="33" l="1"/>
  <c r="AB10" i="33"/>
  <c r="W48" i="33"/>
  <c r="AB48" i="33" s="1"/>
  <c r="AC12" i="33"/>
  <c r="K71" i="33"/>
  <c r="L71" i="33" s="1"/>
  <c r="L77" i="33"/>
  <c r="K70" i="33"/>
  <c r="L70" i="33" s="1"/>
  <c r="K59" i="33"/>
  <c r="L59" i="33" s="1"/>
  <c r="K78" i="33"/>
  <c r="L78" i="33" s="1"/>
  <c r="K67" i="33"/>
  <c r="L67" i="33" s="1"/>
  <c r="AC14" i="33"/>
  <c r="W49" i="33"/>
  <c r="AB49" i="33" s="1"/>
  <c r="K47" i="33"/>
  <c r="L50" i="33" s="1"/>
  <c r="C50" i="33"/>
  <c r="L82" i="33" l="1"/>
  <c r="K86" i="33" s="1"/>
  <c r="AB26" i="33"/>
  <c r="X53" i="33" s="1"/>
  <c r="AB54" i="33" s="1"/>
  <c r="W47" i="33"/>
  <c r="AC10" i="33"/>
  <c r="AC26" i="33" s="1"/>
  <c r="X56" i="33"/>
  <c r="AB57" i="33" s="1"/>
  <c r="AC40" i="33"/>
  <c r="AC44" i="33" l="1"/>
  <c r="AB77" i="33"/>
  <c r="AC77" i="33" s="1"/>
  <c r="AB66" i="33"/>
  <c r="AC66" i="33" s="1"/>
  <c r="AB70" i="33"/>
  <c r="AC70" i="33" s="1"/>
  <c r="AC76" i="33"/>
  <c r="AB69" i="33"/>
  <c r="AC69" i="33" s="1"/>
  <c r="AB58" i="33"/>
  <c r="AC58" i="33" s="1"/>
  <c r="AB68" i="33"/>
  <c r="AC68" i="33" s="1"/>
  <c r="AB71" i="33"/>
  <c r="AC71" i="33" s="1"/>
  <c r="L86" i="33"/>
  <c r="W50" i="33"/>
  <c r="AB47" i="33"/>
  <c r="AC50" i="33" s="1"/>
  <c r="AC81" i="33" s="1"/>
  <c r="L84" i="33" s="1"/>
  <c r="L87" i="33" l="1"/>
  <c r="L94" i="33"/>
  <c r="L90" i="33" l="1"/>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<sst xmlns="http://schemas.openxmlformats.org/spreadsheetml/2006/main" count="21999" uniqueCount="516">
  <si>
    <t>%,LACTUALS,FFUND_CODE,V1000</t>
  </si>
  <si>
    <t>%,SJULDEC-CY</t>
  </si>
  <si>
    <t>%,SPER8</t>
  </si>
  <si>
    <t>%,YTD</t>
  </si>
  <si>
    <t>(Insert district number in cell A1, enter, then strike F9. Your district data then pulls from Calculation Detail Sheets)</t>
  </si>
  <si>
    <t>For Schools with &gt;75% ESE students</t>
  </si>
  <si>
    <t>Based on the Final Conference Calculation of the FEFP 2014-15</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</si>
  <si>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</si>
  <si>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</si>
  <si>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</si>
  <si>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</si>
  <si>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</si>
  <si>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</si>
  <si>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</si>
  <si>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</si>
  <si>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</si>
  <si>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</si>
  <si>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</si>
  <si>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</si>
  <si>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</si>
  <si>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</si>
  <si>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</si>
  <si>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</si>
  <si>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</si>
  <si>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</si>
  <si>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</si>
  <si>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</si>
  <si>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</si>
  <si>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</si>
  <si>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</si>
  <si>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</si>
  <si>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</si>
  <si>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</si>
  <si>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</si>
  <si>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</si>
  <si>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</si>
  <si>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</si>
  <si>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</si>
  <si>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</si>
  <si>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</si>
  <si>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</si>
  <si>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</si>
  <si>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</si>
  <si>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</si>
  <si>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</si>
  <si>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</si>
  <si>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</si>
  <si>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</si>
  <si>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</si>
  <si>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</si>
  <si>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</si>
  <si>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</si>
  <si>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</si>
  <si>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</si>
  <si>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</si>
  <si>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</si>
  <si>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</si>
  <si>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</si>
  <si>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</si>
  <si>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</si>
  <si>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</si>
  <si>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</si>
  <si>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</si>
  <si>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</si>
  <si>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</si>
  <si>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</si>
  <si>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</si>
  <si>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</si>
  <si>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</si>
  <si>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</si>
  <si>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</si>
  <si>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</si>
  <si>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</si>
  <si>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</si>
  <si>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</si>
  <si>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</si>
  <si>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</si>
  <si>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</si>
  <si>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</si>
  <si>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</si>
  <si>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</si>
  <si>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</si>
  <si>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</si>
  <si>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</si>
  <si>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</si>
  <si>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</si>
  <si>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</si>
  <si>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</si>
  <si>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</si>
  <si>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</si>
  <si>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</si>
  <si>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</si>
  <si>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</si>
  <si>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</si>
  <si>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</si>
  <si>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</si>
  <si>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</si>
  <si>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</si>
  <si>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</si>
  <si>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</si>
  <si>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</si>
  <si>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</si>
  <si>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</si>
  <si>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</si>
  <si>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</si>
  <si>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</si>
  <si>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</si>
  <si>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</si>
  <si>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</si>
  <si>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</si>
  <si>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</si>
  <si>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</si>
  <si>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</si>
  <si>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</si>
  <si>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</si>
  <si>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</si>
  <si>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</si>
  <si>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</si>
  <si>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</si>
  <si>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</si>
  <si>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</si>
  <si>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</si>
  <si>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</si>
  <si>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</si>
  <si>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</si>
  <si>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</si>
  <si>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</si>
  <si>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</si>
  <si>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</si>
  <si>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</si>
  <si>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</si>
  <si>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</si>
  <si>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</si>
  <si>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</si>
  <si>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</si>
  <si>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</si>
  <si>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</si>
  <si>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</si>
  <si>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</si>
  <si>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</si>
  <si>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</si>
  <si>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</si>
  <si>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</si>
  <si>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</si>
  <si>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</si>
  <si>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</si>
  <si>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</si>
  <si>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</si>
  <si>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</si>
  <si>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</si>
  <si>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</si>
  <si>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</si>
  <si>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</si>
  <si>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</si>
  <si>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</si>
  <si>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</si>
  <si>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</si>
  <si>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</si>
  <si>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</si>
  <si>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</si>
  <si>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</si>
  <si>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</si>
  <si>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</si>
  <si>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</si>
  <si>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</si>
  <si>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</si>
  <si>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</si>
  <si>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</si>
  <si>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</si>
  <si>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</si>
  <si>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</si>
  <si>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</si>
  <si>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</si>
  <si>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</si>
  <si>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</si>
  <si>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</si>
  <si>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</si>
  <si>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</si>
  <si>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</si>
  <si>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</si>
  <si>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</si>
  <si>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</si>
  <si>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</si>
  <si>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</si>
  <si>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</si>
  <si>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</si>
  <si>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</si>
  <si>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</si>
  <si>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</si>
  <si>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</si>
  <si>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</si>
  <si>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</si>
  <si>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</si>
  <si>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</si>
  <si>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</si>
  <si>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</si>
  <si>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</si>
  <si>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</si>
  <si>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</si>
  <si>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</si>
  <si>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</si>
  <si>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</si>
  <si>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</si>
  <si>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</si>
  <si>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</si>
  <si>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</si>
  <si>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</si>
  <si>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</si>
  <si>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</si>
  <si>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</si>
  <si>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</si>
  <si>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</si>
  <si>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</si>
  <si>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</si>
  <si>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</si>
  <si>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</si>
  <si>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</si>
  <si>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</si>
  <si>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</si>
  <si>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</si>
  <si>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</si>
  <si>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</si>
  <si>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</si>
  <si>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</si>
  <si>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</si>
  <si>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</si>
  <si>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</si>
  <si>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</si>
  <si>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</si>
  <si>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</si>
  <si>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</si>
  <si>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</si>
  <si>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</si>
  <si>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</si>
  <si>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</si>
  <si>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</si>
  <si>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</si>
  <si>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</si>
  <si>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</si>
  <si>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</si>
  <si>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</si>
  <si>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</si>
  <si>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</si>
  <si>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</si>
  <si>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</si>
  <si>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</si>
  <si>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</si>
  <si>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</si>
  <si>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</si>
  <si>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</si>
  <si>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</si>
  <si>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</si>
  <si>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</si>
  <si>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</si>
  <si>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</si>
  <si>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</si>
  <si>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</si>
  <si>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</si>
  <si>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</si>
  <si>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</si>
  <si>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</si>
  <si>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</si>
  <si>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</si>
  <si>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</si>
  <si>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</si>
  <si>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</si>
  <si>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</si>
  <si>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</si>
  <si>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</si>
  <si>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</si>
  <si>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</si>
  <si>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</si>
  <si>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</si>
  <si>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</si>
  <si>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</si>
  <si>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</si>
  <si>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</si>
  <si>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</si>
  <si>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</si>
  <si>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</si>
  <si>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</si>
  <si>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</si>
  <si>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</si>
  <si>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</si>
  <si>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</si>
  <si>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</si>
  <si>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</si>
  <si>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</si>
  <si>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</si>
  <si>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</si>
  <si>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</si>
  <si>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</si>
  <si>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</si>
  <si>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</si>
  <si>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</si>
  <si>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</si>
  <si>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</si>
  <si>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</si>
  <si>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</si>
  <si>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</si>
  <si>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</si>
  <si>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</si>
  <si>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</si>
  <si>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</si>
  <si>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</si>
  <si>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</si>
  <si>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</si>
  <si>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</si>
  <si>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</si>
  <si>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</si>
  <si>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</si>
  <si>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</si>
  <si>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</si>
  <si>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</si>
  <si>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</si>
  <si>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</si>
  <si>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</si>
  <si>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</si>
  <si>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</si>
  <si>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</si>
  <si>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</si>
  <si>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</si>
  <si>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</si>
  <si>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</si>
  <si>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</si>
  <si>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</si>
  <si>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</si>
  <si>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</si>
  <si>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</si>
  <si>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</si>
  <si>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</si>
  <si>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</si>
  <si>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</si>
  <si>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</si>
  <si>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</si>
  <si>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</si>
  <si>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</si>
  <si>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</si>
  <si>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</si>
  <si>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</si>
  <si>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</si>
  <si>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</si>
  <si>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</si>
  <si>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</si>
  <si>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</si>
  <si>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</si>
  <si>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</si>
  <si>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</si>
  <si>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</si>
  <si>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</si>
  <si>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</si>
  <si>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</si>
  <si>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</si>
  <si>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</si>
  <si>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</si>
  <si>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</si>
  <si>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</si>
  <si>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</si>
  <si>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</si>
  <si>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</si>
  <si>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</si>
  <si>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</si>
  <si>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</si>
  <si>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</si>
  <si>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</si>
  <si>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</si>
  <si>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</si>
  <si>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</si>
  <si>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</si>
  <si>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</si>
  <si>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</si>
  <si>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</si>
  <si>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</si>
  <si>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</si>
  <si>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</si>
  <si>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</si>
  <si>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</si>
  <si>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</si>
  <si>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</si>
  <si>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</si>
  <si>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</si>
  <si>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</si>
  <si>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</si>
  <si>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</si>
  <si>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</si>
  <si>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</si>
  <si>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</si>
  <si>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</si>
  <si>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</si>
  <si>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</si>
  <si>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Enter District Number:</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</si>
  <si>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</si>
  <si>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</si>
  <si>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</si>
  <si>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</si>
  <si>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</si>
  <si>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</si>
  <si>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</si>
  <si>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</si>
  <si>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</si>
  <si>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</si>
  <si>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</si>
  <si>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</si>
  <si>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</si>
  <si>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</si>
  <si>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</si>
  <si>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</si>
  <si>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</si>
  <si>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</si>
  <si>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</si>
  <si>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</si>
  <si>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</si>
  <si>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</si>
  <si>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</si>
  <si>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</si>
  <si>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</si>
  <si>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</si>
  <si>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</si>
  <si>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</si>
  <si>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</si>
  <si>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</si>
  <si>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</si>
  <si>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</si>
  <si>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</si>
  <si>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</si>
  <si>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</si>
  <si>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</si>
  <si>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</si>
  <si>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</si>
  <si>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</si>
  <si>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</si>
  <si>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</si>
  <si>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</si>
  <si>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</si>
  <si>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</si>
  <si>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</si>
  <si>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</si>
  <si>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</si>
  <si>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</si>
  <si>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</si>
  <si>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</si>
  <si>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</si>
  <si>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</si>
  <si>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</si>
  <si>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</si>
  <si>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</si>
  <si>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Aug FY2014-2015 Charter School FTE Payment.</t>
  </si>
  <si>
    <t>WPB-114511</t>
  </si>
  <si>
    <t>WPB-114512</t>
  </si>
  <si>
    <t>WPB-114513</t>
  </si>
  <si>
    <t>WPB-114514</t>
  </si>
  <si>
    <t>WPB-114515</t>
  </si>
  <si>
    <t>WPB-114517</t>
  </si>
  <si>
    <t>WPB-114518</t>
  </si>
  <si>
    <t>WPB-114519</t>
  </si>
  <si>
    <t>WPB-114520</t>
  </si>
  <si>
    <t>WPB-114521</t>
  </si>
  <si>
    <t>WPB-114522</t>
  </si>
  <si>
    <t>WPB-114523</t>
  </si>
  <si>
    <t>WPB-114525</t>
  </si>
  <si>
    <t>WPB-114526</t>
  </si>
  <si>
    <t>WPB-114527</t>
  </si>
  <si>
    <t>WPB-114528</t>
  </si>
  <si>
    <t>WPB-114529</t>
  </si>
  <si>
    <t>WPB-114530</t>
  </si>
  <si>
    <t>WPB-114531</t>
  </si>
  <si>
    <t>WPB-114532</t>
  </si>
  <si>
    <t>WPB-114533</t>
  </si>
  <si>
    <t>WPB-114534</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</si>
  <si>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</si>
  <si>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</si>
  <si>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</si>
  <si>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</si>
  <si>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</si>
  <si>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</si>
  <si>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</si>
  <si>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</si>
  <si>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</si>
  <si>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</si>
  <si>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</si>
  <si>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</si>
  <si>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</si>
  <si>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</si>
  <si>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</si>
  <si>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</si>
  <si>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</si>
  <si>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</si>
  <si>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</si>
  <si>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</si>
  <si>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</si>
  <si>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Hope Learning Community of Riviera Beach (Noah's Ark)</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</si>
  <si>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</si>
  <si>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</si>
  <si>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</si>
  <si>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</si>
  <si>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</si>
  <si>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</si>
  <si>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</si>
  <si>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</si>
  <si>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</si>
  <si>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</si>
  <si>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</si>
  <si>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</si>
  <si>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</si>
  <si>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</si>
  <si>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Transitions Elementary</t>
  </si>
  <si>
    <t>Somerset Academy Boca Middle</t>
  </si>
  <si>
    <t>Florida Virtual at Palm Beach County</t>
  </si>
  <si>
    <t>WPB-112421</t>
  </si>
  <si>
    <t>WPB-112422</t>
  </si>
  <si>
    <t>WPB-112423</t>
  </si>
  <si>
    <t>Renaissance Charter School at Central Palm</t>
  </si>
  <si>
    <t>Revenue Estimate Worksheet for Transitions</t>
  </si>
  <si>
    <t>FTE Aug 14</t>
  </si>
  <si>
    <t>Oct 2014 FTE</t>
  </si>
  <si>
    <t>Feb 2015 FTE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</si>
</sst>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rgb="FF222222"/>
      <name val="Times New Roman"/>
      <family val="1"/>
    </font>
    <font>
      <sz val="16"/>
      <color theme="1"/>
      <name val="Times New Roman"/>
      <family val="1"/>
    </font>
    <font>
      <b/>
      <sz val="11"/>
      <name val="Cambria"/>
      <family val="1"/>
    </font>
    <font>
      <sz val="16"/>
      <color indexed="8"/>
      <name val="Times New Roman"/>
      <family val="1"/>
    </font>
    <font>
      <sz val="10"/>
      <name val="Arial"/>
    </font>
    <font>
      <u/>
      <sz val="10"/>
      <color theme="10"/>
      <name val="Arial"/>
      <family val="2"/>
    </font>
  </fonts>
  <fills count="34">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1">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938">
    <xf numFmtId="0" fontId="0" fillId="0" borderId="0"/>
    <xf numFmtId="164" fontId="5" fillId="0" borderId="1"/>
    <xf numFmtId="0" fontId="5" fillId="0" borderId="0"/>
    <xf numFmtId="43"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0" fontId="41" fillId="0" borderId="0" applyNumberFormat="0" applyFill="0" applyBorder="0" applyAlignment="0" applyProtection="0"/>
    <xf numFmtId="0" fontId="42" fillId="0" borderId="21" applyNumberFormat="0" applyFill="0" applyAlignment="0" applyProtection="0"/>
    <xf numFmtId="0" fontId="43" fillId="0" borderId="22" applyNumberFormat="0" applyFill="0" applyAlignment="0" applyProtection="0"/>
    <xf numFmtId="0" fontId="44" fillId="0" borderId="23" applyNumberFormat="0" applyFill="0" applyAlignment="0" applyProtection="0"/>
    <xf numFmtId="0" fontId="44" fillId="0" borderId="0" applyNumberFormat="0" applyFill="0" applyBorder="0" applyAlignment="0" applyProtection="0"/>
    <xf numFmtId="0" fontId="45" fillId="16" borderId="0" applyNumberFormat="0" applyBorder="0" applyAlignment="0" applyProtection="0"/>
    <xf numFmtId="0" fontId="46" fillId="17" borderId="0" applyNumberFormat="0" applyBorder="0" applyAlignment="0" applyProtection="0"/>
    <xf numFmtId="0" fontId="47" fillId="18" borderId="0" applyNumberFormat="0" applyBorder="0" applyAlignment="0" applyProtection="0"/>
    <xf numFmtId="0" fontId="48" fillId="19" borderId="24" applyNumberFormat="0" applyAlignment="0" applyProtection="0"/>
    <xf numFmtId="0" fontId="49" fillId="20" borderId="25" applyNumberFormat="0" applyAlignment="0" applyProtection="0"/>
    <xf numFmtId="0" fontId="50" fillId="20" borderId="24" applyNumberFormat="0" applyAlignment="0" applyProtection="0"/>
    <xf numFmtId="0" fontId="51" fillId="0" borderId="26" applyNumberFormat="0" applyFill="0" applyAlignment="0" applyProtection="0"/>
    <xf numFmtId="0" fontId="52" fillId="21" borderId="2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8" fillId="0" borderId="28" applyNumberFormat="0" applyFill="0" applyAlignment="0" applyProtection="0"/>
    <xf numFmtId="0" fontId="55" fillId="22"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55" fillId="33"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5"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5" fillId="0" borderId="0"/>
    <xf numFmtId="43" fontId="5"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7" fillId="0" borderId="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43" fontId="5"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43" fontId="65" fillId="0" borderId="0" applyFont="0" applyFill="0" applyBorder="0" applyAlignment="0" applyProtection="0"/>
    <xf numFmtId="0" fontId="66" fillId="0" borderId="0" applyNumberFormat="0" applyFill="0" applyBorder="0" applyAlignment="0" applyProtection="0"/>
  </cellStyleXfs>
  <cellXfs count="451">
    <xf numFmtId="0" fontId="0" fillId="0" borderId="0" xfId="0"/>
    <xf numFmtId="0" fontId="6" fillId="0" borderId="0" xfId="2" applyFont="1"/>
    <xf numFmtId="0" fontId="6" fillId="0" borderId="0" xfId="2" applyFont="1" applyAlignment="1">
      <alignment horizontal="left"/>
    </xf>
    <xf numFmtId="165" fontId="6" fillId="0" borderId="0" xfId="2" applyNumberFormat="1" applyFont="1"/>
    <xf numFmtId="0" fontId="7" fillId="0" borderId="2" xfId="2" applyFont="1" applyBorder="1"/>
    <xf numFmtId="0" fontId="8" fillId="0" borderId="3" xfId="2" applyFont="1" applyBorder="1" applyAlignment="1"/>
    <xf numFmtId="0" fontId="8" fillId="0" borderId="0" xfId="2" applyFont="1" applyBorder="1" applyAlignment="1"/>
    <xf numFmtId="0" fontId="8" fillId="0" borderId="0" xfId="2" applyFont="1" applyAlignment="1"/>
    <xf numFmtId="0" fontId="7" fillId="2" borderId="2" xfId="2" applyFont="1" applyFill="1" applyBorder="1"/>
    <xf numFmtId="0" fontId="6" fillId="2" borderId="0" xfId="2" applyFont="1" applyFill="1"/>
    <xf numFmtId="0" fontId="9" fillId="0" borderId="0" xfId="2" applyFont="1" applyAlignment="1"/>
    <xf numFmtId="0" fontId="9" fillId="0" borderId="0" xfId="2" applyFont="1" applyAlignment="1">
      <alignment horizontal="center"/>
    </xf>
    <xf numFmtId="0" fontId="9" fillId="2" borderId="0" xfId="2" applyFont="1" applyFill="1" applyAlignment="1"/>
    <xf numFmtId="0" fontId="6" fillId="0" borderId="0" xfId="2" applyFont="1" applyAlignment="1">
      <alignment horizontal="left"/>
    </xf>
    <xf numFmtId="0" fontId="6" fillId="0" borderId="0" xfId="2" applyFont="1" applyAlignment="1"/>
    <xf numFmtId="0" fontId="10" fillId="0" borderId="0" xfId="2" applyFont="1" applyAlignment="1"/>
    <xf numFmtId="0" fontId="10" fillId="2" borderId="0" xfId="2" applyFont="1" applyFill="1" applyAlignment="1"/>
    <xf numFmtId="4" fontId="6" fillId="0" borderId="0" xfId="2" applyNumberFormat="1" applyFont="1" applyAlignment="1"/>
    <xf numFmtId="4" fontId="6" fillId="0" borderId="0" xfId="2" quotePrefix="1" applyNumberFormat="1" applyFont="1" applyAlignment="1"/>
    <xf numFmtId="4" fontId="11" fillId="0" borderId="0" xfId="2" applyNumberFormat="1" applyFont="1" applyAlignment="1"/>
    <xf numFmtId="4" fontId="6" fillId="0" borderId="0" xfId="2" applyNumberFormat="1" applyFont="1"/>
    <xf numFmtId="4" fontId="11" fillId="2" borderId="0" xfId="2" applyNumberFormat="1" applyFont="1" applyFill="1" applyAlignment="1"/>
    <xf numFmtId="4" fontId="6" fillId="2" borderId="0" xfId="2" applyNumberFormat="1" applyFont="1" applyFill="1"/>
    <xf numFmtId="4" fontId="6" fillId="0" borderId="0" xfId="2" applyNumberFormat="1" applyFont="1" applyBorder="1"/>
    <xf numFmtId="4" fontId="6" fillId="2" borderId="0" xfId="2" applyNumberFormat="1" applyFont="1" applyFill="1" applyBorder="1"/>
    <xf numFmtId="0" fontId="12" fillId="0" borderId="0" xfId="2" applyFont="1" applyAlignment="1"/>
    <xf numFmtId="7" fontId="5" fillId="0" borderId="0" xfId="2" applyNumberFormat="1" applyBorder="1" applyAlignment="1"/>
    <xf numFmtId="166" fontId="12" fillId="0" borderId="0" xfId="2" applyNumberFormat="1" applyFont="1" applyAlignment="1"/>
    <xf numFmtId="0" fontId="6" fillId="0" borderId="0" xfId="2" applyFont="1" applyAlignment="1">
      <alignment wrapText="1"/>
    </xf>
    <xf numFmtId="17" fontId="13" fillId="0" borderId="0" xfId="2" applyNumberFormat="1" applyFont="1" applyAlignment="1">
      <alignment horizontal="center" wrapText="1"/>
    </xf>
    <xf numFmtId="0" fontId="13" fillId="0" borderId="0" xfId="2" applyFont="1" applyAlignment="1">
      <alignment horizontal="center" wrapText="1"/>
    </xf>
    <xf numFmtId="0" fontId="14" fillId="0" borderId="0" xfId="2" applyFont="1" applyAlignment="1">
      <alignment horizontal="center" wrapText="1"/>
    </xf>
    <xf numFmtId="0" fontId="7" fillId="0" borderId="0" xfId="2" applyFont="1" applyAlignment="1">
      <alignment wrapText="1"/>
    </xf>
    <xf numFmtId="165" fontId="6" fillId="0" borderId="0" xfId="2" applyNumberFormat="1" applyFont="1" applyAlignment="1">
      <alignment horizontal="center" wrapText="1"/>
    </xf>
    <xf numFmtId="165" fontId="6" fillId="0" borderId="0" xfId="2" applyNumberFormat="1" applyFont="1" applyAlignment="1">
      <alignment wrapText="1"/>
    </xf>
    <xf numFmtId="4" fontId="6" fillId="0" borderId="0" xfId="2" applyNumberFormat="1" applyFont="1" applyAlignment="1">
      <alignment horizontal="center" wrapText="1"/>
    </xf>
    <xf numFmtId="167" fontId="6" fillId="0" borderId="0" xfId="5" applyFont="1" applyAlignment="1">
      <alignment horizontal="center" wrapText="1"/>
    </xf>
    <xf numFmtId="4" fontId="6" fillId="2" borderId="0" xfId="2" applyNumberFormat="1" applyFont="1" applyFill="1" applyAlignment="1">
      <alignment horizontal="center" wrapText="1"/>
    </xf>
    <xf numFmtId="167" fontId="6" fillId="2" borderId="0" xfId="5" applyFont="1" applyFill="1" applyAlignment="1">
      <alignment horizontal="center" wrapText="1"/>
    </xf>
    <xf numFmtId="0" fontId="6" fillId="0" borderId="4" xfId="2" quotePrefix="1" applyFont="1" applyBorder="1" applyAlignment="1"/>
    <xf numFmtId="0" fontId="14" fillId="0" borderId="4" xfId="2" quotePrefix="1" applyFont="1" applyBorder="1" applyAlignment="1">
      <alignment horizontal="center"/>
    </xf>
    <xf numFmtId="0" fontId="7" fillId="0" borderId="0" xfId="2" quotePrefix="1" applyFont="1" applyBorder="1" applyAlignment="1"/>
    <xf numFmtId="165" fontId="6" fillId="0" borderId="4" xfId="2" quotePrefix="1" applyNumberFormat="1" applyFont="1" applyBorder="1" applyAlignment="1">
      <alignment horizontal="center"/>
    </xf>
    <xf numFmtId="165" fontId="6" fillId="0" borderId="4" xfId="2" quotePrefix="1" applyNumberFormat="1" applyFont="1" applyBorder="1" applyAlignment="1"/>
    <xf numFmtId="4" fontId="6" fillId="0" borderId="4" xfId="2" quotePrefix="1" applyNumberFormat="1" applyFont="1" applyBorder="1" applyAlignment="1">
      <alignment horizontal="center"/>
    </xf>
    <xf numFmtId="167" fontId="6" fillId="0" borderId="4" xfId="5" quotePrefix="1" applyFont="1" applyBorder="1" applyAlignment="1">
      <alignment horizontal="center"/>
    </xf>
    <xf numFmtId="4" fontId="6" fillId="2" borderId="4" xfId="2" quotePrefix="1" applyNumberFormat="1" applyFont="1" applyFill="1" applyBorder="1" applyAlignment="1">
      <alignment horizontal="center"/>
    </xf>
    <xf numFmtId="167" fontId="6" fillId="2" borderId="4" xfId="5" quotePrefix="1" applyFont="1" applyFill="1" applyBorder="1" applyAlignment="1">
      <alignment horizontal="center"/>
    </xf>
    <xf numFmtId="0" fontId="6" fillId="0" borderId="5" xfId="2" applyFont="1" applyBorder="1" applyAlignment="1"/>
    <xf numFmtId="2" fontId="14" fillId="0" borderId="1" xfId="2" applyNumberFormat="1" applyFont="1" applyBorder="1" applyAlignment="1"/>
    <xf numFmtId="2" fontId="13" fillId="0" borderId="0" xfId="2" applyNumberFormat="1" applyFont="1" applyBorder="1" applyAlignment="1"/>
    <xf numFmtId="165" fontId="6" fillId="0" borderId="5" xfId="2" applyNumberFormat="1" applyFont="1" applyBorder="1" applyAlignment="1"/>
    <xf numFmtId="168" fontId="6" fillId="0" borderId="4" xfId="2" applyNumberFormat="1" applyFont="1" applyBorder="1"/>
    <xf numFmtId="169" fontId="6" fillId="0" borderId="4" xfId="5" applyNumberFormat="1" applyFont="1" applyBorder="1"/>
    <xf numFmtId="0" fontId="6" fillId="0" borderId="0" xfId="2" applyFont="1" applyAlignment="1">
      <alignment horizontal="center"/>
    </xf>
    <xf numFmtId="0" fontId="5" fillId="0" borderId="0" xfId="2" quotePrefix="1"/>
    <xf numFmtId="0" fontId="5" fillId="0" borderId="0" xfId="2"/>
    <xf numFmtId="168" fontId="6" fillId="2" borderId="4" xfId="2" applyNumberFormat="1" applyFont="1" applyFill="1" applyBorder="1"/>
    <xf numFmtId="169" fontId="6" fillId="2" borderId="4" xfId="5" applyNumberFormat="1" applyFont="1" applyFill="1" applyBorder="1"/>
    <xf numFmtId="165" fontId="6" fillId="0" borderId="0" xfId="2" applyNumberFormat="1" applyFont="1" applyAlignment="1"/>
    <xf numFmtId="0" fontId="6" fillId="0" borderId="0" xfId="2" quotePrefix="1" applyFont="1"/>
    <xf numFmtId="169" fontId="6" fillId="0" borderId="1" xfId="5" applyNumberFormat="1" applyFont="1" applyBorder="1"/>
    <xf numFmtId="169" fontId="6" fillId="2" borderId="1" xfId="5" applyNumberFormat="1" applyFont="1" applyFill="1" applyBorder="1"/>
    <xf numFmtId="0" fontId="6" fillId="0" borderId="0" xfId="2" applyFont="1" applyBorder="1" applyAlignment="1"/>
    <xf numFmtId="2" fontId="6" fillId="0" borderId="6" xfId="2" applyNumberFormat="1" applyFont="1" applyBorder="1" applyAlignment="1"/>
    <xf numFmtId="2" fontId="6" fillId="0" borderId="0" xfId="2" applyNumberFormat="1" applyFont="1" applyBorder="1" applyAlignment="1"/>
    <xf numFmtId="2" fontId="6" fillId="0" borderId="7" xfId="2" applyNumberFormat="1" applyFont="1" applyBorder="1" applyAlignment="1"/>
    <xf numFmtId="166" fontId="16" fillId="0" borderId="2" xfId="2" applyNumberFormat="1" applyFont="1" applyBorder="1"/>
    <xf numFmtId="169" fontId="6" fillId="0" borderId="6" xfId="5" applyNumberFormat="1" applyFont="1" applyBorder="1"/>
    <xf numFmtId="0" fontId="6" fillId="0" borderId="0" xfId="2" applyFont="1" applyBorder="1"/>
    <xf numFmtId="166" fontId="16" fillId="2" borderId="2" xfId="2" applyNumberFormat="1" applyFont="1" applyFill="1" applyBorder="1"/>
    <xf numFmtId="169" fontId="6" fillId="2" borderId="6" xfId="5" applyNumberFormat="1" applyFont="1" applyFill="1" applyBorder="1"/>
    <xf numFmtId="2" fontId="14" fillId="0" borderId="1" xfId="2" applyNumberFormat="1" applyFont="1" applyBorder="1" applyAlignment="1">
      <alignment horizontal="center"/>
    </xf>
    <xf numFmtId="2" fontId="7" fillId="0" borderId="0" xfId="2" applyNumberFormat="1" applyFont="1" applyBorder="1" applyAlignment="1"/>
    <xf numFmtId="0" fontId="6" fillId="0" borderId="4" xfId="2" applyFont="1" applyBorder="1" applyAlignment="1">
      <alignment horizontal="center" wrapText="1"/>
    </xf>
    <xf numFmtId="0" fontId="17" fillId="0" borderId="4" xfId="2" applyFont="1" applyBorder="1" applyAlignment="1">
      <alignment horizontal="center" wrapText="1"/>
    </xf>
    <xf numFmtId="0" fontId="6" fillId="2" borderId="4" xfId="2" applyFont="1" applyFill="1" applyBorder="1" applyAlignment="1"/>
    <xf numFmtId="0" fontId="6" fillId="2" borderId="4" xfId="2" applyFont="1" applyFill="1" applyBorder="1" applyAlignment="1">
      <alignment horizontal="center" wrapText="1"/>
    </xf>
    <xf numFmtId="0" fontId="17" fillId="2" borderId="4" xfId="2" applyFont="1" applyFill="1" applyBorder="1" applyAlignment="1">
      <alignment horizontal="center" wrapText="1"/>
    </xf>
    <xf numFmtId="0" fontId="12" fillId="0" borderId="5" xfId="2" applyFont="1" applyBorder="1" applyAlignment="1">
      <alignment horizontal="left" vertical="center" wrapText="1"/>
    </xf>
    <xf numFmtId="4" fontId="13" fillId="0" borderId="0" xfId="2" applyNumberFormat="1" applyFont="1" applyBorder="1" applyAlignment="1">
      <alignment vertical="center" wrapText="1"/>
    </xf>
    <xf numFmtId="0" fontId="6" fillId="0" borderId="5" xfId="2" applyFont="1" applyBorder="1" applyAlignment="1">
      <alignment horizontal="center"/>
    </xf>
    <xf numFmtId="169" fontId="17" fillId="0" borderId="4" xfId="5" applyNumberFormat="1" applyFont="1" applyBorder="1"/>
    <xf numFmtId="169" fontId="6" fillId="0" borderId="4" xfId="2" applyNumberFormat="1" applyFont="1" applyBorder="1"/>
    <xf numFmtId="0" fontId="6" fillId="0" borderId="0" xfId="2" quotePrefix="1" applyFont="1" applyAlignment="1">
      <alignment horizontal="left"/>
    </xf>
    <xf numFmtId="0" fontId="12" fillId="0" borderId="0" xfId="2" applyFont="1" applyBorder="1"/>
    <xf numFmtId="0" fontId="6" fillId="2" borderId="5" xfId="2" applyFont="1" applyFill="1" applyBorder="1" applyAlignment="1">
      <alignment horizontal="center"/>
    </xf>
    <xf numFmtId="0" fontId="6" fillId="2" borderId="0" xfId="2" applyFont="1" applyFill="1" applyAlignment="1">
      <alignment horizontal="center"/>
    </xf>
    <xf numFmtId="169" fontId="17" fillId="2" borderId="4" xfId="5" applyNumberFormat="1" applyFont="1" applyFill="1" applyBorder="1"/>
    <xf numFmtId="169" fontId="6" fillId="2" borderId="4" xfId="2" applyNumberFormat="1" applyFont="1" applyFill="1" applyBorder="1"/>
    <xf numFmtId="0" fontId="12" fillId="0" borderId="0" xfId="2" applyFont="1" applyBorder="1" applyAlignment="1">
      <alignment horizontal="left" vertical="center" wrapText="1"/>
    </xf>
    <xf numFmtId="0" fontId="6" fillId="0" borderId="0" xfId="2" quotePrefix="1" applyFont="1" applyAlignment="1">
      <alignment horizontal="center"/>
    </xf>
    <xf numFmtId="0" fontId="6" fillId="2" borderId="0" xfId="2" quotePrefix="1" applyFont="1" applyFill="1" applyAlignment="1">
      <alignment horizontal="center"/>
    </xf>
    <xf numFmtId="0" fontId="18" fillId="0" borderId="0" xfId="2" applyFont="1"/>
    <xf numFmtId="169" fontId="6" fillId="0" borderId="14" xfId="5" applyNumberFormat="1" applyFont="1" applyBorder="1"/>
    <xf numFmtId="0" fontId="18" fillId="0" borderId="0" xfId="2" applyFont="1" applyBorder="1" applyAlignment="1">
      <alignment horizontal="left"/>
    </xf>
    <xf numFmtId="169" fontId="6" fillId="2" borderId="14" xfId="5" applyNumberFormat="1" applyFont="1" applyFill="1" applyBorder="1"/>
    <xf numFmtId="0" fontId="19" fillId="0" borderId="0" xfId="2" applyFont="1" applyAlignment="1"/>
    <xf numFmtId="0" fontId="19" fillId="0" borderId="0" xfId="2" applyFont="1" applyBorder="1" applyAlignment="1"/>
    <xf numFmtId="0" fontId="6" fillId="2" borderId="0" xfId="2" applyFont="1" applyFill="1" applyBorder="1"/>
    <xf numFmtId="0" fontId="20" fillId="0" borderId="0" xfId="2" applyFont="1" applyAlignment="1"/>
    <xf numFmtId="169" fontId="6" fillId="0" borderId="0" xfId="5" applyNumberFormat="1" applyFont="1" applyBorder="1" applyAlignment="1"/>
    <xf numFmtId="0" fontId="21" fillId="0" borderId="0" xfId="2" applyFont="1" applyAlignment="1"/>
    <xf numFmtId="4" fontId="6" fillId="0" borderId="0" xfId="2" quotePrefix="1" applyNumberFormat="1" applyFont="1" applyBorder="1" applyAlignment="1"/>
    <xf numFmtId="0" fontId="6" fillId="0" borderId="0" xfId="2" applyFont="1" applyAlignment="1">
      <alignment horizontal="right"/>
    </xf>
    <xf numFmtId="0" fontId="22" fillId="0" borderId="0" xfId="2" applyFont="1" applyAlignment="1"/>
    <xf numFmtId="170" fontId="6" fillId="0" borderId="0" xfId="2" applyNumberFormat="1" applyFont="1" applyBorder="1"/>
    <xf numFmtId="0" fontId="6" fillId="2" borderId="0" xfId="2" applyFont="1" applyFill="1" applyAlignment="1">
      <alignment horizontal="right"/>
    </xf>
    <xf numFmtId="0" fontId="23" fillId="0" borderId="0" xfId="2" applyFont="1" applyAlignment="1"/>
    <xf numFmtId="169" fontId="6" fillId="0" borderId="0" xfId="5" applyNumberFormat="1" applyFont="1" applyBorder="1"/>
    <xf numFmtId="169" fontId="6" fillId="2" borderId="0" xfId="5" applyNumberFormat="1" applyFont="1" applyFill="1" applyBorder="1"/>
    <xf numFmtId="169" fontId="6" fillId="0" borderId="4" xfId="2" applyNumberFormat="1" applyFont="1" applyBorder="1" applyAlignment="1">
      <alignment horizontal="left"/>
    </xf>
    <xf numFmtId="169" fontId="6" fillId="2" borderId="4" xfId="2" applyNumberFormat="1" applyFont="1" applyFill="1" applyBorder="1" applyAlignment="1">
      <alignment horizontal="left"/>
    </xf>
    <xf numFmtId="0" fontId="6" fillId="0" borderId="0" xfId="2" applyFont="1" applyBorder="1" applyAlignment="1">
      <alignment horizontal="left"/>
    </xf>
    <xf numFmtId="0" fontId="6" fillId="2" borderId="0" xfId="2" applyFont="1" applyFill="1" applyBorder="1" applyAlignment="1">
      <alignment horizontal="left"/>
    </xf>
    <xf numFmtId="0" fontId="24" fillId="0" borderId="0" xfId="2" applyFont="1" applyAlignment="1">
      <alignment horizontal="center"/>
    </xf>
    <xf numFmtId="0" fontId="24" fillId="0" borderId="0" xfId="2" applyFont="1" applyAlignment="1"/>
    <xf numFmtId="4" fontId="24" fillId="0" borderId="0" xfId="2" applyNumberFormat="1" applyFont="1" applyAlignment="1">
      <alignment horizontal="center"/>
    </xf>
    <xf numFmtId="4" fontId="24" fillId="0" borderId="0" xfId="2" applyNumberFormat="1" applyFont="1" applyAlignment="1"/>
    <xf numFmtId="167" fontId="6" fillId="0" borderId="0" xfId="5" applyFont="1"/>
    <xf numFmtId="0" fontId="24" fillId="2" borderId="0" xfId="2" applyFont="1" applyFill="1" applyAlignment="1">
      <alignment horizontal="center"/>
    </xf>
    <xf numFmtId="0" fontId="24" fillId="2" borderId="0" xfId="2" applyFont="1" applyFill="1" applyAlignment="1">
      <alignment horizontal="center"/>
    </xf>
    <xf numFmtId="167" fontId="6" fillId="2" borderId="0" xfId="5" applyFont="1" applyFill="1"/>
    <xf numFmtId="166" fontId="6" fillId="0" borderId="0" xfId="2" applyNumberFormat="1" applyFont="1" applyBorder="1" applyAlignment="1">
      <alignment horizontal="center"/>
    </xf>
    <xf numFmtId="166" fontId="25" fillId="0" borderId="0" xfId="2" applyNumberFormat="1" applyFont="1" applyBorder="1" applyAlignment="1"/>
    <xf numFmtId="43" fontId="6" fillId="0" borderId="0" xfId="3" applyFont="1" applyAlignment="1">
      <alignment horizontal="center"/>
    </xf>
    <xf numFmtId="0" fontId="6" fillId="0" borderId="0" xfId="2" quotePrefix="1" applyFont="1" applyBorder="1" applyAlignment="1">
      <alignment horizontal="center"/>
    </xf>
    <xf numFmtId="3" fontId="6" fillId="0" borderId="4" xfId="2" applyNumberFormat="1" applyFont="1" applyBorder="1"/>
    <xf numFmtId="166" fontId="6" fillId="0" borderId="0" xfId="2" applyNumberFormat="1" applyFont="1" applyBorder="1"/>
    <xf numFmtId="166" fontId="6" fillId="2" borderId="0" xfId="2" applyNumberFormat="1" applyFont="1" applyFill="1" applyBorder="1" applyAlignment="1">
      <alignment horizontal="center"/>
    </xf>
    <xf numFmtId="2" fontId="6" fillId="2" borderId="0" xfId="2" applyNumberFormat="1" applyFont="1" applyFill="1" applyAlignment="1">
      <alignment horizontal="center"/>
    </xf>
    <xf numFmtId="0" fontId="6" fillId="2" borderId="0" xfId="2" quotePrefix="1" applyFont="1" applyFill="1" applyBorder="1" applyAlignment="1">
      <alignment horizontal="center"/>
    </xf>
    <xf numFmtId="3" fontId="6" fillId="2" borderId="4" xfId="2" applyNumberFormat="1" applyFont="1" applyFill="1" applyBorder="1"/>
    <xf numFmtId="166" fontId="6" fillId="2" borderId="0" xfId="2" applyNumberFormat="1" applyFont="1" applyFill="1" applyBorder="1"/>
    <xf numFmtId="16" fontId="6" fillId="0" borderId="0" xfId="2" quotePrefix="1" applyNumberFormat="1" applyFont="1" applyAlignment="1">
      <alignment horizontal="right"/>
    </xf>
    <xf numFmtId="16" fontId="6" fillId="2" borderId="0" xfId="2" quotePrefix="1" applyNumberFormat="1" applyFont="1" applyFill="1" applyAlignment="1">
      <alignment horizontal="right"/>
    </xf>
    <xf numFmtId="0" fontId="6" fillId="2" borderId="0" xfId="2" applyFont="1" applyFill="1" applyBorder="1" applyAlignment="1"/>
    <xf numFmtId="0" fontId="6" fillId="0" borderId="0" xfId="2" quotePrefix="1" applyFont="1" applyAlignment="1">
      <alignment horizontal="right"/>
    </xf>
    <xf numFmtId="166" fontId="6" fillId="0" borderId="15" xfId="2" applyNumberFormat="1" applyFont="1" applyBorder="1" applyAlignment="1">
      <alignment horizontal="center"/>
    </xf>
    <xf numFmtId="0" fontId="15" fillId="0" borderId="0" xfId="2" applyFont="1" applyBorder="1"/>
    <xf numFmtId="2" fontId="6" fillId="0" borderId="0" xfId="2" applyNumberFormat="1" applyFont="1" applyBorder="1"/>
    <xf numFmtId="170" fontId="6" fillId="0" borderId="0" xfId="6" applyFont="1" applyBorder="1"/>
    <xf numFmtId="0" fontId="6" fillId="2" borderId="0" xfId="2" quotePrefix="1" applyFont="1" applyFill="1" applyAlignment="1">
      <alignment horizontal="right"/>
    </xf>
    <xf numFmtId="166" fontId="6" fillId="2" borderId="15" xfId="2" applyNumberFormat="1" applyFont="1" applyFill="1" applyBorder="1" applyAlignment="1">
      <alignment horizontal="center"/>
    </xf>
    <xf numFmtId="170" fontId="6" fillId="0" borderId="0" xfId="6" applyFont="1" applyBorder="1" applyAlignment="1">
      <alignment horizontal="right"/>
    </xf>
    <xf numFmtId="166" fontId="16" fillId="0" borderId="2" xfId="2" applyNumberFormat="1" applyFont="1" applyBorder="1" applyAlignment="1">
      <alignment horizontal="center"/>
    </xf>
    <xf numFmtId="166" fontId="16" fillId="0" borderId="3" xfId="2" applyNumberFormat="1" applyFont="1" applyBorder="1" applyAlignment="1">
      <alignment horizontal="center"/>
    </xf>
    <xf numFmtId="166" fontId="16" fillId="0" borderId="0" xfId="2" applyNumberFormat="1" applyFont="1" applyBorder="1" applyAlignment="1">
      <alignment horizontal="center"/>
    </xf>
    <xf numFmtId="170" fontId="6" fillId="0" borderId="0" xfId="6" applyFont="1" applyBorder="1" applyAlignment="1"/>
    <xf numFmtId="170" fontId="6" fillId="2" borderId="0" xfId="6" applyFont="1" applyFill="1" applyBorder="1" applyAlignment="1">
      <alignment horizontal="right"/>
    </xf>
    <xf numFmtId="166" fontId="16" fillId="2" borderId="2" xfId="2" applyNumberFormat="1" applyFont="1" applyFill="1" applyBorder="1" applyAlignment="1">
      <alignment horizontal="center"/>
    </xf>
    <xf numFmtId="170" fontId="6" fillId="2" borderId="0" xfId="6" applyFont="1" applyFill="1" applyBorder="1" applyAlignment="1">
      <alignment horizontal="right"/>
    </xf>
    <xf numFmtId="2" fontId="27" fillId="0" borderId="0" xfId="2" applyNumberFormat="1" applyFont="1" applyBorder="1" applyAlignment="1"/>
    <xf numFmtId="0" fontId="15" fillId="2" borderId="0" xfId="2" applyFont="1" applyFill="1" applyBorder="1"/>
    <xf numFmtId="168" fontId="19" fillId="0" borderId="4" xfId="2" applyNumberFormat="1" applyFont="1" applyBorder="1" applyAlignment="1">
      <alignment horizontal="center"/>
    </xf>
    <xf numFmtId="4" fontId="24" fillId="0" borderId="0" xfId="2" applyNumberFormat="1" applyFont="1" applyBorder="1" applyAlignment="1"/>
    <xf numFmtId="168" fontId="19" fillId="2" borderId="4" xfId="2" applyNumberFormat="1" applyFont="1" applyFill="1" applyBorder="1" applyAlignment="1">
      <alignment horizontal="center"/>
    </xf>
    <xf numFmtId="171" fontId="6" fillId="0" borderId="0" xfId="2" applyNumberFormat="1" applyFont="1" applyAlignment="1"/>
    <xf numFmtId="4" fontId="19" fillId="0" borderId="4" xfId="2" applyNumberFormat="1" applyFont="1" applyBorder="1" applyAlignment="1">
      <alignment horizontal="center"/>
    </xf>
    <xf numFmtId="4" fontId="19" fillId="2" borderId="4" xfId="2" applyNumberFormat="1" applyFont="1" applyFill="1" applyBorder="1" applyAlignment="1">
      <alignment horizontal="center"/>
    </xf>
    <xf numFmtId="4" fontId="6" fillId="0" borderId="0" xfId="2" applyNumberFormat="1" applyFont="1" applyBorder="1" applyAlignment="1"/>
    <xf numFmtId="0" fontId="6" fillId="2" borderId="0" xfId="2" applyFont="1" applyFill="1" applyBorder="1" applyAlignment="1">
      <alignment horizontal="center"/>
    </xf>
    <xf numFmtId="171" fontId="6" fillId="2" borderId="0" xfId="2" applyNumberFormat="1" applyFont="1" applyFill="1"/>
    <xf numFmtId="4" fontId="6" fillId="0" borderId="0" xfId="2" quotePrefix="1" applyNumberFormat="1" applyFont="1" applyAlignment="1">
      <alignment horizontal="center"/>
    </xf>
    <xf numFmtId="0" fontId="6" fillId="0" borderId="0" xfId="2" applyFont="1" applyBorder="1" applyAlignment="1">
      <alignment horizontal="center"/>
    </xf>
    <xf numFmtId="171" fontId="6" fillId="0" borderId="0" xfId="2" applyNumberFormat="1" applyFont="1"/>
    <xf numFmtId="0" fontId="6" fillId="0" borderId="0" xfId="2" applyFont="1" applyBorder="1" applyAlignment="1">
      <alignment horizontal="left" indent="1"/>
    </xf>
    <xf numFmtId="3" fontId="6" fillId="0" borderId="0" xfId="2" applyNumberFormat="1" applyFont="1" applyBorder="1" applyAlignment="1"/>
    <xf numFmtId="4" fontId="12" fillId="0" borderId="0" xfId="2" applyNumberFormat="1" applyFont="1"/>
    <xf numFmtId="0" fontId="6" fillId="0" borderId="0" xfId="2" applyFont="1" applyAlignment="1">
      <alignment horizontal="left" indent="1"/>
    </xf>
    <xf numFmtId="0" fontId="13" fillId="2" borderId="0" xfId="2" applyFont="1" applyFill="1" applyAlignment="1">
      <alignment horizontal="left"/>
    </xf>
    <xf numFmtId="4" fontId="6" fillId="2" borderId="0" xfId="2" quotePrefix="1" applyNumberFormat="1" applyFont="1" applyFill="1" applyAlignment="1">
      <alignment horizontal="left" indent="2"/>
    </xf>
    <xf numFmtId="4" fontId="13" fillId="2" borderId="4" xfId="2" quotePrefix="1" applyNumberFormat="1" applyFont="1" applyFill="1" applyBorder="1" applyAlignment="1">
      <alignment horizontal="left" indent="2"/>
    </xf>
    <xf numFmtId="4" fontId="6" fillId="2" borderId="0" xfId="2" applyNumberFormat="1" applyFont="1" applyFill="1" applyAlignment="1">
      <alignment horizontal="left" indent="2"/>
    </xf>
    <xf numFmtId="3" fontId="6" fillId="2" borderId="0" xfId="2" quotePrefix="1" applyNumberFormat="1" applyFont="1" applyFill="1" applyAlignment="1">
      <alignment horizontal="left" indent="5"/>
    </xf>
    <xf numFmtId="0" fontId="13" fillId="0" borderId="0" xfId="2" applyFont="1" applyAlignment="1"/>
    <xf numFmtId="0" fontId="13" fillId="0" borderId="0" xfId="2" applyFont="1" applyAlignment="1">
      <alignment horizontal="left"/>
    </xf>
    <xf numFmtId="0" fontId="28" fillId="0" borderId="0" xfId="2" applyFont="1"/>
    <xf numFmtId="4" fontId="6" fillId="0" borderId="0" xfId="2" quotePrefix="1" applyNumberFormat="1" applyFont="1" applyAlignment="1">
      <alignment horizontal="left" indent="2"/>
    </xf>
    <xf numFmtId="4" fontId="14" fillId="0" borderId="4" xfId="2" quotePrefix="1" applyNumberFormat="1" applyFont="1" applyBorder="1" applyAlignment="1">
      <alignment horizontal="right" indent="2"/>
    </xf>
    <xf numFmtId="4" fontId="6" fillId="0" borderId="0" xfId="2" applyNumberFormat="1" applyFont="1" applyAlignment="1">
      <alignment horizontal="center"/>
    </xf>
    <xf numFmtId="3" fontId="6" fillId="0" borderId="0" xfId="2" quotePrefix="1" applyNumberFormat="1" applyFont="1" applyAlignment="1">
      <alignment horizontal="left" indent="5"/>
    </xf>
    <xf numFmtId="4" fontId="6" fillId="2" borderId="0" xfId="2" quotePrefix="1" applyNumberFormat="1" applyFont="1" applyFill="1" applyBorder="1" applyAlignment="1">
      <alignment horizontal="left" indent="2"/>
    </xf>
    <xf numFmtId="4" fontId="13" fillId="2" borderId="1" xfId="2" quotePrefix="1" applyNumberFormat="1" applyFont="1" applyFill="1" applyBorder="1" applyAlignment="1">
      <alignment horizontal="left" indent="2"/>
    </xf>
    <xf numFmtId="3" fontId="6" fillId="2" borderId="0" xfId="2" quotePrefix="1" applyNumberFormat="1" applyFont="1" applyFill="1" applyAlignment="1">
      <alignment horizontal="left" indent="4"/>
    </xf>
    <xf numFmtId="3" fontId="6" fillId="0" borderId="0" xfId="2" quotePrefix="1" applyNumberFormat="1" applyFont="1" applyAlignment="1">
      <alignment horizontal="left" indent="4"/>
    </xf>
    <xf numFmtId="38" fontId="6" fillId="0" borderId="4" xfId="2" applyNumberFormat="1" applyFont="1" applyBorder="1"/>
    <xf numFmtId="38" fontId="6" fillId="0" borderId="1" xfId="2" applyNumberFormat="1" applyFont="1" applyBorder="1"/>
    <xf numFmtId="0" fontId="6" fillId="2" borderId="0" xfId="2" applyFont="1" applyFill="1" applyAlignment="1"/>
    <xf numFmtId="165" fontId="6" fillId="0" borderId="0" xfId="2" applyNumberFormat="1" applyFont="1" applyFill="1"/>
    <xf numFmtId="0" fontId="6" fillId="2" borderId="1" xfId="2" applyFont="1" applyFill="1" applyBorder="1"/>
    <xf numFmtId="3" fontId="6" fillId="0" borderId="0" xfId="2" quotePrefix="1" applyNumberFormat="1" applyFont="1" applyAlignment="1">
      <alignment horizontal="center"/>
    </xf>
    <xf numFmtId="3" fontId="6" fillId="0" borderId="0" xfId="2" quotePrefix="1" applyNumberFormat="1" applyFont="1" applyAlignment="1"/>
    <xf numFmtId="0" fontId="6" fillId="0" borderId="1" xfId="2" applyFont="1" applyBorder="1"/>
    <xf numFmtId="165" fontId="6" fillId="0" borderId="0" xfId="2" quotePrefix="1" applyNumberFormat="1" applyFont="1" applyFill="1"/>
    <xf numFmtId="0" fontId="6" fillId="0" borderId="0" xfId="2" applyFont="1" applyFill="1"/>
    <xf numFmtId="169" fontId="6" fillId="2" borderId="16" xfId="2" applyNumberFormat="1" applyFont="1" applyFill="1" applyBorder="1"/>
    <xf numFmtId="169" fontId="6" fillId="2" borderId="0" xfId="2" applyNumberFormat="1" applyFont="1" applyFill="1"/>
    <xf numFmtId="169" fontId="6" fillId="0" borderId="16" xfId="2" applyNumberFormat="1" applyFont="1" applyBorder="1"/>
    <xf numFmtId="169" fontId="6" fillId="0" borderId="0" xfId="2" applyNumberFormat="1" applyFont="1" applyFill="1"/>
    <xf numFmtId="43" fontId="6" fillId="0" borderId="0" xfId="3" quotePrefix="1" applyFont="1" applyFill="1"/>
    <xf numFmtId="169" fontId="6" fillId="2" borderId="0" xfId="2" applyNumberFormat="1" applyFont="1" applyFill="1" applyBorder="1"/>
    <xf numFmtId="169" fontId="6" fillId="0" borderId="0" xfId="2" applyNumberFormat="1" applyFont="1" applyBorder="1"/>
    <xf numFmtId="0" fontId="29" fillId="2" borderId="0" xfId="2" applyFont="1" applyFill="1"/>
    <xf numFmtId="0" fontId="13" fillId="0" borderId="4" xfId="2" applyFont="1" applyBorder="1" applyAlignment="1"/>
    <xf numFmtId="0" fontId="29" fillId="2" borderId="0" xfId="2" applyFont="1" applyFill="1" applyAlignment="1"/>
    <xf numFmtId="0" fontId="28" fillId="0" borderId="0" xfId="2" applyFont="1" applyBorder="1" applyAlignment="1">
      <alignment horizontal="center"/>
    </xf>
    <xf numFmtId="169" fontId="28" fillId="0" borderId="0" xfId="2" applyNumberFormat="1" applyFont="1" applyBorder="1"/>
    <xf numFmtId="0" fontId="13" fillId="0" borderId="0" xfId="2" applyFont="1" applyBorder="1" applyAlignment="1"/>
    <xf numFmtId="0" fontId="29" fillId="0" borderId="0" xfId="2" applyFont="1" applyFill="1"/>
    <xf numFmtId="0" fontId="5" fillId="0" borderId="0" xfId="2" applyFont="1" applyFill="1"/>
    <xf numFmtId="0" fontId="29" fillId="0" borderId="0" xfId="2" applyFont="1" applyFill="1" applyAlignment="1">
      <alignment vertical="top"/>
    </xf>
    <xf numFmtId="169" fontId="6" fillId="0" borderId="17" xfId="2" applyNumberFormat="1" applyFont="1" applyBorder="1"/>
    <xf numFmtId="0" fontId="29" fillId="0" borderId="0" xfId="2" applyFont="1" applyAlignment="1">
      <alignment vertical="top"/>
    </xf>
    <xf numFmtId="0" fontId="29" fillId="0" borderId="0" xfId="2" applyFont="1"/>
    <xf numFmtId="165" fontId="29" fillId="0" borderId="0" xfId="2" applyNumberFormat="1" applyFont="1"/>
    <xf numFmtId="4" fontId="6" fillId="0" borderId="0" xfId="2" applyNumberFormat="1" applyFont="1" applyAlignment="1">
      <alignment horizontal="left"/>
    </xf>
    <xf numFmtId="172" fontId="6" fillId="0" borderId="16" xfId="3" applyNumberFormat="1" applyFont="1" applyBorder="1"/>
    <xf numFmtId="0" fontId="30" fillId="0" borderId="0" xfId="2" applyFont="1" applyAlignment="1">
      <alignment vertical="top"/>
    </xf>
    <xf numFmtId="0" fontId="29" fillId="0" borderId="0" xfId="2" applyFont="1" applyAlignment="1"/>
    <xf numFmtId="173" fontId="6" fillId="0" borderId="0" xfId="2" applyNumberFormat="1" applyFont="1" applyAlignment="1">
      <alignment horizontal="left"/>
    </xf>
    <xf numFmtId="40" fontId="12" fillId="0" borderId="0" xfId="2" applyNumberFormat="1" applyFont="1" applyFill="1"/>
    <xf numFmtId="40" fontId="12" fillId="0" borderId="0" xfId="2" applyNumberFormat="1" applyFont="1" applyFill="1" applyBorder="1" applyAlignment="1"/>
    <xf numFmtId="0" fontId="30" fillId="0" borderId="0" xfId="2" applyFont="1" applyAlignment="1"/>
    <xf numFmtId="40" fontId="6" fillId="0" borderId="0" xfId="2" applyNumberFormat="1" applyFont="1" applyFill="1" applyBorder="1"/>
    <xf numFmtId="40" fontId="12" fillId="0" borderId="0" xfId="2" quotePrefix="1" applyNumberFormat="1" applyFont="1" applyFill="1" applyBorder="1"/>
    <xf numFmtId="0" fontId="20" fillId="0" borderId="0" xfId="2" applyFont="1"/>
    <xf numFmtId="40" fontId="12" fillId="0" borderId="0" xfId="2" applyNumberFormat="1" applyFont="1" applyFill="1" applyBorder="1"/>
    <xf numFmtId="174" fontId="12" fillId="0" borderId="0" xfId="2" applyNumberFormat="1" applyFont="1" applyFill="1" applyBorder="1"/>
    <xf numFmtId="37" fontId="5" fillId="0" borderId="0" xfId="2" applyNumberFormat="1"/>
    <xf numFmtId="175" fontId="31" fillId="0" borderId="0" xfId="2" applyNumberFormat="1" applyFont="1" applyFill="1" applyBorder="1"/>
    <xf numFmtId="41" fontId="32" fillId="0" borderId="0" xfId="3" applyNumberFormat="1" applyFont="1" applyFill="1"/>
    <xf numFmtId="41" fontId="0" fillId="0" borderId="0" xfId="3" applyNumberFormat="1" applyFont="1"/>
    <xf numFmtId="172" fontId="0" fillId="0" borderId="0" xfId="3" applyNumberFormat="1" applyFont="1"/>
    <xf numFmtId="175" fontId="31" fillId="0" borderId="0" xfId="2" quotePrefix="1" applyNumberFormat="1" applyFont="1" applyFill="1" applyBorder="1"/>
    <xf numFmtId="172" fontId="31" fillId="0" borderId="0" xfId="3" applyNumberFormat="1" applyFont="1" applyFill="1" applyBorder="1"/>
    <xf numFmtId="172" fontId="0" fillId="0" borderId="0" xfId="3" applyNumberFormat="1" applyFont="1" applyFill="1"/>
    <xf numFmtId="176" fontId="31" fillId="0" borderId="0" xfId="2" applyNumberFormat="1" applyFont="1" applyFill="1" applyBorder="1"/>
    <xf numFmtId="177" fontId="31" fillId="0" borderId="0" xfId="2" applyNumberFormat="1" applyFont="1" applyFill="1" applyBorder="1"/>
    <xf numFmtId="43" fontId="0" fillId="0" borderId="0" xfId="3" applyFont="1"/>
    <xf numFmtId="0" fontId="6" fillId="0" borderId="0" xfId="2" applyFont="1" applyAlignment="1">
      <alignment horizontal="left"/>
    </xf>
    <xf numFmtId="0" fontId="6" fillId="2" borderId="0" xfId="2" applyFont="1" applyFill="1" applyBorder="1" applyAlignment="1">
      <alignment horizontal="left"/>
    </xf>
    <xf numFmtId="170" fontId="6" fillId="2" borderId="0" xfId="6" applyFont="1" applyFill="1" applyBorder="1" applyAlignment="1">
      <alignment horizontal="right"/>
    </xf>
    <xf numFmtId="0" fontId="24" fillId="2" borderId="0" xfId="2" applyFont="1" applyFill="1" applyAlignment="1">
      <alignment horizontal="center"/>
    </xf>
    <xf numFmtId="0" fontId="6" fillId="2" borderId="0" xfId="2" applyFont="1" applyFill="1" applyAlignment="1">
      <alignment horizontal="right"/>
    </xf>
    <xf numFmtId="0" fontId="6" fillId="2" borderId="0" xfId="2" applyFont="1" applyFill="1" applyBorder="1" applyAlignment="1">
      <alignment horizontal="center"/>
    </xf>
    <xf numFmtId="0" fontId="6" fillId="2" borderId="0" xfId="2" applyFont="1" applyFill="1" applyAlignment="1">
      <alignment horizontal="center"/>
    </xf>
    <xf numFmtId="4" fontId="6" fillId="2" borderId="0" xfId="2" applyNumberFormat="1" applyFont="1" applyFill="1" applyAlignment="1">
      <alignment horizontal="left" indent="2"/>
    </xf>
    <xf numFmtId="2" fontId="14" fillId="0" borderId="14" xfId="2" applyNumberFormat="1" applyFont="1" applyBorder="1" applyAlignment="1"/>
    <xf numFmtId="44" fontId="4" fillId="0" borderId="17" xfId="8" applyNumberFormat="1" applyBorder="1"/>
    <xf numFmtId="0" fontId="3" fillId="0" borderId="0" xfId="790"/>
    <xf numFmtId="0" fontId="39" fillId="0" borderId="19" xfId="790" applyFont="1" applyBorder="1" applyAlignment="1">
      <alignment horizontal="right"/>
    </xf>
    <xf numFmtId="0" fontId="40" fillId="0" borderId="20" xfId="790" applyFont="1" applyFill="1" applyBorder="1"/>
    <xf numFmtId="0" fontId="9" fillId="0" borderId="0" xfId="790" applyFont="1" applyAlignment="1"/>
    <xf numFmtId="0" fontId="6" fillId="0" borderId="0" xfId="790" applyFont="1" applyAlignment="1"/>
    <xf numFmtId="0" fontId="38" fillId="0" borderId="0" xfId="790" applyFont="1" applyBorder="1" applyAlignment="1"/>
    <xf numFmtId="0" fontId="40" fillId="0" borderId="4" xfId="790" applyFont="1" applyFill="1" applyBorder="1" applyAlignment="1">
      <alignment horizontal="center"/>
    </xf>
    <xf numFmtId="0" fontId="38" fillId="0" borderId="19" xfId="790" applyFont="1" applyBorder="1"/>
    <xf numFmtId="0" fontId="38" fillId="0" borderId="20" xfId="790" applyFont="1" applyBorder="1" applyAlignment="1">
      <alignment horizontal="center"/>
    </xf>
    <xf numFmtId="0" fontId="38" fillId="0" borderId="10" xfId="790" applyFont="1" applyBorder="1"/>
    <xf numFmtId="178" fontId="38" fillId="0" borderId="11" xfId="791" applyNumberFormat="1" applyFont="1" applyFill="1" applyBorder="1"/>
    <xf numFmtId="178" fontId="38" fillId="0" borderId="0" xfId="791" applyNumberFormat="1" applyFont="1" applyFill="1" applyBorder="1"/>
    <xf numFmtId="0" fontId="3" fillId="0" borderId="10" xfId="790" applyBorder="1"/>
    <xf numFmtId="0" fontId="38" fillId="0" borderId="5" xfId="790" applyFont="1" applyBorder="1"/>
    <xf numFmtId="178" fontId="38" fillId="0" borderId="1" xfId="791" applyNumberFormat="1" applyFont="1" applyBorder="1"/>
    <xf numFmtId="0" fontId="38" fillId="0" borderId="0" xfId="790" applyFont="1" applyBorder="1"/>
    <xf numFmtId="44" fontId="38" fillId="0" borderId="0" xfId="791" applyNumberFormat="1" applyFont="1" applyBorder="1"/>
    <xf numFmtId="44" fontId="38" fillId="0" borderId="0" xfId="791" applyFont="1" applyBorder="1"/>
    <xf numFmtId="44" fontId="38" fillId="0" borderId="16" xfId="791" applyFont="1" applyBorder="1"/>
    <xf numFmtId="44" fontId="3" fillId="0" borderId="0" xfId="790" applyNumberFormat="1"/>
    <xf numFmtId="0" fontId="38" fillId="0" borderId="0" xfId="790" applyFont="1" applyFill="1" applyBorder="1"/>
    <xf numFmtId="43" fontId="40" fillId="0" borderId="4" xfId="792" applyFont="1" applyBorder="1"/>
    <xf numFmtId="9" fontId="0" fillId="0" borderId="4" xfId="793" applyFont="1" applyBorder="1"/>
    <xf numFmtId="43" fontId="0" fillId="0" borderId="4" xfId="792" applyFont="1" applyBorder="1"/>
    <xf numFmtId="44" fontId="3" fillId="0" borderId="4" xfId="790" applyNumberFormat="1" applyBorder="1"/>
    <xf numFmtId="0" fontId="38" fillId="0" borderId="0" xfId="790" applyFont="1"/>
    <xf numFmtId="9" fontId="6" fillId="0" borderId="0" xfId="794" applyFont="1"/>
    <xf numFmtId="179" fontId="56" fillId="0" borderId="0" xfId="2" applyNumberFormat="1" applyFont="1" applyFill="1"/>
    <xf numFmtId="0" fontId="58" fillId="0" borderId="0" xfId="0" applyFont="1" applyFill="1"/>
    <xf numFmtId="0" fontId="58" fillId="0" borderId="30" xfId="0" quotePrefix="1" applyFont="1" applyFill="1" applyBorder="1" applyAlignment="1">
      <alignment horizontal="center"/>
    </xf>
    <xf numFmtId="0" fontId="58" fillId="0" borderId="29" xfId="0" applyFont="1" applyFill="1" applyBorder="1" applyAlignment="1">
      <alignment horizontal="center"/>
    </xf>
    <xf numFmtId="0" fontId="58" fillId="0" borderId="0" xfId="0" applyFont="1" applyFill="1" applyBorder="1" applyAlignment="1">
      <alignment horizontal="center"/>
    </xf>
    <xf numFmtId="0" fontId="58" fillId="0" borderId="0" xfId="0" applyFont="1"/>
    <xf numFmtId="0" fontId="6" fillId="0" borderId="0" xfId="0" applyFont="1"/>
    <xf numFmtId="165" fontId="6" fillId="0" borderId="0" xfId="0" applyNumberFormat="1" applyFont="1"/>
    <xf numFmtId="4" fontId="6" fillId="0" borderId="0" xfId="0" applyNumberFormat="1" applyFont="1"/>
    <xf numFmtId="169" fontId="6" fillId="0" borderId="0" xfId="0" applyNumberFormat="1" applyFont="1"/>
    <xf numFmtId="0" fontId="6" fillId="0" borderId="0" xfId="0" applyFont="1" applyAlignment="1">
      <alignment horizontal="left"/>
    </xf>
    <xf numFmtId="0" fontId="29" fillId="0" borderId="0" xfId="0" applyFont="1"/>
    <xf numFmtId="165" fontId="29" fillId="0" borderId="0" xfId="0" applyNumberFormat="1" applyFont="1"/>
    <xf numFmtId="4" fontId="29" fillId="0" borderId="0" xfId="0" applyNumberFormat="1" applyFont="1"/>
    <xf numFmtId="169" fontId="29" fillId="0" borderId="0" xfId="0" applyNumberFormat="1" applyFont="1"/>
    <xf numFmtId="4" fontId="29" fillId="0" borderId="0" xfId="0" quotePrefix="1" applyNumberFormat="1" applyFont="1" applyAlignment="1">
      <alignment horizontal="center"/>
    </xf>
    <xf numFmtId="0" fontId="5" fillId="0" borderId="0" xfId="0" applyFont="1"/>
    <xf numFmtId="0" fontId="29" fillId="0" borderId="0" xfId="0" applyFont="1" applyFill="1"/>
    <xf numFmtId="173" fontId="6" fillId="0" borderId="0" xfId="0" applyNumberFormat="1" applyFont="1" applyAlignment="1">
      <alignment horizontal="left"/>
    </xf>
    <xf numFmtId="0" fontId="20" fillId="0" borderId="0" xfId="0" applyFont="1"/>
    <xf numFmtId="4" fontId="20" fillId="0" borderId="0" xfId="0" applyNumberFormat="1" applyFont="1"/>
    <xf numFmtId="0" fontId="60" fillId="0" borderId="0" xfId="2" applyFont="1"/>
    <xf numFmtId="0" fontId="57" fillId="0" borderId="0" xfId="2" applyFont="1"/>
    <xf numFmtId="0" fontId="58" fillId="0" borderId="0" xfId="0" applyFont="1" applyAlignment="1">
      <alignment horizontal="center"/>
    </xf>
    <xf numFmtId="0" fontId="9" fillId="0" borderId="29" xfId="0" applyFont="1" applyFill="1" applyBorder="1" applyAlignment="1">
      <alignment horizontal="center"/>
    </xf>
    <xf numFmtId="0" fontId="9" fillId="0" borderId="29" xfId="0" applyFont="1" applyFill="1" applyBorder="1" applyAlignment="1">
      <alignment horizontal="center" wrapText="1"/>
    </xf>
    <xf numFmtId="0" fontId="58" fillId="0" borderId="0" xfId="0" applyFont="1" applyFill="1" applyBorder="1"/>
    <xf numFmtId="0" fontId="61" fillId="0" borderId="0" xfId="0" applyFont="1" applyFill="1" applyBorder="1" applyAlignment="1">
      <alignment vertical="top" wrapText="1"/>
    </xf>
    <xf numFmtId="1" fontId="58" fillId="0" borderId="29" xfId="3" quotePrefix="1" applyNumberFormat="1" applyFont="1" applyBorder="1" applyAlignment="1">
      <alignment horizontal="center"/>
    </xf>
    <xf numFmtId="1" fontId="58" fillId="0" borderId="29" xfId="3" applyNumberFormat="1" applyFont="1" applyBorder="1" applyAlignment="1">
      <alignment horizontal="center"/>
    </xf>
    <xf numFmtId="0" fontId="58" fillId="0" borderId="0" xfId="0" applyFont="1" applyFill="1" applyBorder="1" applyAlignment="1">
      <alignment horizontal="left" vertical="top" wrapText="1"/>
    </xf>
    <xf numFmtId="1" fontId="62" fillId="0" borderId="29" xfId="2" applyNumberFormat="1" applyFont="1" applyFill="1" applyBorder="1" applyAlignment="1">
      <alignment horizontal="center"/>
    </xf>
    <xf numFmtId="1" fontId="58" fillId="0" borderId="0" xfId="0" applyNumberFormat="1" applyFont="1" applyFill="1" applyAlignment="1">
      <alignment horizontal="center"/>
    </xf>
    <xf numFmtId="1" fontId="9" fillId="0" borderId="29" xfId="0" applyNumberFormat="1" applyFont="1" applyFill="1" applyBorder="1" applyAlignment="1">
      <alignment horizontal="center"/>
    </xf>
    <xf numFmtId="1" fontId="58" fillId="0" borderId="0" xfId="0" applyNumberFormat="1" applyFont="1" applyAlignment="1">
      <alignment horizontal="center"/>
    </xf>
    <xf numFmtId="0" fontId="58" fillId="0" borderId="0" xfId="0" applyFont="1" applyFill="1" applyBorder="1" applyAlignment="1">
      <alignment vertical="top"/>
    </xf>
    <xf numFmtId="43" fontId="58" fillId="0" borderId="0" xfId="0" applyNumberFormat="1" applyFont="1" applyFill="1"/>
    <xf numFmtId="0" fontId="58" fillId="0" borderId="0" xfId="0" applyFont="1" applyAlignment="1">
      <alignment horizontal="left"/>
    </xf>
    <xf numFmtId="1" fontId="9" fillId="0" borderId="0" xfId="0" applyNumberFormat="1" applyFont="1" applyFill="1" applyAlignment="1">
      <alignment horizontal="left"/>
    </xf>
    <xf numFmtId="4" fontId="63" fillId="0" borderId="0" xfId="2" quotePrefix="1" applyNumberFormat="1" applyFont="1" applyBorder="1" applyAlignment="1"/>
    <xf numFmtId="0" fontId="6" fillId="0" borderId="0" xfId="2" applyFont="1" applyAlignment="1">
      <alignment horizontal="left"/>
    </xf>
    <xf numFmtId="0" fontId="6" fillId="2" borderId="0" xfId="2" applyFont="1" applyFill="1" applyBorder="1" applyAlignment="1">
      <alignment horizontal="left"/>
    </xf>
    <xf numFmtId="170" fontId="6" fillId="2" borderId="0" xfId="6" applyFont="1" applyFill="1" applyBorder="1" applyAlignment="1">
      <alignment horizontal="right"/>
    </xf>
    <xf numFmtId="0" fontId="24" fillId="2" borderId="0" xfId="2" applyFont="1" applyFill="1" applyAlignment="1">
      <alignment horizontal="center"/>
    </xf>
    <xf numFmtId="0" fontId="6" fillId="2" borderId="0" xfId="2" applyFont="1" applyFill="1" applyAlignment="1">
      <alignment horizontal="right"/>
    </xf>
    <xf numFmtId="0" fontId="6" fillId="2" borderId="0" xfId="2" applyFont="1" applyFill="1" applyBorder="1" applyAlignment="1">
      <alignment horizontal="center"/>
    </xf>
    <xf numFmtId="0" fontId="6" fillId="2" borderId="0" xfId="2" applyFont="1" applyFill="1" applyAlignment="1">
      <alignment horizontal="center"/>
    </xf>
    <xf numFmtId="4" fontId="6" fillId="2" borderId="0" xfId="2" applyNumberFormat="1" applyFont="1" applyFill="1" applyAlignment="1">
      <alignment horizontal="left" indent="2"/>
    </xf>
    <xf numFmtId="49" fontId="59" fillId="0" borderId="0" xfId="2" applyNumberFormat="1" applyFont="1" applyAlignment="1">
      <alignment horizontal="left"/>
    </xf>
    <xf numFmtId="49" fontId="60" fillId="0" borderId="0" xfId="2" applyNumberFormat="1" applyFont="1" applyAlignment="1">
      <alignment horizontal="left"/>
    </xf>
    <xf numFmtId="49" fontId="56" fillId="0" borderId="0" xfId="2" applyNumberFormat="1" applyFont="1" applyFill="1" applyAlignment="1">
      <alignment horizontal="left"/>
    </xf>
    <xf numFmtId="0" fontId="58" fillId="0" borderId="0" xfId="0" applyFont="1" applyFill="1" applyBorder="1" applyAlignment="1">
      <alignment vertical="center" wrapText="1"/>
    </xf>
    <xf numFmtId="49" fontId="57" fillId="0" borderId="0" xfId="3" applyNumberFormat="1" applyFont="1" applyAlignment="1">
      <alignment horizontal="left"/>
    </xf>
    <xf numFmtId="49" fontId="56" fillId="0" borderId="0" xfId="2" quotePrefix="1" applyNumberFormat="1" applyFont="1" applyFill="1" applyAlignment="1">
      <alignment horizontal="left"/>
    </xf>
    <xf numFmtId="49" fontId="57" fillId="0" borderId="0" xfId="2" applyNumberFormat="1" applyFont="1" applyAlignment="1">
      <alignment horizontal="left"/>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49" fontId="57" fillId="0" borderId="0" xfId="3" quotePrefix="1" applyNumberFormat="1" applyFont="1" applyAlignment="1">
      <alignment horizontal="left"/>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64" fillId="0" borderId="29" xfId="2" applyFont="1" applyFill="1" applyBorder="1" applyAlignment="1" applyProtection="1">
      <alignment horizontal="center" vertical="center" wrapText="1"/>
    </xf>
    <xf numFmtId="0" fontId="5" fillId="0" borderId="0" xfId="2"/>
    <xf numFmtId="0" fontId="5" fillId="0" borderId="0" xfId="2" applyFont="1" applyFill="1"/>
    <xf numFmtId="43" fontId="58" fillId="0" borderId="29" xfId="2" applyNumberFormat="1" applyFont="1" applyFill="1" applyBorder="1"/>
    <xf numFmtId="43" fontId="9" fillId="0" borderId="29" xfId="2" applyNumberFormat="1" applyFont="1" applyFill="1" applyBorder="1"/>
    <xf numFmtId="0" fontId="64" fillId="0" borderId="29" xfId="2" quotePrefix="1" applyFont="1" applyFill="1" applyBorder="1" applyAlignment="1" applyProtection="1">
      <alignment horizontal="center" vertical="center" wrapText="1"/>
    </xf>
    <xf numFmtId="0" fontId="13" fillId="0" borderId="0" xfId="2" applyFont="1" applyAlignment="1">
      <alignment horizontal="center" wrapText="1"/>
    </xf>
    <xf numFmtId="43" fontId="57" fillId="0" borderId="0" xfId="2936" applyFont="1" applyAlignment="1">
      <alignment horizontal="left"/>
    </xf>
    <xf numFmtId="0" fontId="66" fillId="0" borderId="0" xfId="2937" applyFill="1"/>
    <xf numFmtId="0" fontId="6" fillId="0" borderId="0" xfId="2" applyFont="1" applyAlignment="1">
      <alignment horizontal="left"/>
    </xf>
    <xf numFmtId="0" fontId="6" fillId="2" borderId="0" xfId="2" applyFont="1" applyFill="1" applyBorder="1" applyAlignment="1">
      <alignment horizontal="left"/>
    </xf>
    <xf numFmtId="170" fontId="6" fillId="2" borderId="0" xfId="6" applyFont="1" applyFill="1" applyBorder="1" applyAlignment="1">
      <alignment horizontal="right"/>
    </xf>
    <xf numFmtId="0" fontId="24" fillId="2" borderId="0" xfId="2" applyFont="1" applyFill="1" applyAlignment="1">
      <alignment horizontal="center"/>
    </xf>
    <xf numFmtId="0" fontId="6" fillId="2" borderId="0" xfId="2" applyFont="1" applyFill="1" applyAlignment="1">
      <alignment horizontal="right"/>
    </xf>
    <xf numFmtId="0" fontId="6" fillId="2" borderId="0" xfId="2" applyFont="1" applyFill="1" applyBorder="1" applyAlignment="1">
      <alignment horizontal="center"/>
    </xf>
    <xf numFmtId="0" fontId="6" fillId="2" borderId="0" xfId="2" applyFont="1" applyFill="1" applyAlignment="1">
      <alignment horizontal="center"/>
    </xf>
    <xf numFmtId="4" fontId="6" fillId="2" borderId="0" xfId="2" applyNumberFormat="1" applyFont="1" applyFill="1" applyAlignment="1">
      <alignment horizontal="left" indent="2"/>
    </xf>
    <xf numFmtId="0" fontId="13" fillId="0" borderId="0" xfId="2" applyFont="1" applyAlignment="1">
      <alignment horizontal="center" wrapText="1"/>
    </xf>
    <xf numFmtId="0" fontId="13" fillId="0" borderId="0" xfId="2" applyFont="1" applyAlignment="1">
      <alignment horizontal="center" wrapText="1"/>
    </xf>
    <xf numFmtId="43" fontId="58" fillId="0" borderId="0" xfId="0" applyNumberFormat="1" applyFont="1" applyAlignment="1">
      <alignment horizontal="center"/>
    </xf>
    <xf numFmtId="0" fontId="29" fillId="0" borderId="0" xfId="0" applyFont="1" applyAlignment="1">
      <alignment horizontal="left"/>
    </xf>
    <xf numFmtId="0" fontId="29" fillId="0" borderId="0" xfId="0" applyFont="1" applyAlignment="1">
      <alignment horizontal="left" wrapText="1"/>
    </xf>
    <xf numFmtId="0" fontId="30" fillId="0" borderId="0" xfId="0" applyFont="1" applyAlignment="1">
      <alignment horizontal="left" vertical="top" wrapText="1"/>
    </xf>
    <xf numFmtId="0" fontId="30" fillId="0" borderId="0" xfId="0" applyFont="1" applyAlignment="1">
      <alignment horizontal="left" vertical="top"/>
    </xf>
    <xf numFmtId="0" fontId="30" fillId="0" borderId="0" xfId="0" applyFont="1" applyAlignment="1">
      <alignment horizontal="left"/>
    </xf>
    <xf numFmtId="0" fontId="29" fillId="0" borderId="0" xfId="0" applyFont="1" applyAlignment="1">
      <alignment horizontal="left" vertical="top" wrapText="1"/>
    </xf>
    <xf numFmtId="0" fontId="29" fillId="0" borderId="0" xfId="0" applyFont="1" applyFill="1" applyAlignment="1">
      <alignment horizontal="left" vertical="center" wrapText="1"/>
    </xf>
    <xf numFmtId="0" fontId="8" fillId="2" borderId="3" xfId="2" applyFont="1" applyFill="1" applyBorder="1" applyAlignment="1">
      <alignment horizontal="left"/>
    </xf>
    <xf numFmtId="0" fontId="8" fillId="2" borderId="0" xfId="2" applyFont="1" applyFill="1" applyBorder="1" applyAlignment="1">
      <alignment horizontal="left"/>
    </xf>
    <xf numFmtId="0" fontId="8" fillId="2" borderId="0" xfId="2" applyFont="1" applyFill="1" applyAlignment="1">
      <alignment horizontal="left"/>
    </xf>
    <xf numFmtId="0" fontId="9" fillId="2" borderId="0" xfId="2" applyFont="1" applyFill="1" applyAlignment="1">
      <alignment horizontal="center"/>
    </xf>
    <xf numFmtId="0" fontId="6" fillId="0" borderId="0" xfId="2" applyFont="1" applyAlignment="1">
      <alignment horizontal="left"/>
    </xf>
    <xf numFmtId="0" fontId="6" fillId="2" borderId="0" xfId="2" applyFont="1" applyFill="1" applyAlignment="1">
      <alignment horizontal="center"/>
    </xf>
    <xf numFmtId="4" fontId="6" fillId="2" borderId="0" xfId="2" applyNumberFormat="1" applyFont="1" applyFill="1" applyAlignment="1">
      <alignment horizontal="left" indent="2"/>
    </xf>
    <xf numFmtId="4" fontId="11" fillId="2" borderId="0" xfId="2" applyNumberFormat="1" applyFont="1" applyFill="1" applyAlignment="1">
      <alignment horizontal="left"/>
    </xf>
    <xf numFmtId="0" fontId="6" fillId="2" borderId="4" xfId="2" quotePrefix="1" applyFont="1" applyFill="1" applyBorder="1" applyAlignment="1">
      <alignment horizontal="left" indent="2"/>
    </xf>
    <xf numFmtId="0" fontId="7" fillId="2" borderId="4" xfId="2" quotePrefix="1" applyFont="1" applyFill="1" applyBorder="1" applyAlignment="1">
      <alignment horizontal="center"/>
    </xf>
    <xf numFmtId="165" fontId="6" fillId="2" borderId="4" xfId="2" quotePrefix="1" applyNumberFormat="1" applyFont="1" applyFill="1" applyBorder="1" applyAlignment="1">
      <alignment horizontal="center"/>
    </xf>
    <xf numFmtId="0" fontId="6" fillId="2" borderId="5" xfId="2" applyFont="1" applyFill="1" applyBorder="1" applyAlignment="1">
      <alignment horizontal="left" indent="3"/>
    </xf>
    <xf numFmtId="2" fontId="13" fillId="2" borderId="1" xfId="2" applyNumberFormat="1" applyFont="1" applyFill="1" applyBorder="1" applyAlignment="1">
      <alignment horizontal="center"/>
    </xf>
    <xf numFmtId="165" fontId="6" fillId="2" borderId="5" xfId="2" applyNumberFormat="1" applyFont="1" applyFill="1" applyBorder="1" applyAlignment="1">
      <alignment horizontal="center"/>
    </xf>
    <xf numFmtId="4" fontId="6" fillId="2" borderId="0" xfId="2" applyNumberFormat="1" applyFont="1" applyFill="1" applyAlignment="1">
      <alignment horizontal="left"/>
    </xf>
    <xf numFmtId="0" fontId="12" fillId="2" borderId="0" xfId="2" applyFont="1" applyFill="1" applyAlignment="1">
      <alignment horizontal="center"/>
    </xf>
    <xf numFmtId="7" fontId="5" fillId="2" borderId="0" xfId="2" applyNumberFormat="1" applyFill="1" applyBorder="1" applyAlignment="1">
      <alignment horizontal="center"/>
    </xf>
    <xf numFmtId="0" fontId="12" fillId="2" borderId="0" xfId="2" applyFont="1" applyFill="1" applyAlignment="1">
      <alignment horizontal="left"/>
    </xf>
    <xf numFmtId="166" fontId="12" fillId="2" borderId="0" xfId="2" applyNumberFormat="1" applyFont="1" applyFill="1" applyAlignment="1">
      <alignment horizontal="left"/>
    </xf>
    <xf numFmtId="0" fontId="6" fillId="2" borderId="0" xfId="2" applyFont="1" applyFill="1" applyAlignment="1">
      <alignment horizontal="left" wrapText="1"/>
    </xf>
    <xf numFmtId="0" fontId="7" fillId="2" borderId="0" xfId="2" applyFont="1" applyFill="1" applyAlignment="1">
      <alignment horizontal="center" wrapText="1"/>
    </xf>
    <xf numFmtId="165" fontId="6" fillId="2" borderId="0" xfId="2" applyNumberFormat="1" applyFont="1" applyFill="1" applyAlignment="1">
      <alignment horizontal="center" wrapText="1"/>
    </xf>
    <xf numFmtId="0" fontId="6" fillId="2" borderId="0" xfId="2" applyFont="1" applyFill="1" applyAlignment="1">
      <alignment horizontal="left" indent="3"/>
    </xf>
    <xf numFmtId="165" fontId="6" fillId="2" borderId="0" xfId="2" applyNumberFormat="1" applyFont="1" applyFill="1" applyAlignment="1">
      <alignment horizontal="center"/>
    </xf>
    <xf numFmtId="0" fontId="6" fillId="2" borderId="0" xfId="2" applyFont="1" applyFill="1" applyBorder="1" applyAlignment="1">
      <alignment horizontal="center"/>
    </xf>
    <xf numFmtId="2" fontId="6" fillId="2" borderId="6" xfId="2" applyNumberFormat="1" applyFont="1" applyFill="1" applyBorder="1" applyAlignment="1">
      <alignment horizontal="center"/>
    </xf>
    <xf numFmtId="2" fontId="6" fillId="2" borderId="0" xfId="2" applyNumberFormat="1" applyFont="1" applyFill="1" applyBorder="1" applyAlignment="1">
      <alignment horizontal="center"/>
    </xf>
    <xf numFmtId="2" fontId="6" fillId="2" borderId="7" xfId="2" applyNumberFormat="1" applyFont="1" applyFill="1" applyBorder="1" applyAlignment="1">
      <alignment horizontal="center"/>
    </xf>
    <xf numFmtId="0" fontId="6" fillId="2" borderId="0" xfId="2" applyFont="1" applyFill="1" applyBorder="1" applyAlignment="1">
      <alignment horizontal="left"/>
    </xf>
    <xf numFmtId="2" fontId="7" fillId="2" borderId="1" xfId="2" applyNumberFormat="1" applyFont="1" applyFill="1" applyBorder="1" applyAlignment="1">
      <alignment horizontal="center"/>
    </xf>
    <xf numFmtId="0" fontId="12" fillId="0" borderId="8" xfId="2" applyFont="1" applyBorder="1" applyAlignment="1">
      <alignment horizontal="left" vertical="center" wrapText="1"/>
    </xf>
    <xf numFmtId="0" fontId="12" fillId="0" borderId="9" xfId="2" applyFont="1" applyBorder="1" applyAlignment="1">
      <alignment horizontal="left" vertical="center" wrapText="1"/>
    </xf>
    <xf numFmtId="0" fontId="12" fillId="0" borderId="10" xfId="2" applyFont="1" applyBorder="1" applyAlignment="1">
      <alignment horizontal="left" vertical="center" wrapText="1"/>
    </xf>
    <xf numFmtId="0" fontId="12" fillId="0" borderId="11" xfId="2" applyFont="1" applyBorder="1" applyAlignment="1">
      <alignment horizontal="left" vertical="center" wrapText="1"/>
    </xf>
    <xf numFmtId="0" fontId="12" fillId="0" borderId="12" xfId="2" applyFont="1" applyBorder="1" applyAlignment="1">
      <alignment horizontal="left" vertical="center" wrapText="1"/>
    </xf>
    <xf numFmtId="0" fontId="12" fillId="0" borderId="13" xfId="2" applyFont="1" applyBorder="1" applyAlignment="1">
      <alignment horizontal="left" vertical="center" wrapText="1"/>
    </xf>
    <xf numFmtId="0" fontId="12" fillId="2" borderId="0" xfId="2" applyFont="1" applyFill="1" applyBorder="1" applyAlignment="1">
      <alignment horizontal="left" vertical="center" wrapText="1" indent="6"/>
    </xf>
    <xf numFmtId="4" fontId="13" fillId="2" borderId="1" xfId="2" applyNumberFormat="1" applyFont="1" applyFill="1" applyBorder="1" applyAlignment="1">
      <alignment horizontal="center" vertical="center" wrapText="1"/>
    </xf>
    <xf numFmtId="0" fontId="19" fillId="2" borderId="0" xfId="2" applyFont="1" applyFill="1" applyAlignment="1">
      <alignment horizontal="left"/>
    </xf>
    <xf numFmtId="0" fontId="20" fillId="2" borderId="0" xfId="2" applyFont="1" applyFill="1" applyAlignment="1">
      <alignment horizontal="center"/>
    </xf>
    <xf numFmtId="169" fontId="6" fillId="2" borderId="0" xfId="5" applyNumberFormat="1" applyFont="1" applyFill="1" applyBorder="1" applyAlignment="1">
      <alignment horizontal="left" indent="4"/>
    </xf>
    <xf numFmtId="0" fontId="6" fillId="2" borderId="0" xfId="2" applyFont="1" applyFill="1" applyAlignment="1">
      <alignment horizontal="left" indent="16"/>
    </xf>
    <xf numFmtId="0" fontId="21" fillId="2" borderId="0" xfId="2" applyFont="1" applyFill="1" applyAlignment="1">
      <alignment horizontal="center"/>
    </xf>
    <xf numFmtId="4" fontId="6" fillId="2" borderId="0" xfId="2" quotePrefix="1" applyNumberFormat="1" applyFont="1" applyFill="1" applyBorder="1" applyAlignment="1">
      <alignment horizontal="left" indent="7"/>
    </xf>
    <xf numFmtId="4" fontId="13" fillId="2" borderId="14" xfId="2" applyNumberFormat="1" applyFont="1" applyFill="1" applyBorder="1" applyAlignment="1">
      <alignment horizontal="center" vertical="center" wrapText="1"/>
    </xf>
    <xf numFmtId="0" fontId="6" fillId="2" borderId="0" xfId="2" applyFont="1" applyFill="1" applyAlignment="1">
      <alignment horizontal="right"/>
    </xf>
    <xf numFmtId="166" fontId="25" fillId="2" borderId="0" xfId="2" applyNumberFormat="1" applyFont="1" applyFill="1" applyBorder="1" applyAlignment="1">
      <alignment horizontal="center"/>
    </xf>
    <xf numFmtId="170" fontId="6" fillId="2" borderId="3" xfId="6" applyFont="1" applyFill="1" applyBorder="1" applyAlignment="1">
      <alignment horizontal="right"/>
    </xf>
    <xf numFmtId="170" fontId="6" fillId="2" borderId="0" xfId="6" applyFont="1" applyFill="1" applyBorder="1" applyAlignment="1">
      <alignment horizontal="right"/>
    </xf>
    <xf numFmtId="2" fontId="27" fillId="2" borderId="0" xfId="2" applyNumberFormat="1" applyFont="1" applyFill="1" applyBorder="1" applyAlignment="1">
      <alignment horizontal="left" indent="6"/>
    </xf>
    <xf numFmtId="0" fontId="6" fillId="2" borderId="0" xfId="2" applyFont="1" applyFill="1" applyAlignment="1">
      <alignment horizontal="left"/>
    </xf>
    <xf numFmtId="0" fontId="22" fillId="2" borderId="0" xfId="2" applyFont="1" applyFill="1" applyAlignment="1">
      <alignment horizontal="left" indent="6"/>
    </xf>
    <xf numFmtId="0" fontId="23" fillId="2" borderId="0" xfId="2" applyFont="1" applyFill="1" applyAlignment="1">
      <alignment horizontal="left"/>
    </xf>
    <xf numFmtId="0" fontId="6" fillId="2" borderId="0" xfId="2" applyFont="1" applyFill="1" applyBorder="1" applyAlignment="1">
      <alignment horizontal="right"/>
    </xf>
    <xf numFmtId="0" fontId="24" fillId="2" borderId="0" xfId="2" applyFont="1" applyFill="1" applyAlignment="1">
      <alignment horizontal="center"/>
    </xf>
    <xf numFmtId="4" fontId="24" fillId="2" borderId="0" xfId="2" applyNumberFormat="1" applyFont="1" applyFill="1" applyAlignment="1">
      <alignment horizontal="left"/>
    </xf>
    <xf numFmtId="0" fontId="6" fillId="2" borderId="0" xfId="2" applyFont="1" applyFill="1" applyAlignment="1">
      <alignment horizontal="left" indent="6"/>
    </xf>
    <xf numFmtId="165" fontId="6" fillId="2" borderId="0" xfId="2" applyNumberFormat="1" applyFont="1" applyFill="1" applyAlignment="1">
      <alignment horizontal="left"/>
    </xf>
    <xf numFmtId="4" fontId="24" fillId="2" borderId="0" xfId="2" applyNumberFormat="1" applyFont="1" applyFill="1" applyBorder="1" applyAlignment="1">
      <alignment horizontal="left" indent="2"/>
    </xf>
    <xf numFmtId="171" fontId="6" fillId="2" borderId="0" xfId="2" applyNumberFormat="1" applyFont="1" applyFill="1" applyAlignment="1">
      <alignment horizontal="left" indent="2"/>
    </xf>
    <xf numFmtId="3" fontId="6" fillId="2" borderId="4" xfId="2" applyNumberFormat="1" applyFont="1" applyFill="1" applyBorder="1" applyAlignment="1">
      <alignment horizontal="right"/>
    </xf>
    <xf numFmtId="0" fontId="6" fillId="2" borderId="0" xfId="2" applyFont="1" applyFill="1" applyBorder="1" applyAlignment="1">
      <alignment horizontal="left" indent="2"/>
    </xf>
    <xf numFmtId="0" fontId="6" fillId="2" borderId="0" xfId="2" applyFont="1" applyFill="1" applyBorder="1" applyAlignment="1">
      <alignment horizontal="left" indent="6"/>
    </xf>
    <xf numFmtId="3" fontId="6" fillId="2" borderId="0" xfId="2" applyNumberFormat="1" applyFont="1" applyFill="1" applyBorder="1" applyAlignment="1">
      <alignment horizontal="left"/>
    </xf>
    <xf numFmtId="3" fontId="6" fillId="2" borderId="1" xfId="2" applyNumberFormat="1" applyFont="1" applyFill="1" applyBorder="1" applyAlignment="1">
      <alignment horizontal="right"/>
    </xf>
    <xf numFmtId="0" fontId="13" fillId="2" borderId="0" xfId="2" applyFont="1" applyFill="1" applyAlignment="1">
      <alignment horizontal="right"/>
    </xf>
    <xf numFmtId="0" fontId="6" fillId="2" borderId="0" xfId="2" applyFont="1" applyFill="1" applyAlignment="1">
      <alignment horizontal="left" indent="2"/>
    </xf>
    <xf numFmtId="38" fontId="6" fillId="2" borderId="1" xfId="2" applyNumberFormat="1" applyFont="1" applyFill="1" applyBorder="1" applyAlignment="1">
      <alignment horizontal="right"/>
    </xf>
    <xf numFmtId="0" fontId="10" fillId="0" borderId="0" xfId="790" applyFont="1" applyAlignment="1">
      <alignment horizontal="center"/>
    </xf>
    <xf numFmtId="0" fontId="6" fillId="0" borderId="0" xfId="790" applyFont="1" applyAlignment="1">
      <alignment horizontal="center"/>
    </xf>
    <xf numFmtId="0" fontId="13" fillId="0" borderId="0" xfId="2" applyFont="1" applyAlignment="1">
      <alignment horizontal="center" wrapText="1"/>
    </xf>
  </cellXfs>
  <cellStyles count="2938">
    <cellStyle name="20% - Accent1" xfId="812" builtinId="30" customBuiltin="1"/>
    <cellStyle name="20% - Accent1 2" xfId="12"/>
    <cellStyle name="20% - Accent1 2 10" xfId="1248"/>
    <cellStyle name="20% - Accent1 2 2" xfId="13"/>
    <cellStyle name="20% - Accent1 2 2 2" xfId="14"/>
    <cellStyle name="20% - Accent1 2 2 2 2" xfId="15"/>
    <cellStyle name="20% - Accent1 2 2 2 2 2" xfId="16"/>
    <cellStyle name="20% - Accent1 2 2 2 2 2 2" xfId="17"/>
    <cellStyle name="20% - Accent1 2 2 2 2 2 2 2" xfId="1755"/>
    <cellStyle name="20% - Accent1 2 2 2 2 2 3" xfId="918"/>
    <cellStyle name="20% - Accent1 2 2 2 2 2 3 2" xfId="2622"/>
    <cellStyle name="20% - Accent1 2 2 2 2 2 4" xfId="1754"/>
    <cellStyle name="20% - Accent1 2 2 2 2 2 5" xfId="1364"/>
    <cellStyle name="20% - Accent1 2 2 2 2 3" xfId="18"/>
    <cellStyle name="20% - Accent1 2 2 2 2 3 2" xfId="1756"/>
    <cellStyle name="20% - Accent1 2 2 2 2 4" xfId="917"/>
    <cellStyle name="20% - Accent1 2 2 2 2 4 2" xfId="2621"/>
    <cellStyle name="20% - Accent1 2 2 2 2 5" xfId="1753"/>
    <cellStyle name="20% - Accent1 2 2 2 2 6" xfId="1363"/>
    <cellStyle name="20% - Accent1 2 2 2 3" xfId="19"/>
    <cellStyle name="20% - Accent1 2 2 2 3 2" xfId="20"/>
    <cellStyle name="20% - Accent1 2 2 2 3 2 2" xfId="1758"/>
    <cellStyle name="20% - Accent1 2 2 2 3 3" xfId="919"/>
    <cellStyle name="20% - Accent1 2 2 2 3 3 2" xfId="2623"/>
    <cellStyle name="20% - Accent1 2 2 2 3 4" xfId="1757"/>
    <cellStyle name="20% - Accent1 2 2 2 3 5" xfId="1365"/>
    <cellStyle name="20% - Accent1 2 2 2 4" xfId="21"/>
    <cellStyle name="20% - Accent1 2 2 2 4 2" xfId="22"/>
    <cellStyle name="20% - Accent1 2 2 2 4 2 2" xfId="1760"/>
    <cellStyle name="20% - Accent1 2 2 2 4 3" xfId="920"/>
    <cellStyle name="20% - Accent1 2 2 2 4 3 2" xfId="2624"/>
    <cellStyle name="20% - Accent1 2 2 2 4 4" xfId="1759"/>
    <cellStyle name="20% - Accent1 2 2 2 4 5" xfId="1366"/>
    <cellStyle name="20% - Accent1 2 2 2 5" xfId="23"/>
    <cellStyle name="20% - Accent1 2 2 2 5 2" xfId="1761"/>
    <cellStyle name="20% - Accent1 2 2 2 5 3" xfId="1362"/>
    <cellStyle name="20% - Accent1 2 2 2 6" xfId="900"/>
    <cellStyle name="20% - Accent1 2 2 2 6 2" xfId="2606"/>
    <cellStyle name="20% - Accent1 2 2 2 7" xfId="1752"/>
    <cellStyle name="20% - Accent1 2 2 2 8" xfId="1284"/>
    <cellStyle name="20% - Accent1 2 2 3" xfId="24"/>
    <cellStyle name="20% - Accent1 2 2 3 2" xfId="25"/>
    <cellStyle name="20% - Accent1 2 2 3 2 2" xfId="26"/>
    <cellStyle name="20% - Accent1 2 2 3 2 2 2" xfId="1764"/>
    <cellStyle name="20% - Accent1 2 2 3 2 3" xfId="922"/>
    <cellStyle name="20% - Accent1 2 2 3 2 3 2" xfId="2626"/>
    <cellStyle name="20% - Accent1 2 2 3 2 4" xfId="1763"/>
    <cellStyle name="20% - Accent1 2 2 3 2 5" xfId="1368"/>
    <cellStyle name="20% - Accent1 2 2 3 3" xfId="27"/>
    <cellStyle name="20% - Accent1 2 2 3 3 2" xfId="1765"/>
    <cellStyle name="20% - Accent1 2 2 3 4" xfId="921"/>
    <cellStyle name="20% - Accent1 2 2 3 4 2" xfId="2625"/>
    <cellStyle name="20% - Accent1 2 2 3 5" xfId="1762"/>
    <cellStyle name="20% - Accent1 2 2 3 6" xfId="1367"/>
    <cellStyle name="20% - Accent1 2 2 4" xfId="28"/>
    <cellStyle name="20% - Accent1 2 2 4 2" xfId="29"/>
    <cellStyle name="20% - Accent1 2 2 4 2 2" xfId="1767"/>
    <cellStyle name="20% - Accent1 2 2 4 3" xfId="923"/>
    <cellStyle name="20% - Accent1 2 2 4 3 2" xfId="2627"/>
    <cellStyle name="20% - Accent1 2 2 4 4" xfId="1766"/>
    <cellStyle name="20% - Accent1 2 2 4 5" xfId="1369"/>
    <cellStyle name="20% - Accent1 2 2 5" xfId="30"/>
    <cellStyle name="20% - Accent1 2 2 5 2" xfId="31"/>
    <cellStyle name="20% - Accent1 2 2 5 2 2" xfId="1769"/>
    <cellStyle name="20% - Accent1 2 2 5 3" xfId="924"/>
    <cellStyle name="20% - Accent1 2 2 5 3 2" xfId="2628"/>
    <cellStyle name="20% - Accent1 2 2 5 4" xfId="1768"/>
    <cellStyle name="20% - Accent1 2 2 5 5" xfId="1370"/>
    <cellStyle name="20% - Accent1 2 2 6" xfId="32"/>
    <cellStyle name="20% - Accent1 2 2 6 2" xfId="1770"/>
    <cellStyle name="20% - Accent1 2 2 6 3" xfId="1361"/>
    <cellStyle name="20% - Accent1 2 2 7" xfId="862"/>
    <cellStyle name="20% - Accent1 2 2 7 2" xfId="2568"/>
    <cellStyle name="20% - Accent1 2 2 8" xfId="1751"/>
    <cellStyle name="20% - Accent1 2 2 9" xfId="1283"/>
    <cellStyle name="20% - Accent1 2 3" xfId="33"/>
    <cellStyle name="20% - Accent1 2 3 2" xfId="34"/>
    <cellStyle name="20% - Accent1 2 3 2 2" xfId="35"/>
    <cellStyle name="20% - Accent1 2 3 2 2 2" xfId="36"/>
    <cellStyle name="20% - Accent1 2 3 2 2 2 2" xfId="1774"/>
    <cellStyle name="20% - Accent1 2 3 2 2 3" xfId="926"/>
    <cellStyle name="20% - Accent1 2 3 2 2 3 2" xfId="2630"/>
    <cellStyle name="20% - Accent1 2 3 2 2 4" xfId="1773"/>
    <cellStyle name="20% - Accent1 2 3 2 2 5" xfId="1373"/>
    <cellStyle name="20% - Accent1 2 3 2 3" xfId="37"/>
    <cellStyle name="20% - Accent1 2 3 2 3 2" xfId="1775"/>
    <cellStyle name="20% - Accent1 2 3 2 4" xfId="925"/>
    <cellStyle name="20% - Accent1 2 3 2 4 2" xfId="2629"/>
    <cellStyle name="20% - Accent1 2 3 2 5" xfId="1772"/>
    <cellStyle name="20% - Accent1 2 3 2 6" xfId="1372"/>
    <cellStyle name="20% - Accent1 2 3 3" xfId="38"/>
    <cellStyle name="20% - Accent1 2 3 3 2" xfId="39"/>
    <cellStyle name="20% - Accent1 2 3 3 2 2" xfId="1777"/>
    <cellStyle name="20% - Accent1 2 3 3 3" xfId="927"/>
    <cellStyle name="20% - Accent1 2 3 3 3 2" xfId="2631"/>
    <cellStyle name="20% - Accent1 2 3 3 4" xfId="1776"/>
    <cellStyle name="20% - Accent1 2 3 3 5" xfId="1374"/>
    <cellStyle name="20% - Accent1 2 3 4" xfId="40"/>
    <cellStyle name="20% - Accent1 2 3 4 2" xfId="41"/>
    <cellStyle name="20% - Accent1 2 3 4 2 2" xfId="1779"/>
    <cellStyle name="20% - Accent1 2 3 4 3" xfId="928"/>
    <cellStyle name="20% - Accent1 2 3 4 3 2" xfId="2632"/>
    <cellStyle name="20% - Accent1 2 3 4 4" xfId="1778"/>
    <cellStyle name="20% - Accent1 2 3 4 5" xfId="1375"/>
    <cellStyle name="20% - Accent1 2 3 5" xfId="42"/>
    <cellStyle name="20% - Accent1 2 3 5 2" xfId="1780"/>
    <cellStyle name="20% - Accent1 2 3 5 3" xfId="1371"/>
    <cellStyle name="20% - Accent1 2 3 6" xfId="881"/>
    <cellStyle name="20% - Accent1 2 3 6 2" xfId="2587"/>
    <cellStyle name="20% - Accent1 2 3 7" xfId="1771"/>
    <cellStyle name="20% - Accent1 2 3 8" xfId="1285"/>
    <cellStyle name="20% - Accent1 2 4" xfId="43"/>
    <cellStyle name="20% - Accent1 2 4 2" xfId="44"/>
    <cellStyle name="20% - Accent1 2 4 2 2" xfId="45"/>
    <cellStyle name="20% - Accent1 2 4 2 2 2" xfId="1783"/>
    <cellStyle name="20% - Accent1 2 4 2 3" xfId="930"/>
    <cellStyle name="20% - Accent1 2 4 2 3 2" xfId="2634"/>
    <cellStyle name="20% - Accent1 2 4 2 4" xfId="1782"/>
    <cellStyle name="20% - Accent1 2 4 2 5" xfId="1377"/>
    <cellStyle name="20% - Accent1 2 4 3" xfId="46"/>
    <cellStyle name="20% - Accent1 2 4 3 2" xfId="1784"/>
    <cellStyle name="20% - Accent1 2 4 3 3" xfId="1376"/>
    <cellStyle name="20% - Accent1 2 4 4" xfId="929"/>
    <cellStyle name="20% - Accent1 2 4 4 2" xfId="2633"/>
    <cellStyle name="20% - Accent1 2 4 5" xfId="1781"/>
    <cellStyle name="20% - Accent1 2 4 6" xfId="1282"/>
    <cellStyle name="20% - Accent1 2 5" xfId="47"/>
    <cellStyle name="20% - Accent1 2 5 2" xfId="48"/>
    <cellStyle name="20% - Accent1 2 5 2 2" xfId="1786"/>
    <cellStyle name="20% - Accent1 2 5 3" xfId="931"/>
    <cellStyle name="20% - Accent1 2 5 3 2" xfId="2635"/>
    <cellStyle name="20% - Accent1 2 5 4" xfId="1785"/>
    <cellStyle name="20% - Accent1 2 5 5" xfId="1378"/>
    <cellStyle name="20% - Accent1 2 6" xfId="49"/>
    <cellStyle name="20% - Accent1 2 6 2" xfId="50"/>
    <cellStyle name="20% - Accent1 2 6 2 2" xfId="1788"/>
    <cellStyle name="20% - Accent1 2 6 3" xfId="932"/>
    <cellStyle name="20% - Accent1 2 6 3 2" xfId="2636"/>
    <cellStyle name="20% - Accent1 2 6 4" xfId="1787"/>
    <cellStyle name="20% - Accent1 2 6 5" xfId="1379"/>
    <cellStyle name="20% - Accent1 2 7" xfId="51"/>
    <cellStyle name="20% - Accent1 2 7 2" xfId="1789"/>
    <cellStyle name="20% - Accent1 2 7 3" xfId="1360"/>
    <cellStyle name="20% - Accent1 2 8" xfId="843"/>
    <cellStyle name="20% - Accent1 2 8 2" xfId="2549"/>
    <cellStyle name="20% - Accent1 2 9" xfId="1750"/>
    <cellStyle name="20% - Accent1 3" xfId="1262"/>
    <cellStyle name="20% - Accent1 4" xfId="2530"/>
    <cellStyle name="20% - Accent1 5" xfId="1232"/>
    <cellStyle name="20% - Accent2" xfId="816" builtinId="34" customBuiltin="1"/>
    <cellStyle name="20% - Accent2 2" xfId="52"/>
    <cellStyle name="20% - Accent2 2 10" xfId="1249"/>
    <cellStyle name="20% - Accent2 2 2" xfId="53"/>
    <cellStyle name="20% - Accent2 2 2 2" xfId="54"/>
    <cellStyle name="20% - Accent2 2 2 2 2" xfId="55"/>
    <cellStyle name="20% - Accent2 2 2 2 2 2" xfId="56"/>
    <cellStyle name="20% - Accent2 2 2 2 2 2 2" xfId="57"/>
    <cellStyle name="20% - Accent2 2 2 2 2 2 2 2" xfId="1795"/>
    <cellStyle name="20% - Accent2 2 2 2 2 2 3" xfId="934"/>
    <cellStyle name="20% - Accent2 2 2 2 2 2 3 2" xfId="2638"/>
    <cellStyle name="20% - Accent2 2 2 2 2 2 4" xfId="1794"/>
    <cellStyle name="20% - Accent2 2 2 2 2 2 5" xfId="1384"/>
    <cellStyle name="20% - Accent2 2 2 2 2 3" xfId="58"/>
    <cellStyle name="20% - Accent2 2 2 2 2 3 2" xfId="1796"/>
    <cellStyle name="20% - Accent2 2 2 2 2 4" xfId="933"/>
    <cellStyle name="20% - Accent2 2 2 2 2 4 2" xfId="2637"/>
    <cellStyle name="20% - Accent2 2 2 2 2 5" xfId="1793"/>
    <cellStyle name="20% - Accent2 2 2 2 2 6" xfId="1383"/>
    <cellStyle name="20% - Accent2 2 2 2 3" xfId="59"/>
    <cellStyle name="20% - Accent2 2 2 2 3 2" xfId="60"/>
    <cellStyle name="20% - Accent2 2 2 2 3 2 2" xfId="1798"/>
    <cellStyle name="20% - Accent2 2 2 2 3 3" xfId="935"/>
    <cellStyle name="20% - Accent2 2 2 2 3 3 2" xfId="2639"/>
    <cellStyle name="20% - Accent2 2 2 2 3 4" xfId="1797"/>
    <cellStyle name="20% - Accent2 2 2 2 3 5" xfId="1385"/>
    <cellStyle name="20% - Accent2 2 2 2 4" xfId="61"/>
    <cellStyle name="20% - Accent2 2 2 2 4 2" xfId="62"/>
    <cellStyle name="20% - Accent2 2 2 2 4 2 2" xfId="1800"/>
    <cellStyle name="20% - Accent2 2 2 2 4 3" xfId="936"/>
    <cellStyle name="20% - Accent2 2 2 2 4 3 2" xfId="2640"/>
    <cellStyle name="20% - Accent2 2 2 2 4 4" xfId="1799"/>
    <cellStyle name="20% - Accent2 2 2 2 4 5" xfId="1386"/>
    <cellStyle name="20% - Accent2 2 2 2 5" xfId="63"/>
    <cellStyle name="20% - Accent2 2 2 2 5 2" xfId="1801"/>
    <cellStyle name="20% - Accent2 2 2 2 5 3" xfId="1382"/>
    <cellStyle name="20% - Accent2 2 2 2 6" xfId="901"/>
    <cellStyle name="20% - Accent2 2 2 2 6 2" xfId="2607"/>
    <cellStyle name="20% - Accent2 2 2 2 7" xfId="1792"/>
    <cellStyle name="20% - Accent2 2 2 2 8" xfId="1288"/>
    <cellStyle name="20% - Accent2 2 2 3" xfId="64"/>
    <cellStyle name="20% - Accent2 2 2 3 2" xfId="65"/>
    <cellStyle name="20% - Accent2 2 2 3 2 2" xfId="66"/>
    <cellStyle name="20% - Accent2 2 2 3 2 2 2" xfId="1804"/>
    <cellStyle name="20% - Accent2 2 2 3 2 3" xfId="938"/>
    <cellStyle name="20% - Accent2 2 2 3 2 3 2" xfId="2642"/>
    <cellStyle name="20% - Accent2 2 2 3 2 4" xfId="1803"/>
    <cellStyle name="20% - Accent2 2 2 3 2 5" xfId="1388"/>
    <cellStyle name="20% - Accent2 2 2 3 3" xfId="67"/>
    <cellStyle name="20% - Accent2 2 2 3 3 2" xfId="1805"/>
    <cellStyle name="20% - Accent2 2 2 3 4" xfId="937"/>
    <cellStyle name="20% - Accent2 2 2 3 4 2" xfId="2641"/>
    <cellStyle name="20% - Accent2 2 2 3 5" xfId="1802"/>
    <cellStyle name="20% - Accent2 2 2 3 6" xfId="1387"/>
    <cellStyle name="20% - Accent2 2 2 4" xfId="68"/>
    <cellStyle name="20% - Accent2 2 2 4 2" xfId="69"/>
    <cellStyle name="20% - Accent2 2 2 4 2 2" xfId="1807"/>
    <cellStyle name="20% - Accent2 2 2 4 3" xfId="939"/>
    <cellStyle name="20% - Accent2 2 2 4 3 2" xfId="2643"/>
    <cellStyle name="20% - Accent2 2 2 4 4" xfId="1806"/>
    <cellStyle name="20% - Accent2 2 2 4 5" xfId="1389"/>
    <cellStyle name="20% - Accent2 2 2 5" xfId="70"/>
    <cellStyle name="20% - Accent2 2 2 5 2" xfId="71"/>
    <cellStyle name="20% - Accent2 2 2 5 2 2" xfId="1809"/>
    <cellStyle name="20% - Accent2 2 2 5 3" xfId="940"/>
    <cellStyle name="20% - Accent2 2 2 5 3 2" xfId="2644"/>
    <cellStyle name="20% - Accent2 2 2 5 4" xfId="1808"/>
    <cellStyle name="20% - Accent2 2 2 5 5" xfId="1390"/>
    <cellStyle name="20% - Accent2 2 2 6" xfId="72"/>
    <cellStyle name="20% - Accent2 2 2 6 2" xfId="1810"/>
    <cellStyle name="20% - Accent2 2 2 6 3" xfId="1381"/>
    <cellStyle name="20% - Accent2 2 2 7" xfId="863"/>
    <cellStyle name="20% - Accent2 2 2 7 2" xfId="2569"/>
    <cellStyle name="20% - Accent2 2 2 8" xfId="1791"/>
    <cellStyle name="20% - Accent2 2 2 9" xfId="1287"/>
    <cellStyle name="20% - Accent2 2 3" xfId="73"/>
    <cellStyle name="20% - Accent2 2 3 2" xfId="74"/>
    <cellStyle name="20% - Accent2 2 3 2 2" xfId="75"/>
    <cellStyle name="20% - Accent2 2 3 2 2 2" xfId="76"/>
    <cellStyle name="20% - Accent2 2 3 2 2 2 2" xfId="1814"/>
    <cellStyle name="20% - Accent2 2 3 2 2 3" xfId="942"/>
    <cellStyle name="20% - Accent2 2 3 2 2 3 2" xfId="2646"/>
    <cellStyle name="20% - Accent2 2 3 2 2 4" xfId="1813"/>
    <cellStyle name="20% - Accent2 2 3 2 2 5" xfId="1393"/>
    <cellStyle name="20% - Accent2 2 3 2 3" xfId="77"/>
    <cellStyle name="20% - Accent2 2 3 2 3 2" xfId="1815"/>
    <cellStyle name="20% - Accent2 2 3 2 4" xfId="941"/>
    <cellStyle name="20% - Accent2 2 3 2 4 2" xfId="2645"/>
    <cellStyle name="20% - Accent2 2 3 2 5" xfId="1812"/>
    <cellStyle name="20% - Accent2 2 3 2 6" xfId="1392"/>
    <cellStyle name="20% - Accent2 2 3 3" xfId="78"/>
    <cellStyle name="20% - Accent2 2 3 3 2" xfId="79"/>
    <cellStyle name="20% - Accent2 2 3 3 2 2" xfId="1817"/>
    <cellStyle name="20% - Accent2 2 3 3 3" xfId="943"/>
    <cellStyle name="20% - Accent2 2 3 3 3 2" xfId="2647"/>
    <cellStyle name="20% - Accent2 2 3 3 4" xfId="1816"/>
    <cellStyle name="20% - Accent2 2 3 3 5" xfId="1394"/>
    <cellStyle name="20% - Accent2 2 3 4" xfId="80"/>
    <cellStyle name="20% - Accent2 2 3 4 2" xfId="81"/>
    <cellStyle name="20% - Accent2 2 3 4 2 2" xfId="1819"/>
    <cellStyle name="20% - Accent2 2 3 4 3" xfId="944"/>
    <cellStyle name="20% - Accent2 2 3 4 3 2" xfId="2648"/>
    <cellStyle name="20% - Accent2 2 3 4 4" xfId="1818"/>
    <cellStyle name="20% - Accent2 2 3 4 5" xfId="1395"/>
    <cellStyle name="20% - Accent2 2 3 5" xfId="82"/>
    <cellStyle name="20% - Accent2 2 3 5 2" xfId="1820"/>
    <cellStyle name="20% - Accent2 2 3 5 3" xfId="1391"/>
    <cellStyle name="20% - Accent2 2 3 6" xfId="882"/>
    <cellStyle name="20% - Accent2 2 3 6 2" xfId="2588"/>
    <cellStyle name="20% - Accent2 2 3 7" xfId="1811"/>
    <cellStyle name="20% - Accent2 2 3 8" xfId="1289"/>
    <cellStyle name="20% - Accent2 2 4" xfId="83"/>
    <cellStyle name="20% - Accent2 2 4 2" xfId="84"/>
    <cellStyle name="20% - Accent2 2 4 2 2" xfId="85"/>
    <cellStyle name="20% - Accent2 2 4 2 2 2" xfId="1823"/>
    <cellStyle name="20% - Accent2 2 4 2 3" xfId="946"/>
    <cellStyle name="20% - Accent2 2 4 2 3 2" xfId="2650"/>
    <cellStyle name="20% - Accent2 2 4 2 4" xfId="1822"/>
    <cellStyle name="20% - Accent2 2 4 2 5" xfId="1397"/>
    <cellStyle name="20% - Accent2 2 4 3" xfId="86"/>
    <cellStyle name="20% - Accent2 2 4 3 2" xfId="1824"/>
    <cellStyle name="20% - Accent2 2 4 3 3" xfId="1396"/>
    <cellStyle name="20% - Accent2 2 4 4" xfId="945"/>
    <cellStyle name="20% - Accent2 2 4 4 2" xfId="2649"/>
    <cellStyle name="20% - Accent2 2 4 5" xfId="1821"/>
    <cellStyle name="20% - Accent2 2 4 6" xfId="1286"/>
    <cellStyle name="20% - Accent2 2 5" xfId="87"/>
    <cellStyle name="20% - Accent2 2 5 2" xfId="88"/>
    <cellStyle name="20% - Accent2 2 5 2 2" xfId="1826"/>
    <cellStyle name="20% - Accent2 2 5 3" xfId="947"/>
    <cellStyle name="20% - Accent2 2 5 3 2" xfId="2651"/>
    <cellStyle name="20% - Accent2 2 5 4" xfId="1825"/>
    <cellStyle name="20% - Accent2 2 5 5" xfId="1398"/>
    <cellStyle name="20% - Accent2 2 6" xfId="89"/>
    <cellStyle name="20% - Accent2 2 6 2" xfId="90"/>
    <cellStyle name="20% - Accent2 2 6 2 2" xfId="1828"/>
    <cellStyle name="20% - Accent2 2 6 3" xfId="948"/>
    <cellStyle name="20% - Accent2 2 6 3 2" xfId="2652"/>
    <cellStyle name="20% - Accent2 2 6 4" xfId="1827"/>
    <cellStyle name="20% - Accent2 2 6 5" xfId="1399"/>
    <cellStyle name="20% - Accent2 2 7" xfId="91"/>
    <cellStyle name="20% - Accent2 2 7 2" xfId="1829"/>
    <cellStyle name="20% - Accent2 2 7 3" xfId="1380"/>
    <cellStyle name="20% - Accent2 2 8" xfId="844"/>
    <cellStyle name="20% - Accent2 2 8 2" xfId="2550"/>
    <cellStyle name="20% - Accent2 2 9" xfId="1790"/>
    <cellStyle name="20% - Accent2 3" xfId="1264"/>
    <cellStyle name="20% - Accent2 4" xfId="2532"/>
    <cellStyle name="20% - Accent2 5" xfId="1234"/>
    <cellStyle name="20% - Accent3" xfId="820" builtinId="38" customBuiltin="1"/>
    <cellStyle name="20% - Accent3 2" xfId="92"/>
    <cellStyle name="20% - Accent3 2 10" xfId="1250"/>
    <cellStyle name="20% - Accent3 2 2" xfId="93"/>
    <cellStyle name="20% - Accent3 2 2 2" xfId="94"/>
    <cellStyle name="20% - Accent3 2 2 2 2" xfId="95"/>
    <cellStyle name="20% - Accent3 2 2 2 2 2" xfId="96"/>
    <cellStyle name="20% - Accent3 2 2 2 2 2 2" xfId="97"/>
    <cellStyle name="20% - Accent3 2 2 2 2 2 2 2" xfId="1835"/>
    <cellStyle name="20% - Accent3 2 2 2 2 2 3" xfId="950"/>
    <cellStyle name="20% - Accent3 2 2 2 2 2 3 2" xfId="2654"/>
    <cellStyle name="20% - Accent3 2 2 2 2 2 4" xfId="1834"/>
    <cellStyle name="20% - Accent3 2 2 2 2 2 5" xfId="1404"/>
    <cellStyle name="20% - Accent3 2 2 2 2 3" xfId="98"/>
    <cellStyle name="20% - Accent3 2 2 2 2 3 2" xfId="1836"/>
    <cellStyle name="20% - Accent3 2 2 2 2 4" xfId="949"/>
    <cellStyle name="20% - Accent3 2 2 2 2 4 2" xfId="2653"/>
    <cellStyle name="20% - Accent3 2 2 2 2 5" xfId="1833"/>
    <cellStyle name="20% - Accent3 2 2 2 2 6" xfId="1403"/>
    <cellStyle name="20% - Accent3 2 2 2 3" xfId="99"/>
    <cellStyle name="20% - Accent3 2 2 2 3 2" xfId="100"/>
    <cellStyle name="20% - Accent3 2 2 2 3 2 2" xfId="1838"/>
    <cellStyle name="20% - Accent3 2 2 2 3 3" xfId="951"/>
    <cellStyle name="20% - Accent3 2 2 2 3 3 2" xfId="2655"/>
    <cellStyle name="20% - Accent3 2 2 2 3 4" xfId="1837"/>
    <cellStyle name="20% - Accent3 2 2 2 3 5" xfId="1405"/>
    <cellStyle name="20% - Accent3 2 2 2 4" xfId="101"/>
    <cellStyle name="20% - Accent3 2 2 2 4 2" xfId="102"/>
    <cellStyle name="20% - Accent3 2 2 2 4 2 2" xfId="1840"/>
    <cellStyle name="20% - Accent3 2 2 2 4 3" xfId="952"/>
    <cellStyle name="20% - Accent3 2 2 2 4 3 2" xfId="2656"/>
    <cellStyle name="20% - Accent3 2 2 2 4 4" xfId="1839"/>
    <cellStyle name="20% - Accent3 2 2 2 4 5" xfId="1406"/>
    <cellStyle name="20% - Accent3 2 2 2 5" xfId="103"/>
    <cellStyle name="20% - Accent3 2 2 2 5 2" xfId="1841"/>
    <cellStyle name="20% - Accent3 2 2 2 5 3" xfId="1402"/>
    <cellStyle name="20% - Accent3 2 2 2 6" xfId="902"/>
    <cellStyle name="20% - Accent3 2 2 2 6 2" xfId="2608"/>
    <cellStyle name="20% - Accent3 2 2 2 7" xfId="1832"/>
    <cellStyle name="20% - Accent3 2 2 2 8" xfId="1292"/>
    <cellStyle name="20% - Accent3 2 2 3" xfId="104"/>
    <cellStyle name="20% - Accent3 2 2 3 2" xfId="105"/>
    <cellStyle name="20% - Accent3 2 2 3 2 2" xfId="106"/>
    <cellStyle name="20% - Accent3 2 2 3 2 2 2" xfId="1844"/>
    <cellStyle name="20% - Accent3 2 2 3 2 3" xfId="954"/>
    <cellStyle name="20% - Accent3 2 2 3 2 3 2" xfId="2658"/>
    <cellStyle name="20% - Accent3 2 2 3 2 4" xfId="1843"/>
    <cellStyle name="20% - Accent3 2 2 3 2 5" xfId="1408"/>
    <cellStyle name="20% - Accent3 2 2 3 3" xfId="107"/>
    <cellStyle name="20% - Accent3 2 2 3 3 2" xfId="1845"/>
    <cellStyle name="20% - Accent3 2 2 3 4" xfId="953"/>
    <cellStyle name="20% - Accent3 2 2 3 4 2" xfId="2657"/>
    <cellStyle name="20% - Accent3 2 2 3 5" xfId="1842"/>
    <cellStyle name="20% - Accent3 2 2 3 6" xfId="1407"/>
    <cellStyle name="20% - Accent3 2 2 4" xfId="108"/>
    <cellStyle name="20% - Accent3 2 2 4 2" xfId="109"/>
    <cellStyle name="20% - Accent3 2 2 4 2 2" xfId="1847"/>
    <cellStyle name="20% - Accent3 2 2 4 3" xfId="955"/>
    <cellStyle name="20% - Accent3 2 2 4 3 2" xfId="2659"/>
    <cellStyle name="20% - Accent3 2 2 4 4" xfId="1846"/>
    <cellStyle name="20% - Accent3 2 2 4 5" xfId="1409"/>
    <cellStyle name="20% - Accent3 2 2 5" xfId="110"/>
    <cellStyle name="20% - Accent3 2 2 5 2" xfId="111"/>
    <cellStyle name="20% - Accent3 2 2 5 2 2" xfId="1849"/>
    <cellStyle name="20% - Accent3 2 2 5 3" xfId="956"/>
    <cellStyle name="20% - Accent3 2 2 5 3 2" xfId="2660"/>
    <cellStyle name="20% - Accent3 2 2 5 4" xfId="1848"/>
    <cellStyle name="20% - Accent3 2 2 5 5" xfId="1410"/>
    <cellStyle name="20% - Accent3 2 2 6" xfId="112"/>
    <cellStyle name="20% - Accent3 2 2 6 2" xfId="1850"/>
    <cellStyle name="20% - Accent3 2 2 6 3" xfId="1401"/>
    <cellStyle name="20% - Accent3 2 2 7" xfId="864"/>
    <cellStyle name="20% - Accent3 2 2 7 2" xfId="2570"/>
    <cellStyle name="20% - Accent3 2 2 8" xfId="1831"/>
    <cellStyle name="20% - Accent3 2 2 9" xfId="1291"/>
    <cellStyle name="20% - Accent3 2 3" xfId="113"/>
    <cellStyle name="20% - Accent3 2 3 2" xfId="114"/>
    <cellStyle name="20% - Accent3 2 3 2 2" xfId="115"/>
    <cellStyle name="20% - Accent3 2 3 2 2 2" xfId="116"/>
    <cellStyle name="20% - Accent3 2 3 2 2 2 2" xfId="1854"/>
    <cellStyle name="20% - Accent3 2 3 2 2 3" xfId="958"/>
    <cellStyle name="20% - Accent3 2 3 2 2 3 2" xfId="2662"/>
    <cellStyle name="20% - Accent3 2 3 2 2 4" xfId="1853"/>
    <cellStyle name="20% - Accent3 2 3 2 2 5" xfId="1413"/>
    <cellStyle name="20% - Accent3 2 3 2 3" xfId="117"/>
    <cellStyle name="20% - Accent3 2 3 2 3 2" xfId="1855"/>
    <cellStyle name="20% - Accent3 2 3 2 4" xfId="957"/>
    <cellStyle name="20% - Accent3 2 3 2 4 2" xfId="2661"/>
    <cellStyle name="20% - Accent3 2 3 2 5" xfId="1852"/>
    <cellStyle name="20% - Accent3 2 3 2 6" xfId="1412"/>
    <cellStyle name="20% - Accent3 2 3 3" xfId="118"/>
    <cellStyle name="20% - Accent3 2 3 3 2" xfId="119"/>
    <cellStyle name="20% - Accent3 2 3 3 2 2" xfId="1857"/>
    <cellStyle name="20% - Accent3 2 3 3 3" xfId="959"/>
    <cellStyle name="20% - Accent3 2 3 3 3 2" xfId="2663"/>
    <cellStyle name="20% - Accent3 2 3 3 4" xfId="1856"/>
    <cellStyle name="20% - Accent3 2 3 3 5" xfId="1414"/>
    <cellStyle name="20% - Accent3 2 3 4" xfId="120"/>
    <cellStyle name="20% - Accent3 2 3 4 2" xfId="121"/>
    <cellStyle name="20% - Accent3 2 3 4 2 2" xfId="1859"/>
    <cellStyle name="20% - Accent3 2 3 4 3" xfId="960"/>
    <cellStyle name="20% - Accent3 2 3 4 3 2" xfId="2664"/>
    <cellStyle name="20% - Accent3 2 3 4 4" xfId="1858"/>
    <cellStyle name="20% - Accent3 2 3 4 5" xfId="1415"/>
    <cellStyle name="20% - Accent3 2 3 5" xfId="122"/>
    <cellStyle name="20% - Accent3 2 3 5 2" xfId="1860"/>
    <cellStyle name="20% - Accent3 2 3 5 3" xfId="1411"/>
    <cellStyle name="20% - Accent3 2 3 6" xfId="883"/>
    <cellStyle name="20% - Accent3 2 3 6 2" xfId="2589"/>
    <cellStyle name="20% - Accent3 2 3 7" xfId="1851"/>
    <cellStyle name="20% - Accent3 2 3 8" xfId="1293"/>
    <cellStyle name="20% - Accent3 2 4" xfId="123"/>
    <cellStyle name="20% - Accent3 2 4 2" xfId="124"/>
    <cellStyle name="20% - Accent3 2 4 2 2" xfId="125"/>
    <cellStyle name="20% - Accent3 2 4 2 2 2" xfId="1863"/>
    <cellStyle name="20% - Accent3 2 4 2 3" xfId="962"/>
    <cellStyle name="20% - Accent3 2 4 2 3 2" xfId="2666"/>
    <cellStyle name="20% - Accent3 2 4 2 4" xfId="1862"/>
    <cellStyle name="20% - Accent3 2 4 2 5" xfId="1417"/>
    <cellStyle name="20% - Accent3 2 4 3" xfId="126"/>
    <cellStyle name="20% - Accent3 2 4 3 2" xfId="1864"/>
    <cellStyle name="20% - Accent3 2 4 3 3" xfId="1416"/>
    <cellStyle name="20% - Accent3 2 4 4" xfId="961"/>
    <cellStyle name="20% - Accent3 2 4 4 2" xfId="2665"/>
    <cellStyle name="20% - Accent3 2 4 5" xfId="1861"/>
    <cellStyle name="20% - Accent3 2 4 6" xfId="1290"/>
    <cellStyle name="20% - Accent3 2 5" xfId="127"/>
    <cellStyle name="20% - Accent3 2 5 2" xfId="128"/>
    <cellStyle name="20% - Accent3 2 5 2 2" xfId="1866"/>
    <cellStyle name="20% - Accent3 2 5 3" xfId="963"/>
    <cellStyle name="20% - Accent3 2 5 3 2" xfId="2667"/>
    <cellStyle name="20% - Accent3 2 5 4" xfId="1865"/>
    <cellStyle name="20% - Accent3 2 5 5" xfId="1418"/>
    <cellStyle name="20% - Accent3 2 6" xfId="129"/>
    <cellStyle name="20% - Accent3 2 6 2" xfId="130"/>
    <cellStyle name="20% - Accent3 2 6 2 2" xfId="1868"/>
    <cellStyle name="20% - Accent3 2 6 3" xfId="964"/>
    <cellStyle name="20% - Accent3 2 6 3 2" xfId="2668"/>
    <cellStyle name="20% - Accent3 2 6 4" xfId="1867"/>
    <cellStyle name="20% - Accent3 2 6 5" xfId="1419"/>
    <cellStyle name="20% - Accent3 2 7" xfId="131"/>
    <cellStyle name="20% - Accent3 2 7 2" xfId="1869"/>
    <cellStyle name="20% - Accent3 2 7 3" xfId="1400"/>
    <cellStyle name="20% - Accent3 2 8" xfId="845"/>
    <cellStyle name="20% - Accent3 2 8 2" xfId="2551"/>
    <cellStyle name="20% - Accent3 2 9" xfId="1830"/>
    <cellStyle name="20% - Accent3 3" xfId="1266"/>
    <cellStyle name="20% - Accent3 4" xfId="2534"/>
    <cellStyle name="20% - Accent3 5" xfId="1236"/>
    <cellStyle name="20% - Accent4" xfId="824" builtinId="42" customBuiltin="1"/>
    <cellStyle name="20% - Accent4 2" xfId="132"/>
    <cellStyle name="20% - Accent4 2 10" xfId="1251"/>
    <cellStyle name="20% - Accent4 2 2" xfId="133"/>
    <cellStyle name="20% - Accent4 2 2 2" xfId="134"/>
    <cellStyle name="20% - Accent4 2 2 2 2" xfId="135"/>
    <cellStyle name="20% - Accent4 2 2 2 2 2" xfId="136"/>
    <cellStyle name="20% - Accent4 2 2 2 2 2 2" xfId="137"/>
    <cellStyle name="20% - Accent4 2 2 2 2 2 2 2" xfId="1875"/>
    <cellStyle name="20% - Accent4 2 2 2 2 2 3" xfId="966"/>
    <cellStyle name="20% - Accent4 2 2 2 2 2 3 2" xfId="2670"/>
    <cellStyle name="20% - Accent4 2 2 2 2 2 4" xfId="1874"/>
    <cellStyle name="20% - Accent4 2 2 2 2 2 5" xfId="1424"/>
    <cellStyle name="20% - Accent4 2 2 2 2 3" xfId="138"/>
    <cellStyle name="20% - Accent4 2 2 2 2 3 2" xfId="1876"/>
    <cellStyle name="20% - Accent4 2 2 2 2 4" xfId="965"/>
    <cellStyle name="20% - Accent4 2 2 2 2 4 2" xfId="2669"/>
    <cellStyle name="20% - Accent4 2 2 2 2 5" xfId="1873"/>
    <cellStyle name="20% - Accent4 2 2 2 2 6" xfId="1423"/>
    <cellStyle name="20% - Accent4 2 2 2 3" xfId="139"/>
    <cellStyle name="20% - Accent4 2 2 2 3 2" xfId="140"/>
    <cellStyle name="20% - Accent4 2 2 2 3 2 2" xfId="1878"/>
    <cellStyle name="20% - Accent4 2 2 2 3 3" xfId="967"/>
    <cellStyle name="20% - Accent4 2 2 2 3 3 2" xfId="2671"/>
    <cellStyle name="20% - Accent4 2 2 2 3 4" xfId="1877"/>
    <cellStyle name="20% - Accent4 2 2 2 3 5" xfId="1425"/>
    <cellStyle name="20% - Accent4 2 2 2 4" xfId="141"/>
    <cellStyle name="20% - Accent4 2 2 2 4 2" xfId="142"/>
    <cellStyle name="20% - Accent4 2 2 2 4 2 2" xfId="1880"/>
    <cellStyle name="20% - Accent4 2 2 2 4 3" xfId="968"/>
    <cellStyle name="20% - Accent4 2 2 2 4 3 2" xfId="2672"/>
    <cellStyle name="20% - Accent4 2 2 2 4 4" xfId="1879"/>
    <cellStyle name="20% - Accent4 2 2 2 4 5" xfId="1426"/>
    <cellStyle name="20% - Accent4 2 2 2 5" xfId="143"/>
    <cellStyle name="20% - Accent4 2 2 2 5 2" xfId="1881"/>
    <cellStyle name="20% - Accent4 2 2 2 5 3" xfId="1422"/>
    <cellStyle name="20% - Accent4 2 2 2 6" xfId="903"/>
    <cellStyle name="20% - Accent4 2 2 2 6 2" xfId="2609"/>
    <cellStyle name="20% - Accent4 2 2 2 7" xfId="1872"/>
    <cellStyle name="20% - Accent4 2 2 2 8" xfId="1296"/>
    <cellStyle name="20% - Accent4 2 2 3" xfId="144"/>
    <cellStyle name="20% - Accent4 2 2 3 2" xfId="145"/>
    <cellStyle name="20% - Accent4 2 2 3 2 2" xfId="146"/>
    <cellStyle name="20% - Accent4 2 2 3 2 2 2" xfId="1884"/>
    <cellStyle name="20% - Accent4 2 2 3 2 3" xfId="970"/>
    <cellStyle name="20% - Accent4 2 2 3 2 3 2" xfId="2674"/>
    <cellStyle name="20% - Accent4 2 2 3 2 4" xfId="1883"/>
    <cellStyle name="20% - Accent4 2 2 3 2 5" xfId="1428"/>
    <cellStyle name="20% - Accent4 2 2 3 3" xfId="147"/>
    <cellStyle name="20% - Accent4 2 2 3 3 2" xfId="1885"/>
    <cellStyle name="20% - Accent4 2 2 3 4" xfId="969"/>
    <cellStyle name="20% - Accent4 2 2 3 4 2" xfId="2673"/>
    <cellStyle name="20% - Accent4 2 2 3 5" xfId="1882"/>
    <cellStyle name="20% - Accent4 2 2 3 6" xfId="1427"/>
    <cellStyle name="20% - Accent4 2 2 4" xfId="148"/>
    <cellStyle name="20% - Accent4 2 2 4 2" xfId="149"/>
    <cellStyle name="20% - Accent4 2 2 4 2 2" xfId="1887"/>
    <cellStyle name="20% - Accent4 2 2 4 3" xfId="971"/>
    <cellStyle name="20% - Accent4 2 2 4 3 2" xfId="2675"/>
    <cellStyle name="20% - Accent4 2 2 4 4" xfId="1886"/>
    <cellStyle name="20% - Accent4 2 2 4 5" xfId="1429"/>
    <cellStyle name="20% - Accent4 2 2 5" xfId="150"/>
    <cellStyle name="20% - Accent4 2 2 5 2" xfId="151"/>
    <cellStyle name="20% - Accent4 2 2 5 2 2" xfId="1889"/>
    <cellStyle name="20% - Accent4 2 2 5 3" xfId="972"/>
    <cellStyle name="20% - Accent4 2 2 5 3 2" xfId="2676"/>
    <cellStyle name="20% - Accent4 2 2 5 4" xfId="1888"/>
    <cellStyle name="20% - Accent4 2 2 5 5" xfId="1430"/>
    <cellStyle name="20% - Accent4 2 2 6" xfId="152"/>
    <cellStyle name="20% - Accent4 2 2 6 2" xfId="1890"/>
    <cellStyle name="20% - Accent4 2 2 6 3" xfId="1421"/>
    <cellStyle name="20% - Accent4 2 2 7" xfId="865"/>
    <cellStyle name="20% - Accent4 2 2 7 2" xfId="2571"/>
    <cellStyle name="20% - Accent4 2 2 8" xfId="1871"/>
    <cellStyle name="20% - Accent4 2 2 9" xfId="1295"/>
    <cellStyle name="20% - Accent4 2 3" xfId="153"/>
    <cellStyle name="20% - Accent4 2 3 2" xfId="154"/>
    <cellStyle name="20% - Accent4 2 3 2 2" xfId="155"/>
    <cellStyle name="20% - Accent4 2 3 2 2 2" xfId="156"/>
    <cellStyle name="20% - Accent4 2 3 2 2 2 2" xfId="1894"/>
    <cellStyle name="20% - Accent4 2 3 2 2 3" xfId="974"/>
    <cellStyle name="20% - Accent4 2 3 2 2 3 2" xfId="2678"/>
    <cellStyle name="20% - Accent4 2 3 2 2 4" xfId="1893"/>
    <cellStyle name="20% - Accent4 2 3 2 2 5" xfId="1433"/>
    <cellStyle name="20% - Accent4 2 3 2 3" xfId="157"/>
    <cellStyle name="20% - Accent4 2 3 2 3 2" xfId="1895"/>
    <cellStyle name="20% - Accent4 2 3 2 4" xfId="973"/>
    <cellStyle name="20% - Accent4 2 3 2 4 2" xfId="2677"/>
    <cellStyle name="20% - Accent4 2 3 2 5" xfId="1892"/>
    <cellStyle name="20% - Accent4 2 3 2 6" xfId="1432"/>
    <cellStyle name="20% - Accent4 2 3 3" xfId="158"/>
    <cellStyle name="20% - Accent4 2 3 3 2" xfId="159"/>
    <cellStyle name="20% - Accent4 2 3 3 2 2" xfId="1897"/>
    <cellStyle name="20% - Accent4 2 3 3 3" xfId="975"/>
    <cellStyle name="20% - Accent4 2 3 3 3 2" xfId="2679"/>
    <cellStyle name="20% - Accent4 2 3 3 4" xfId="1896"/>
    <cellStyle name="20% - Accent4 2 3 3 5" xfId="1434"/>
    <cellStyle name="20% - Accent4 2 3 4" xfId="160"/>
    <cellStyle name="20% - Accent4 2 3 4 2" xfId="161"/>
    <cellStyle name="20% - Accent4 2 3 4 2 2" xfId="1899"/>
    <cellStyle name="20% - Accent4 2 3 4 3" xfId="976"/>
    <cellStyle name="20% - Accent4 2 3 4 3 2" xfId="2680"/>
    <cellStyle name="20% - Accent4 2 3 4 4" xfId="1898"/>
    <cellStyle name="20% - Accent4 2 3 4 5" xfId="1435"/>
    <cellStyle name="20% - Accent4 2 3 5" xfId="162"/>
    <cellStyle name="20% - Accent4 2 3 5 2" xfId="1900"/>
    <cellStyle name="20% - Accent4 2 3 5 3" xfId="1431"/>
    <cellStyle name="20% - Accent4 2 3 6" xfId="884"/>
    <cellStyle name="20% - Accent4 2 3 6 2" xfId="2590"/>
    <cellStyle name="20% - Accent4 2 3 7" xfId="1891"/>
    <cellStyle name="20% - Accent4 2 3 8" xfId="1297"/>
    <cellStyle name="20% - Accent4 2 4" xfId="163"/>
    <cellStyle name="20% - Accent4 2 4 2" xfId="164"/>
    <cellStyle name="20% - Accent4 2 4 2 2" xfId="165"/>
    <cellStyle name="20% - Accent4 2 4 2 2 2" xfId="1903"/>
    <cellStyle name="20% - Accent4 2 4 2 3" xfId="978"/>
    <cellStyle name="20% - Accent4 2 4 2 3 2" xfId="2682"/>
    <cellStyle name="20% - Accent4 2 4 2 4" xfId="1902"/>
    <cellStyle name="20% - Accent4 2 4 2 5" xfId="1437"/>
    <cellStyle name="20% - Accent4 2 4 3" xfId="166"/>
    <cellStyle name="20% - Accent4 2 4 3 2" xfId="1904"/>
    <cellStyle name="20% - Accent4 2 4 3 3" xfId="1436"/>
    <cellStyle name="20% - Accent4 2 4 4" xfId="977"/>
    <cellStyle name="20% - Accent4 2 4 4 2" xfId="2681"/>
    <cellStyle name="20% - Accent4 2 4 5" xfId="1901"/>
    <cellStyle name="20% - Accent4 2 4 6" xfId="1294"/>
    <cellStyle name="20% - Accent4 2 5" xfId="167"/>
    <cellStyle name="20% - Accent4 2 5 2" xfId="168"/>
    <cellStyle name="20% - Accent4 2 5 2 2" xfId="1906"/>
    <cellStyle name="20% - Accent4 2 5 3" xfId="979"/>
    <cellStyle name="20% - Accent4 2 5 3 2" xfId="2683"/>
    <cellStyle name="20% - Accent4 2 5 4" xfId="1905"/>
    <cellStyle name="20% - Accent4 2 5 5" xfId="1438"/>
    <cellStyle name="20% - Accent4 2 6" xfId="169"/>
    <cellStyle name="20% - Accent4 2 6 2" xfId="170"/>
    <cellStyle name="20% - Accent4 2 6 2 2" xfId="1908"/>
    <cellStyle name="20% - Accent4 2 6 3" xfId="980"/>
    <cellStyle name="20% - Accent4 2 6 3 2" xfId="2684"/>
    <cellStyle name="20% - Accent4 2 6 4" xfId="1907"/>
    <cellStyle name="20% - Accent4 2 6 5" xfId="1439"/>
    <cellStyle name="20% - Accent4 2 7" xfId="171"/>
    <cellStyle name="20% - Accent4 2 7 2" xfId="1909"/>
    <cellStyle name="20% - Accent4 2 7 3" xfId="1420"/>
    <cellStyle name="20% - Accent4 2 8" xfId="846"/>
    <cellStyle name="20% - Accent4 2 8 2" xfId="2552"/>
    <cellStyle name="20% - Accent4 2 9" xfId="1870"/>
    <cellStyle name="20% - Accent4 3" xfId="1268"/>
    <cellStyle name="20% - Accent4 4" xfId="2536"/>
    <cellStyle name="20% - Accent4 5" xfId="1238"/>
    <cellStyle name="20% - Accent5" xfId="828" builtinId="46" customBuiltin="1"/>
    <cellStyle name="20% - Accent5 2" xfId="172"/>
    <cellStyle name="20% - Accent5 2 10" xfId="1252"/>
    <cellStyle name="20% - Accent5 2 2" xfId="173"/>
    <cellStyle name="20% - Accent5 2 2 2" xfId="174"/>
    <cellStyle name="20% - Accent5 2 2 2 2" xfId="175"/>
    <cellStyle name="20% - Accent5 2 2 2 2 2" xfId="176"/>
    <cellStyle name="20% - Accent5 2 2 2 2 2 2" xfId="177"/>
    <cellStyle name="20% - Accent5 2 2 2 2 2 2 2" xfId="1915"/>
    <cellStyle name="20% - Accent5 2 2 2 2 2 3" xfId="982"/>
    <cellStyle name="20% - Accent5 2 2 2 2 2 3 2" xfId="2686"/>
    <cellStyle name="20% - Accent5 2 2 2 2 2 4" xfId="1914"/>
    <cellStyle name="20% - Accent5 2 2 2 2 2 5" xfId="1444"/>
    <cellStyle name="20% - Accent5 2 2 2 2 3" xfId="178"/>
    <cellStyle name="20% - Accent5 2 2 2 2 3 2" xfId="1916"/>
    <cellStyle name="20% - Accent5 2 2 2 2 4" xfId="981"/>
    <cellStyle name="20% - Accent5 2 2 2 2 4 2" xfId="2685"/>
    <cellStyle name="20% - Accent5 2 2 2 2 5" xfId="1913"/>
    <cellStyle name="20% - Accent5 2 2 2 2 6" xfId="1443"/>
    <cellStyle name="20% - Accent5 2 2 2 3" xfId="179"/>
    <cellStyle name="20% - Accent5 2 2 2 3 2" xfId="180"/>
    <cellStyle name="20% - Accent5 2 2 2 3 2 2" xfId="1918"/>
    <cellStyle name="20% - Accent5 2 2 2 3 3" xfId="983"/>
    <cellStyle name="20% - Accent5 2 2 2 3 3 2" xfId="2687"/>
    <cellStyle name="20% - Accent5 2 2 2 3 4" xfId="1917"/>
    <cellStyle name="20% - Accent5 2 2 2 3 5" xfId="1445"/>
    <cellStyle name="20% - Accent5 2 2 2 4" xfId="181"/>
    <cellStyle name="20% - Accent5 2 2 2 4 2" xfId="182"/>
    <cellStyle name="20% - Accent5 2 2 2 4 2 2" xfId="1920"/>
    <cellStyle name="20% - Accent5 2 2 2 4 3" xfId="984"/>
    <cellStyle name="20% - Accent5 2 2 2 4 3 2" xfId="2688"/>
    <cellStyle name="20% - Accent5 2 2 2 4 4" xfId="1919"/>
    <cellStyle name="20% - Accent5 2 2 2 4 5" xfId="1446"/>
    <cellStyle name="20% - Accent5 2 2 2 5" xfId="183"/>
    <cellStyle name="20% - Accent5 2 2 2 5 2" xfId="1921"/>
    <cellStyle name="20% - Accent5 2 2 2 5 3" xfId="1442"/>
    <cellStyle name="20% - Accent5 2 2 2 6" xfId="904"/>
    <cellStyle name="20% - Accent5 2 2 2 6 2" xfId="2610"/>
    <cellStyle name="20% - Accent5 2 2 2 7" xfId="1912"/>
    <cellStyle name="20% - Accent5 2 2 2 8" xfId="1300"/>
    <cellStyle name="20% - Accent5 2 2 3" xfId="184"/>
    <cellStyle name="20% - Accent5 2 2 3 2" xfId="185"/>
    <cellStyle name="20% - Accent5 2 2 3 2 2" xfId="186"/>
    <cellStyle name="20% - Accent5 2 2 3 2 2 2" xfId="1924"/>
    <cellStyle name="20% - Accent5 2 2 3 2 3" xfId="986"/>
    <cellStyle name="20% - Accent5 2 2 3 2 3 2" xfId="2690"/>
    <cellStyle name="20% - Accent5 2 2 3 2 4" xfId="1923"/>
    <cellStyle name="20% - Accent5 2 2 3 2 5" xfId="1448"/>
    <cellStyle name="20% - Accent5 2 2 3 3" xfId="187"/>
    <cellStyle name="20% - Accent5 2 2 3 3 2" xfId="1925"/>
    <cellStyle name="20% - Accent5 2 2 3 4" xfId="985"/>
    <cellStyle name="20% - Accent5 2 2 3 4 2" xfId="2689"/>
    <cellStyle name="20% - Accent5 2 2 3 5" xfId="1922"/>
    <cellStyle name="20% - Accent5 2 2 3 6" xfId="1447"/>
    <cellStyle name="20% - Accent5 2 2 4" xfId="188"/>
    <cellStyle name="20% - Accent5 2 2 4 2" xfId="189"/>
    <cellStyle name="20% - Accent5 2 2 4 2 2" xfId="1927"/>
    <cellStyle name="20% - Accent5 2 2 4 3" xfId="987"/>
    <cellStyle name="20% - Accent5 2 2 4 3 2" xfId="2691"/>
    <cellStyle name="20% - Accent5 2 2 4 4" xfId="1926"/>
    <cellStyle name="20% - Accent5 2 2 4 5" xfId="1449"/>
    <cellStyle name="20% - Accent5 2 2 5" xfId="190"/>
    <cellStyle name="20% - Accent5 2 2 5 2" xfId="191"/>
    <cellStyle name="20% - Accent5 2 2 5 2 2" xfId="1929"/>
    <cellStyle name="20% - Accent5 2 2 5 3" xfId="988"/>
    <cellStyle name="20% - Accent5 2 2 5 3 2" xfId="2692"/>
    <cellStyle name="20% - Accent5 2 2 5 4" xfId="1928"/>
    <cellStyle name="20% - Accent5 2 2 5 5" xfId="1450"/>
    <cellStyle name="20% - Accent5 2 2 6" xfId="192"/>
    <cellStyle name="20% - Accent5 2 2 6 2" xfId="1930"/>
    <cellStyle name="20% - Accent5 2 2 6 3" xfId="1441"/>
    <cellStyle name="20% - Accent5 2 2 7" xfId="866"/>
    <cellStyle name="20% - Accent5 2 2 7 2" xfId="2572"/>
    <cellStyle name="20% - Accent5 2 2 8" xfId="1911"/>
    <cellStyle name="20% - Accent5 2 2 9" xfId="1299"/>
    <cellStyle name="20% - Accent5 2 3" xfId="193"/>
    <cellStyle name="20% - Accent5 2 3 2" xfId="194"/>
    <cellStyle name="20% - Accent5 2 3 2 2" xfId="195"/>
    <cellStyle name="20% - Accent5 2 3 2 2 2" xfId="196"/>
    <cellStyle name="20% - Accent5 2 3 2 2 2 2" xfId="1934"/>
    <cellStyle name="20% - Accent5 2 3 2 2 3" xfId="990"/>
    <cellStyle name="20% - Accent5 2 3 2 2 3 2" xfId="2694"/>
    <cellStyle name="20% - Accent5 2 3 2 2 4" xfId="1933"/>
    <cellStyle name="20% - Accent5 2 3 2 2 5" xfId="1453"/>
    <cellStyle name="20% - Accent5 2 3 2 3" xfId="197"/>
    <cellStyle name="20% - Accent5 2 3 2 3 2" xfId="1935"/>
    <cellStyle name="20% - Accent5 2 3 2 4" xfId="989"/>
    <cellStyle name="20% - Accent5 2 3 2 4 2" xfId="2693"/>
    <cellStyle name="20% - Accent5 2 3 2 5" xfId="1932"/>
    <cellStyle name="20% - Accent5 2 3 2 6" xfId="1452"/>
    <cellStyle name="20% - Accent5 2 3 3" xfId="198"/>
    <cellStyle name="20% - Accent5 2 3 3 2" xfId="199"/>
    <cellStyle name="20% - Accent5 2 3 3 2 2" xfId="1937"/>
    <cellStyle name="20% - Accent5 2 3 3 3" xfId="991"/>
    <cellStyle name="20% - Accent5 2 3 3 3 2" xfId="2695"/>
    <cellStyle name="20% - Accent5 2 3 3 4" xfId="1936"/>
    <cellStyle name="20% - Accent5 2 3 3 5" xfId="1454"/>
    <cellStyle name="20% - Accent5 2 3 4" xfId="200"/>
    <cellStyle name="20% - Accent5 2 3 4 2" xfId="201"/>
    <cellStyle name="20% - Accent5 2 3 4 2 2" xfId="1939"/>
    <cellStyle name="20% - Accent5 2 3 4 3" xfId="992"/>
    <cellStyle name="20% - Accent5 2 3 4 3 2" xfId="2696"/>
    <cellStyle name="20% - Accent5 2 3 4 4" xfId="1938"/>
    <cellStyle name="20% - Accent5 2 3 4 5" xfId="1455"/>
    <cellStyle name="20% - Accent5 2 3 5" xfId="202"/>
    <cellStyle name="20% - Accent5 2 3 5 2" xfId="1940"/>
    <cellStyle name="20% - Accent5 2 3 5 3" xfId="1451"/>
    <cellStyle name="20% - Accent5 2 3 6" xfId="885"/>
    <cellStyle name="20% - Accent5 2 3 6 2" xfId="2591"/>
    <cellStyle name="20% - Accent5 2 3 7" xfId="1931"/>
    <cellStyle name="20% - Accent5 2 3 8" xfId="1301"/>
    <cellStyle name="20% - Accent5 2 4" xfId="203"/>
    <cellStyle name="20% - Accent5 2 4 2" xfId="204"/>
    <cellStyle name="20% - Accent5 2 4 2 2" xfId="205"/>
    <cellStyle name="20% - Accent5 2 4 2 2 2" xfId="1943"/>
    <cellStyle name="20% - Accent5 2 4 2 3" xfId="994"/>
    <cellStyle name="20% - Accent5 2 4 2 3 2" xfId="2698"/>
    <cellStyle name="20% - Accent5 2 4 2 4" xfId="1942"/>
    <cellStyle name="20% - Accent5 2 4 2 5" xfId="1457"/>
    <cellStyle name="20% - Accent5 2 4 3" xfId="206"/>
    <cellStyle name="20% - Accent5 2 4 3 2" xfId="1944"/>
    <cellStyle name="20% - Accent5 2 4 3 3" xfId="1456"/>
    <cellStyle name="20% - Accent5 2 4 4" xfId="993"/>
    <cellStyle name="20% - Accent5 2 4 4 2" xfId="2697"/>
    <cellStyle name="20% - Accent5 2 4 5" xfId="1941"/>
    <cellStyle name="20% - Accent5 2 4 6" xfId="1298"/>
    <cellStyle name="20% - Accent5 2 5" xfId="207"/>
    <cellStyle name="20% - Accent5 2 5 2" xfId="208"/>
    <cellStyle name="20% - Accent5 2 5 2 2" xfId="1946"/>
    <cellStyle name="20% - Accent5 2 5 3" xfId="995"/>
    <cellStyle name="20% - Accent5 2 5 3 2" xfId="2699"/>
    <cellStyle name="20% - Accent5 2 5 4" xfId="1945"/>
    <cellStyle name="20% - Accent5 2 5 5" xfId="1458"/>
    <cellStyle name="20% - Accent5 2 6" xfId="209"/>
    <cellStyle name="20% - Accent5 2 6 2" xfId="210"/>
    <cellStyle name="20% - Accent5 2 6 2 2" xfId="1948"/>
    <cellStyle name="20% - Accent5 2 6 3" xfId="996"/>
    <cellStyle name="20% - Accent5 2 6 3 2" xfId="2700"/>
    <cellStyle name="20% - Accent5 2 6 4" xfId="1947"/>
    <cellStyle name="20% - Accent5 2 6 5" xfId="1459"/>
    <cellStyle name="20% - Accent5 2 7" xfId="211"/>
    <cellStyle name="20% - Accent5 2 7 2" xfId="1949"/>
    <cellStyle name="20% - Accent5 2 7 3" xfId="1440"/>
    <cellStyle name="20% - Accent5 2 8" xfId="847"/>
    <cellStyle name="20% - Accent5 2 8 2" xfId="2553"/>
    <cellStyle name="20% - Accent5 2 9" xfId="1910"/>
    <cellStyle name="20% - Accent5 3" xfId="1270"/>
    <cellStyle name="20% - Accent5 4" xfId="2538"/>
    <cellStyle name="20% - Accent5 5" xfId="1240"/>
    <cellStyle name="20% - Accent6" xfId="832" builtinId="50" customBuiltin="1"/>
    <cellStyle name="20% - Accent6 2" xfId="212"/>
    <cellStyle name="20% - Accent6 2 10" xfId="1253"/>
    <cellStyle name="20% - Accent6 2 2" xfId="213"/>
    <cellStyle name="20% - Accent6 2 2 2" xfId="214"/>
    <cellStyle name="20% - Accent6 2 2 2 2" xfId="215"/>
    <cellStyle name="20% - Accent6 2 2 2 2 2" xfId="216"/>
    <cellStyle name="20% - Accent6 2 2 2 2 2 2" xfId="217"/>
    <cellStyle name="20% - Accent6 2 2 2 2 2 2 2" xfId="1955"/>
    <cellStyle name="20% - Accent6 2 2 2 2 2 3" xfId="998"/>
    <cellStyle name="20% - Accent6 2 2 2 2 2 3 2" xfId="2702"/>
    <cellStyle name="20% - Accent6 2 2 2 2 2 4" xfId="1954"/>
    <cellStyle name="20% - Accent6 2 2 2 2 2 5" xfId="1464"/>
    <cellStyle name="20% - Accent6 2 2 2 2 3" xfId="218"/>
    <cellStyle name="20% - Accent6 2 2 2 2 3 2" xfId="1956"/>
    <cellStyle name="20% - Accent6 2 2 2 2 4" xfId="997"/>
    <cellStyle name="20% - Accent6 2 2 2 2 4 2" xfId="2701"/>
    <cellStyle name="20% - Accent6 2 2 2 2 5" xfId="1953"/>
    <cellStyle name="20% - Accent6 2 2 2 2 6" xfId="1463"/>
    <cellStyle name="20% - Accent6 2 2 2 3" xfId="219"/>
    <cellStyle name="20% - Accent6 2 2 2 3 2" xfId="220"/>
    <cellStyle name="20% - Accent6 2 2 2 3 2 2" xfId="1958"/>
    <cellStyle name="20% - Accent6 2 2 2 3 3" xfId="999"/>
    <cellStyle name="20% - Accent6 2 2 2 3 3 2" xfId="2703"/>
    <cellStyle name="20% - Accent6 2 2 2 3 4" xfId="1957"/>
    <cellStyle name="20% - Accent6 2 2 2 3 5" xfId="1465"/>
    <cellStyle name="20% - Accent6 2 2 2 4" xfId="221"/>
    <cellStyle name="20% - Accent6 2 2 2 4 2" xfId="222"/>
    <cellStyle name="20% - Accent6 2 2 2 4 2 2" xfId="1960"/>
    <cellStyle name="20% - Accent6 2 2 2 4 3" xfId="1000"/>
    <cellStyle name="20% - Accent6 2 2 2 4 3 2" xfId="2704"/>
    <cellStyle name="20% - Accent6 2 2 2 4 4" xfId="1959"/>
    <cellStyle name="20% - Accent6 2 2 2 4 5" xfId="1466"/>
    <cellStyle name="20% - Accent6 2 2 2 5" xfId="223"/>
    <cellStyle name="20% - Accent6 2 2 2 5 2" xfId="1961"/>
    <cellStyle name="20% - Accent6 2 2 2 5 3" xfId="1462"/>
    <cellStyle name="20% - Accent6 2 2 2 6" xfId="905"/>
    <cellStyle name="20% - Accent6 2 2 2 6 2" xfId="2611"/>
    <cellStyle name="20% - Accent6 2 2 2 7" xfId="1952"/>
    <cellStyle name="20% - Accent6 2 2 2 8" xfId="1304"/>
    <cellStyle name="20% - Accent6 2 2 3" xfId="224"/>
    <cellStyle name="20% - Accent6 2 2 3 2" xfId="225"/>
    <cellStyle name="20% - Accent6 2 2 3 2 2" xfId="226"/>
    <cellStyle name="20% - Accent6 2 2 3 2 2 2" xfId="1964"/>
    <cellStyle name="20% - Accent6 2 2 3 2 3" xfId="1002"/>
    <cellStyle name="20% - Accent6 2 2 3 2 3 2" xfId="2706"/>
    <cellStyle name="20% - Accent6 2 2 3 2 4" xfId="1963"/>
    <cellStyle name="20% - Accent6 2 2 3 2 5" xfId="1468"/>
    <cellStyle name="20% - Accent6 2 2 3 3" xfId="227"/>
    <cellStyle name="20% - Accent6 2 2 3 3 2" xfId="1965"/>
    <cellStyle name="20% - Accent6 2 2 3 4" xfId="1001"/>
    <cellStyle name="20% - Accent6 2 2 3 4 2" xfId="2705"/>
    <cellStyle name="20% - Accent6 2 2 3 5" xfId="1962"/>
    <cellStyle name="20% - Accent6 2 2 3 6" xfId="1467"/>
    <cellStyle name="20% - Accent6 2 2 4" xfId="228"/>
    <cellStyle name="20% - Accent6 2 2 4 2" xfId="229"/>
    <cellStyle name="20% - Accent6 2 2 4 2 2" xfId="1967"/>
    <cellStyle name="20% - Accent6 2 2 4 3" xfId="1003"/>
    <cellStyle name="20% - Accent6 2 2 4 3 2" xfId="2707"/>
    <cellStyle name="20% - Accent6 2 2 4 4" xfId="1966"/>
    <cellStyle name="20% - Accent6 2 2 4 5" xfId="1469"/>
    <cellStyle name="20% - Accent6 2 2 5" xfId="230"/>
    <cellStyle name="20% - Accent6 2 2 5 2" xfId="231"/>
    <cellStyle name="20% - Accent6 2 2 5 2 2" xfId="1969"/>
    <cellStyle name="20% - Accent6 2 2 5 3" xfId="1004"/>
    <cellStyle name="20% - Accent6 2 2 5 3 2" xfId="2708"/>
    <cellStyle name="20% - Accent6 2 2 5 4" xfId="1968"/>
    <cellStyle name="20% - Accent6 2 2 5 5" xfId="1470"/>
    <cellStyle name="20% - Accent6 2 2 6" xfId="232"/>
    <cellStyle name="20% - Accent6 2 2 6 2" xfId="1970"/>
    <cellStyle name="20% - Accent6 2 2 6 3" xfId="1461"/>
    <cellStyle name="20% - Accent6 2 2 7" xfId="867"/>
    <cellStyle name="20% - Accent6 2 2 7 2" xfId="2573"/>
    <cellStyle name="20% - Accent6 2 2 8" xfId="1951"/>
    <cellStyle name="20% - Accent6 2 2 9" xfId="1303"/>
    <cellStyle name="20% - Accent6 2 3" xfId="233"/>
    <cellStyle name="20% - Accent6 2 3 2" xfId="234"/>
    <cellStyle name="20% - Accent6 2 3 2 2" xfId="235"/>
    <cellStyle name="20% - Accent6 2 3 2 2 2" xfId="236"/>
    <cellStyle name="20% - Accent6 2 3 2 2 2 2" xfId="1974"/>
    <cellStyle name="20% - Accent6 2 3 2 2 3" xfId="1006"/>
    <cellStyle name="20% - Accent6 2 3 2 2 3 2" xfId="2710"/>
    <cellStyle name="20% - Accent6 2 3 2 2 4" xfId="1973"/>
    <cellStyle name="20% - Accent6 2 3 2 2 5" xfId="1473"/>
    <cellStyle name="20% - Accent6 2 3 2 3" xfId="237"/>
    <cellStyle name="20% - Accent6 2 3 2 3 2" xfId="1975"/>
    <cellStyle name="20% - Accent6 2 3 2 4" xfId="1005"/>
    <cellStyle name="20% - Accent6 2 3 2 4 2" xfId="2709"/>
    <cellStyle name="20% - Accent6 2 3 2 5" xfId="1972"/>
    <cellStyle name="20% - Accent6 2 3 2 6" xfId="1472"/>
    <cellStyle name="20% - Accent6 2 3 3" xfId="238"/>
    <cellStyle name="20% - Accent6 2 3 3 2" xfId="239"/>
    <cellStyle name="20% - Accent6 2 3 3 2 2" xfId="1977"/>
    <cellStyle name="20% - Accent6 2 3 3 3" xfId="1007"/>
    <cellStyle name="20% - Accent6 2 3 3 3 2" xfId="2711"/>
    <cellStyle name="20% - Accent6 2 3 3 4" xfId="1976"/>
    <cellStyle name="20% - Accent6 2 3 3 5" xfId="1474"/>
    <cellStyle name="20% - Accent6 2 3 4" xfId="240"/>
    <cellStyle name="20% - Accent6 2 3 4 2" xfId="241"/>
    <cellStyle name="20% - Accent6 2 3 4 2 2" xfId="1979"/>
    <cellStyle name="20% - Accent6 2 3 4 3" xfId="1008"/>
    <cellStyle name="20% - Accent6 2 3 4 3 2" xfId="2712"/>
    <cellStyle name="20% - Accent6 2 3 4 4" xfId="1978"/>
    <cellStyle name="20% - Accent6 2 3 4 5" xfId="1475"/>
    <cellStyle name="20% - Accent6 2 3 5" xfId="242"/>
    <cellStyle name="20% - Accent6 2 3 5 2" xfId="1980"/>
    <cellStyle name="20% - Accent6 2 3 5 3" xfId="1471"/>
    <cellStyle name="20% - Accent6 2 3 6" xfId="886"/>
    <cellStyle name="20% - Accent6 2 3 6 2" xfId="2592"/>
    <cellStyle name="20% - Accent6 2 3 7" xfId="1971"/>
    <cellStyle name="20% - Accent6 2 3 8" xfId="1305"/>
    <cellStyle name="20% - Accent6 2 4" xfId="243"/>
    <cellStyle name="20% - Accent6 2 4 2" xfId="244"/>
    <cellStyle name="20% - Accent6 2 4 2 2" xfId="245"/>
    <cellStyle name="20% - Accent6 2 4 2 2 2" xfId="1983"/>
    <cellStyle name="20% - Accent6 2 4 2 3" xfId="1010"/>
    <cellStyle name="20% - Accent6 2 4 2 3 2" xfId="2714"/>
    <cellStyle name="20% - Accent6 2 4 2 4" xfId="1982"/>
    <cellStyle name="20% - Accent6 2 4 2 5" xfId="1477"/>
    <cellStyle name="20% - Accent6 2 4 3" xfId="246"/>
    <cellStyle name="20% - Accent6 2 4 3 2" xfId="1984"/>
    <cellStyle name="20% - Accent6 2 4 3 3" xfId="1476"/>
    <cellStyle name="20% - Accent6 2 4 4" xfId="1009"/>
    <cellStyle name="20% - Accent6 2 4 4 2" xfId="2713"/>
    <cellStyle name="20% - Accent6 2 4 5" xfId="1981"/>
    <cellStyle name="20% - Accent6 2 4 6" xfId="1302"/>
    <cellStyle name="20% - Accent6 2 5" xfId="247"/>
    <cellStyle name="20% - Accent6 2 5 2" xfId="248"/>
    <cellStyle name="20% - Accent6 2 5 2 2" xfId="1986"/>
    <cellStyle name="20% - Accent6 2 5 3" xfId="1011"/>
    <cellStyle name="20% - Accent6 2 5 3 2" xfId="2715"/>
    <cellStyle name="20% - Accent6 2 5 4" xfId="1985"/>
    <cellStyle name="20% - Accent6 2 5 5" xfId="1478"/>
    <cellStyle name="20% - Accent6 2 6" xfId="249"/>
    <cellStyle name="20% - Accent6 2 6 2" xfId="250"/>
    <cellStyle name="20% - Accent6 2 6 2 2" xfId="1988"/>
    <cellStyle name="20% - Accent6 2 6 3" xfId="1012"/>
    <cellStyle name="20% - Accent6 2 6 3 2" xfId="2716"/>
    <cellStyle name="20% - Accent6 2 6 4" xfId="1987"/>
    <cellStyle name="20% - Accent6 2 6 5" xfId="1479"/>
    <cellStyle name="20% - Accent6 2 7" xfId="251"/>
    <cellStyle name="20% - Accent6 2 7 2" xfId="1989"/>
    <cellStyle name="20% - Accent6 2 7 3" xfId="1460"/>
    <cellStyle name="20% - Accent6 2 8" xfId="848"/>
    <cellStyle name="20% - Accent6 2 8 2" xfId="2554"/>
    <cellStyle name="20% - Accent6 2 9" xfId="1950"/>
    <cellStyle name="20% - Accent6 3" xfId="1272"/>
    <cellStyle name="20% - Accent6 4" xfId="2540"/>
    <cellStyle name="20% - Accent6 5" xfId="1242"/>
    <cellStyle name="40% - Accent1" xfId="813" builtinId="31" customBuiltin="1"/>
    <cellStyle name="40% - Accent1 2" xfId="252"/>
    <cellStyle name="40% - Accent1 2 10" xfId="1254"/>
    <cellStyle name="40% - Accent1 2 2" xfId="253"/>
    <cellStyle name="40% - Accent1 2 2 2" xfId="254"/>
    <cellStyle name="40% - Accent1 2 2 2 2" xfId="255"/>
    <cellStyle name="40% - Accent1 2 2 2 2 2" xfId="256"/>
    <cellStyle name="40% - Accent1 2 2 2 2 2 2" xfId="257"/>
    <cellStyle name="40% - Accent1 2 2 2 2 2 2 2" xfId="1995"/>
    <cellStyle name="40% - Accent1 2 2 2 2 2 3" xfId="1014"/>
    <cellStyle name="40% - Accent1 2 2 2 2 2 3 2" xfId="2718"/>
    <cellStyle name="40% - Accent1 2 2 2 2 2 4" xfId="1994"/>
    <cellStyle name="40% - Accent1 2 2 2 2 2 5" xfId="1484"/>
    <cellStyle name="40% - Accent1 2 2 2 2 3" xfId="258"/>
    <cellStyle name="40% - Accent1 2 2 2 2 3 2" xfId="1996"/>
    <cellStyle name="40% - Accent1 2 2 2 2 4" xfId="1013"/>
    <cellStyle name="40% - Accent1 2 2 2 2 4 2" xfId="2717"/>
    <cellStyle name="40% - Accent1 2 2 2 2 5" xfId="1993"/>
    <cellStyle name="40% - Accent1 2 2 2 2 6" xfId="1483"/>
    <cellStyle name="40% - Accent1 2 2 2 3" xfId="259"/>
    <cellStyle name="40% - Accent1 2 2 2 3 2" xfId="260"/>
    <cellStyle name="40% - Accent1 2 2 2 3 2 2" xfId="1998"/>
    <cellStyle name="40% - Accent1 2 2 2 3 3" xfId="1015"/>
    <cellStyle name="40% - Accent1 2 2 2 3 3 2" xfId="2719"/>
    <cellStyle name="40% - Accent1 2 2 2 3 4" xfId="1997"/>
    <cellStyle name="40% - Accent1 2 2 2 3 5" xfId="1485"/>
    <cellStyle name="40% - Accent1 2 2 2 4" xfId="261"/>
    <cellStyle name="40% - Accent1 2 2 2 4 2" xfId="262"/>
    <cellStyle name="40% - Accent1 2 2 2 4 2 2" xfId="2000"/>
    <cellStyle name="40% - Accent1 2 2 2 4 3" xfId="1016"/>
    <cellStyle name="40% - Accent1 2 2 2 4 3 2" xfId="2720"/>
    <cellStyle name="40% - Accent1 2 2 2 4 4" xfId="1999"/>
    <cellStyle name="40% - Accent1 2 2 2 4 5" xfId="1486"/>
    <cellStyle name="40% - Accent1 2 2 2 5" xfId="263"/>
    <cellStyle name="40% - Accent1 2 2 2 5 2" xfId="2001"/>
    <cellStyle name="40% - Accent1 2 2 2 5 3" xfId="1482"/>
    <cellStyle name="40% - Accent1 2 2 2 6" xfId="906"/>
    <cellStyle name="40% - Accent1 2 2 2 6 2" xfId="2612"/>
    <cellStyle name="40% - Accent1 2 2 2 7" xfId="1992"/>
    <cellStyle name="40% - Accent1 2 2 2 8" xfId="1308"/>
    <cellStyle name="40% - Accent1 2 2 3" xfId="264"/>
    <cellStyle name="40% - Accent1 2 2 3 2" xfId="265"/>
    <cellStyle name="40% - Accent1 2 2 3 2 2" xfId="266"/>
    <cellStyle name="40% - Accent1 2 2 3 2 2 2" xfId="2004"/>
    <cellStyle name="40% - Accent1 2 2 3 2 3" xfId="1018"/>
    <cellStyle name="40% - Accent1 2 2 3 2 3 2" xfId="2722"/>
    <cellStyle name="40% - Accent1 2 2 3 2 4" xfId="2003"/>
    <cellStyle name="40% - Accent1 2 2 3 2 5" xfId="1488"/>
    <cellStyle name="40% - Accent1 2 2 3 3" xfId="267"/>
    <cellStyle name="40% - Accent1 2 2 3 3 2" xfId="2005"/>
    <cellStyle name="40% - Accent1 2 2 3 4" xfId="1017"/>
    <cellStyle name="40% - Accent1 2 2 3 4 2" xfId="2721"/>
    <cellStyle name="40% - Accent1 2 2 3 5" xfId="2002"/>
    <cellStyle name="40% - Accent1 2 2 3 6" xfId="1487"/>
    <cellStyle name="40% - Accent1 2 2 4" xfId="268"/>
    <cellStyle name="40% - Accent1 2 2 4 2" xfId="269"/>
    <cellStyle name="40% - Accent1 2 2 4 2 2" xfId="2007"/>
    <cellStyle name="40% - Accent1 2 2 4 3" xfId="1019"/>
    <cellStyle name="40% - Accent1 2 2 4 3 2" xfId="2723"/>
    <cellStyle name="40% - Accent1 2 2 4 4" xfId="2006"/>
    <cellStyle name="40% - Accent1 2 2 4 5" xfId="1489"/>
    <cellStyle name="40% - Accent1 2 2 5" xfId="270"/>
    <cellStyle name="40% - Accent1 2 2 5 2" xfId="271"/>
    <cellStyle name="40% - Accent1 2 2 5 2 2" xfId="2009"/>
    <cellStyle name="40% - Accent1 2 2 5 3" xfId="1020"/>
    <cellStyle name="40% - Accent1 2 2 5 3 2" xfId="2724"/>
    <cellStyle name="40% - Accent1 2 2 5 4" xfId="2008"/>
    <cellStyle name="40% - Accent1 2 2 5 5" xfId="1490"/>
    <cellStyle name="40% - Accent1 2 2 6" xfId="272"/>
    <cellStyle name="40% - Accent1 2 2 6 2" xfId="2010"/>
    <cellStyle name="40% - Accent1 2 2 6 3" xfId="1481"/>
    <cellStyle name="40% - Accent1 2 2 7" xfId="868"/>
    <cellStyle name="40% - Accent1 2 2 7 2" xfId="2574"/>
    <cellStyle name="40% - Accent1 2 2 8" xfId="1991"/>
    <cellStyle name="40% - Accent1 2 2 9" xfId="1307"/>
    <cellStyle name="40% - Accent1 2 3" xfId="273"/>
    <cellStyle name="40% - Accent1 2 3 2" xfId="274"/>
    <cellStyle name="40% - Accent1 2 3 2 2" xfId="275"/>
    <cellStyle name="40% - Accent1 2 3 2 2 2" xfId="276"/>
    <cellStyle name="40% - Accent1 2 3 2 2 2 2" xfId="2014"/>
    <cellStyle name="40% - Accent1 2 3 2 2 3" xfId="1022"/>
    <cellStyle name="40% - Accent1 2 3 2 2 3 2" xfId="2726"/>
    <cellStyle name="40% - Accent1 2 3 2 2 4" xfId="2013"/>
    <cellStyle name="40% - Accent1 2 3 2 2 5" xfId="1493"/>
    <cellStyle name="40% - Accent1 2 3 2 3" xfId="277"/>
    <cellStyle name="40% - Accent1 2 3 2 3 2" xfId="2015"/>
    <cellStyle name="40% - Accent1 2 3 2 4" xfId="1021"/>
    <cellStyle name="40% - Accent1 2 3 2 4 2" xfId="2725"/>
    <cellStyle name="40% - Accent1 2 3 2 5" xfId="2012"/>
    <cellStyle name="40% - Accent1 2 3 2 6" xfId="1492"/>
    <cellStyle name="40% - Accent1 2 3 3" xfId="278"/>
    <cellStyle name="40% - Accent1 2 3 3 2" xfId="279"/>
    <cellStyle name="40% - Accent1 2 3 3 2 2" xfId="2017"/>
    <cellStyle name="40% - Accent1 2 3 3 3" xfId="1023"/>
    <cellStyle name="40% - Accent1 2 3 3 3 2" xfId="2727"/>
    <cellStyle name="40% - Accent1 2 3 3 4" xfId="2016"/>
    <cellStyle name="40% - Accent1 2 3 3 5" xfId="1494"/>
    <cellStyle name="40% - Accent1 2 3 4" xfId="280"/>
    <cellStyle name="40% - Accent1 2 3 4 2" xfId="281"/>
    <cellStyle name="40% - Accent1 2 3 4 2 2" xfId="2019"/>
    <cellStyle name="40% - Accent1 2 3 4 3" xfId="1024"/>
    <cellStyle name="40% - Accent1 2 3 4 3 2" xfId="2728"/>
    <cellStyle name="40% - Accent1 2 3 4 4" xfId="2018"/>
    <cellStyle name="40% - Accent1 2 3 4 5" xfId="1495"/>
    <cellStyle name="40% - Accent1 2 3 5" xfId="282"/>
    <cellStyle name="40% - Accent1 2 3 5 2" xfId="2020"/>
    <cellStyle name="40% - Accent1 2 3 5 3" xfId="1491"/>
    <cellStyle name="40% - Accent1 2 3 6" xfId="887"/>
    <cellStyle name="40% - Accent1 2 3 6 2" xfId="2593"/>
    <cellStyle name="40% - Accent1 2 3 7" xfId="2011"/>
    <cellStyle name="40% - Accent1 2 3 8" xfId="1309"/>
    <cellStyle name="40% - Accent1 2 4" xfId="283"/>
    <cellStyle name="40% - Accent1 2 4 2" xfId="284"/>
    <cellStyle name="40% - Accent1 2 4 2 2" xfId="285"/>
    <cellStyle name="40% - Accent1 2 4 2 2 2" xfId="2023"/>
    <cellStyle name="40% - Accent1 2 4 2 3" xfId="1026"/>
    <cellStyle name="40% - Accent1 2 4 2 3 2" xfId="2730"/>
    <cellStyle name="40% - Accent1 2 4 2 4" xfId="2022"/>
    <cellStyle name="40% - Accent1 2 4 2 5" xfId="1497"/>
    <cellStyle name="40% - Accent1 2 4 3" xfId="286"/>
    <cellStyle name="40% - Accent1 2 4 3 2" xfId="2024"/>
    <cellStyle name="40% - Accent1 2 4 3 3" xfId="1496"/>
    <cellStyle name="40% - Accent1 2 4 4" xfId="1025"/>
    <cellStyle name="40% - Accent1 2 4 4 2" xfId="2729"/>
    <cellStyle name="40% - Accent1 2 4 5" xfId="2021"/>
    <cellStyle name="40% - Accent1 2 4 6" xfId="1306"/>
    <cellStyle name="40% - Accent1 2 5" xfId="287"/>
    <cellStyle name="40% - Accent1 2 5 2" xfId="288"/>
    <cellStyle name="40% - Accent1 2 5 2 2" xfId="2026"/>
    <cellStyle name="40% - Accent1 2 5 3" xfId="1027"/>
    <cellStyle name="40% - Accent1 2 5 3 2" xfId="2731"/>
    <cellStyle name="40% - Accent1 2 5 4" xfId="2025"/>
    <cellStyle name="40% - Accent1 2 5 5" xfId="1498"/>
    <cellStyle name="40% - Accent1 2 6" xfId="289"/>
    <cellStyle name="40% - Accent1 2 6 2" xfId="290"/>
    <cellStyle name="40% - Accent1 2 6 2 2" xfId="2028"/>
    <cellStyle name="40% - Accent1 2 6 3" xfId="1028"/>
    <cellStyle name="40% - Accent1 2 6 3 2" xfId="2732"/>
    <cellStyle name="40% - Accent1 2 6 4" xfId="2027"/>
    <cellStyle name="40% - Accent1 2 6 5" xfId="1499"/>
    <cellStyle name="40% - Accent1 2 7" xfId="291"/>
    <cellStyle name="40% - Accent1 2 7 2" xfId="2029"/>
    <cellStyle name="40% - Accent1 2 7 3" xfId="1480"/>
    <cellStyle name="40% - Accent1 2 8" xfId="849"/>
    <cellStyle name="40% - Accent1 2 8 2" xfId="2555"/>
    <cellStyle name="40% - Accent1 2 9" xfId="1990"/>
    <cellStyle name="40% - Accent1 3" xfId="1263"/>
    <cellStyle name="40% - Accent1 4" xfId="2531"/>
    <cellStyle name="40% - Accent1 5" xfId="1233"/>
    <cellStyle name="40% - Accent2" xfId="817" builtinId="35" customBuiltin="1"/>
    <cellStyle name="40% - Accent2 2" xfId="292"/>
    <cellStyle name="40% - Accent2 2 10" xfId="1255"/>
    <cellStyle name="40% - Accent2 2 2" xfId="293"/>
    <cellStyle name="40% - Accent2 2 2 2" xfId="294"/>
    <cellStyle name="40% - Accent2 2 2 2 2" xfId="295"/>
    <cellStyle name="40% - Accent2 2 2 2 2 2" xfId="296"/>
    <cellStyle name="40% - Accent2 2 2 2 2 2 2" xfId="297"/>
    <cellStyle name="40% - Accent2 2 2 2 2 2 2 2" xfId="2035"/>
    <cellStyle name="40% - Accent2 2 2 2 2 2 3" xfId="1030"/>
    <cellStyle name="40% - Accent2 2 2 2 2 2 3 2" xfId="2734"/>
    <cellStyle name="40% - Accent2 2 2 2 2 2 4" xfId="2034"/>
    <cellStyle name="40% - Accent2 2 2 2 2 2 5" xfId="1504"/>
    <cellStyle name="40% - Accent2 2 2 2 2 3" xfId="298"/>
    <cellStyle name="40% - Accent2 2 2 2 2 3 2" xfId="2036"/>
    <cellStyle name="40% - Accent2 2 2 2 2 4" xfId="1029"/>
    <cellStyle name="40% - Accent2 2 2 2 2 4 2" xfId="2733"/>
    <cellStyle name="40% - Accent2 2 2 2 2 5" xfId="2033"/>
    <cellStyle name="40% - Accent2 2 2 2 2 6" xfId="1503"/>
    <cellStyle name="40% - Accent2 2 2 2 3" xfId="299"/>
    <cellStyle name="40% - Accent2 2 2 2 3 2" xfId="300"/>
    <cellStyle name="40% - Accent2 2 2 2 3 2 2" xfId="2038"/>
    <cellStyle name="40% - Accent2 2 2 2 3 3" xfId="1031"/>
    <cellStyle name="40% - Accent2 2 2 2 3 3 2" xfId="2735"/>
    <cellStyle name="40% - Accent2 2 2 2 3 4" xfId="2037"/>
    <cellStyle name="40% - Accent2 2 2 2 3 5" xfId="1505"/>
    <cellStyle name="40% - Accent2 2 2 2 4" xfId="301"/>
    <cellStyle name="40% - Accent2 2 2 2 4 2" xfId="302"/>
    <cellStyle name="40% - Accent2 2 2 2 4 2 2" xfId="2040"/>
    <cellStyle name="40% - Accent2 2 2 2 4 3" xfId="1032"/>
    <cellStyle name="40% - Accent2 2 2 2 4 3 2" xfId="2736"/>
    <cellStyle name="40% - Accent2 2 2 2 4 4" xfId="2039"/>
    <cellStyle name="40% - Accent2 2 2 2 4 5" xfId="1506"/>
    <cellStyle name="40% - Accent2 2 2 2 5" xfId="303"/>
    <cellStyle name="40% - Accent2 2 2 2 5 2" xfId="2041"/>
    <cellStyle name="40% - Accent2 2 2 2 5 3" xfId="1502"/>
    <cellStyle name="40% - Accent2 2 2 2 6" xfId="907"/>
    <cellStyle name="40% - Accent2 2 2 2 6 2" xfId="2613"/>
    <cellStyle name="40% - Accent2 2 2 2 7" xfId="2032"/>
    <cellStyle name="40% - Accent2 2 2 2 8" xfId="1312"/>
    <cellStyle name="40% - Accent2 2 2 3" xfId="304"/>
    <cellStyle name="40% - Accent2 2 2 3 2" xfId="305"/>
    <cellStyle name="40% - Accent2 2 2 3 2 2" xfId="306"/>
    <cellStyle name="40% - Accent2 2 2 3 2 2 2" xfId="2044"/>
    <cellStyle name="40% - Accent2 2 2 3 2 3" xfId="1034"/>
    <cellStyle name="40% - Accent2 2 2 3 2 3 2" xfId="2738"/>
    <cellStyle name="40% - Accent2 2 2 3 2 4" xfId="2043"/>
    <cellStyle name="40% - Accent2 2 2 3 2 5" xfId="1508"/>
    <cellStyle name="40% - Accent2 2 2 3 3" xfId="307"/>
    <cellStyle name="40% - Accent2 2 2 3 3 2" xfId="2045"/>
    <cellStyle name="40% - Accent2 2 2 3 4" xfId="1033"/>
    <cellStyle name="40% - Accent2 2 2 3 4 2" xfId="2737"/>
    <cellStyle name="40% - Accent2 2 2 3 5" xfId="2042"/>
    <cellStyle name="40% - Accent2 2 2 3 6" xfId="1507"/>
    <cellStyle name="40% - Accent2 2 2 4" xfId="308"/>
    <cellStyle name="40% - Accent2 2 2 4 2" xfId="309"/>
    <cellStyle name="40% - Accent2 2 2 4 2 2" xfId="2047"/>
    <cellStyle name="40% - Accent2 2 2 4 3" xfId="1035"/>
    <cellStyle name="40% - Accent2 2 2 4 3 2" xfId="2739"/>
    <cellStyle name="40% - Accent2 2 2 4 4" xfId="2046"/>
    <cellStyle name="40% - Accent2 2 2 4 5" xfId="1509"/>
    <cellStyle name="40% - Accent2 2 2 5" xfId="310"/>
    <cellStyle name="40% - Accent2 2 2 5 2" xfId="311"/>
    <cellStyle name="40% - Accent2 2 2 5 2 2" xfId="2049"/>
    <cellStyle name="40% - Accent2 2 2 5 3" xfId="1036"/>
    <cellStyle name="40% - Accent2 2 2 5 3 2" xfId="2740"/>
    <cellStyle name="40% - Accent2 2 2 5 4" xfId="2048"/>
    <cellStyle name="40% - Accent2 2 2 5 5" xfId="1510"/>
    <cellStyle name="40% - Accent2 2 2 6" xfId="312"/>
    <cellStyle name="40% - Accent2 2 2 6 2" xfId="2050"/>
    <cellStyle name="40% - Accent2 2 2 6 3" xfId="1501"/>
    <cellStyle name="40% - Accent2 2 2 7" xfId="869"/>
    <cellStyle name="40% - Accent2 2 2 7 2" xfId="2575"/>
    <cellStyle name="40% - Accent2 2 2 8" xfId="2031"/>
    <cellStyle name="40% - Accent2 2 2 9" xfId="1311"/>
    <cellStyle name="40% - Accent2 2 3" xfId="313"/>
    <cellStyle name="40% - Accent2 2 3 2" xfId="314"/>
    <cellStyle name="40% - Accent2 2 3 2 2" xfId="315"/>
    <cellStyle name="40% - Accent2 2 3 2 2 2" xfId="316"/>
    <cellStyle name="40% - Accent2 2 3 2 2 2 2" xfId="2054"/>
    <cellStyle name="40% - Accent2 2 3 2 2 3" xfId="1038"/>
    <cellStyle name="40% - Accent2 2 3 2 2 3 2" xfId="2742"/>
    <cellStyle name="40% - Accent2 2 3 2 2 4" xfId="2053"/>
    <cellStyle name="40% - Accent2 2 3 2 2 5" xfId="1513"/>
    <cellStyle name="40% - Accent2 2 3 2 3" xfId="317"/>
    <cellStyle name="40% - Accent2 2 3 2 3 2" xfId="2055"/>
    <cellStyle name="40% - Accent2 2 3 2 4" xfId="1037"/>
    <cellStyle name="40% - Accent2 2 3 2 4 2" xfId="2741"/>
    <cellStyle name="40% - Accent2 2 3 2 5" xfId="2052"/>
    <cellStyle name="40% - Accent2 2 3 2 6" xfId="1512"/>
    <cellStyle name="40% - Accent2 2 3 3" xfId="318"/>
    <cellStyle name="40% - Accent2 2 3 3 2" xfId="319"/>
    <cellStyle name="40% - Accent2 2 3 3 2 2" xfId="2057"/>
    <cellStyle name="40% - Accent2 2 3 3 3" xfId="1039"/>
    <cellStyle name="40% - Accent2 2 3 3 3 2" xfId="2743"/>
    <cellStyle name="40% - Accent2 2 3 3 4" xfId="2056"/>
    <cellStyle name="40% - Accent2 2 3 3 5" xfId="1514"/>
    <cellStyle name="40% - Accent2 2 3 4" xfId="320"/>
    <cellStyle name="40% - Accent2 2 3 4 2" xfId="321"/>
    <cellStyle name="40% - Accent2 2 3 4 2 2" xfId="2059"/>
    <cellStyle name="40% - Accent2 2 3 4 3" xfId="1040"/>
    <cellStyle name="40% - Accent2 2 3 4 3 2" xfId="2744"/>
    <cellStyle name="40% - Accent2 2 3 4 4" xfId="2058"/>
    <cellStyle name="40% - Accent2 2 3 4 5" xfId="1515"/>
    <cellStyle name="40% - Accent2 2 3 5" xfId="322"/>
    <cellStyle name="40% - Accent2 2 3 5 2" xfId="2060"/>
    <cellStyle name="40% - Accent2 2 3 5 3" xfId="1511"/>
    <cellStyle name="40% - Accent2 2 3 6" xfId="888"/>
    <cellStyle name="40% - Accent2 2 3 6 2" xfId="2594"/>
    <cellStyle name="40% - Accent2 2 3 7" xfId="2051"/>
    <cellStyle name="40% - Accent2 2 3 8" xfId="1313"/>
    <cellStyle name="40% - Accent2 2 4" xfId="323"/>
    <cellStyle name="40% - Accent2 2 4 2" xfId="324"/>
    <cellStyle name="40% - Accent2 2 4 2 2" xfId="325"/>
    <cellStyle name="40% - Accent2 2 4 2 2 2" xfId="2063"/>
    <cellStyle name="40% - Accent2 2 4 2 3" xfId="1042"/>
    <cellStyle name="40% - Accent2 2 4 2 3 2" xfId="2746"/>
    <cellStyle name="40% - Accent2 2 4 2 4" xfId="2062"/>
    <cellStyle name="40% - Accent2 2 4 2 5" xfId="1517"/>
    <cellStyle name="40% - Accent2 2 4 3" xfId="326"/>
    <cellStyle name="40% - Accent2 2 4 3 2" xfId="2064"/>
    <cellStyle name="40% - Accent2 2 4 3 3" xfId="1516"/>
    <cellStyle name="40% - Accent2 2 4 4" xfId="1041"/>
    <cellStyle name="40% - Accent2 2 4 4 2" xfId="2745"/>
    <cellStyle name="40% - Accent2 2 4 5" xfId="2061"/>
    <cellStyle name="40% - Accent2 2 4 6" xfId="1310"/>
    <cellStyle name="40% - Accent2 2 5" xfId="327"/>
    <cellStyle name="40% - Accent2 2 5 2" xfId="328"/>
    <cellStyle name="40% - Accent2 2 5 2 2" xfId="2066"/>
    <cellStyle name="40% - Accent2 2 5 3" xfId="1043"/>
    <cellStyle name="40% - Accent2 2 5 3 2" xfId="2747"/>
    <cellStyle name="40% - Accent2 2 5 4" xfId="2065"/>
    <cellStyle name="40% - Accent2 2 5 5" xfId="1518"/>
    <cellStyle name="40% - Accent2 2 6" xfId="329"/>
    <cellStyle name="40% - Accent2 2 6 2" xfId="330"/>
    <cellStyle name="40% - Accent2 2 6 2 2" xfId="2068"/>
    <cellStyle name="40% - Accent2 2 6 3" xfId="1044"/>
    <cellStyle name="40% - Accent2 2 6 3 2" xfId="2748"/>
    <cellStyle name="40% - Accent2 2 6 4" xfId="2067"/>
    <cellStyle name="40% - Accent2 2 6 5" xfId="1519"/>
    <cellStyle name="40% - Accent2 2 7" xfId="331"/>
    <cellStyle name="40% - Accent2 2 7 2" xfId="2069"/>
    <cellStyle name="40% - Accent2 2 7 3" xfId="1500"/>
    <cellStyle name="40% - Accent2 2 8" xfId="850"/>
    <cellStyle name="40% - Accent2 2 8 2" xfId="2556"/>
    <cellStyle name="40% - Accent2 2 9" xfId="2030"/>
    <cellStyle name="40% - Accent2 3" xfId="1265"/>
    <cellStyle name="40% - Accent2 4" xfId="2533"/>
    <cellStyle name="40% - Accent2 5" xfId="1235"/>
    <cellStyle name="40% - Accent3" xfId="821" builtinId="39" customBuiltin="1"/>
    <cellStyle name="40% - Accent3 2" xfId="332"/>
    <cellStyle name="40% - Accent3 2 10" xfId="1256"/>
    <cellStyle name="40% - Accent3 2 2" xfId="333"/>
    <cellStyle name="40% - Accent3 2 2 2" xfId="334"/>
    <cellStyle name="40% - Accent3 2 2 2 2" xfId="335"/>
    <cellStyle name="40% - Accent3 2 2 2 2 2" xfId="336"/>
    <cellStyle name="40% - Accent3 2 2 2 2 2 2" xfId="337"/>
    <cellStyle name="40% - Accent3 2 2 2 2 2 2 2" xfId="2075"/>
    <cellStyle name="40% - Accent3 2 2 2 2 2 3" xfId="1046"/>
    <cellStyle name="40% - Accent3 2 2 2 2 2 3 2" xfId="2750"/>
    <cellStyle name="40% - Accent3 2 2 2 2 2 4" xfId="2074"/>
    <cellStyle name="40% - Accent3 2 2 2 2 2 5" xfId="1524"/>
    <cellStyle name="40% - Accent3 2 2 2 2 3" xfId="338"/>
    <cellStyle name="40% - Accent3 2 2 2 2 3 2" xfId="2076"/>
    <cellStyle name="40% - Accent3 2 2 2 2 4" xfId="1045"/>
    <cellStyle name="40% - Accent3 2 2 2 2 4 2" xfId="2749"/>
    <cellStyle name="40% - Accent3 2 2 2 2 5" xfId="2073"/>
    <cellStyle name="40% - Accent3 2 2 2 2 6" xfId="1523"/>
    <cellStyle name="40% - Accent3 2 2 2 3" xfId="339"/>
    <cellStyle name="40% - Accent3 2 2 2 3 2" xfId="340"/>
    <cellStyle name="40% - Accent3 2 2 2 3 2 2" xfId="2078"/>
    <cellStyle name="40% - Accent3 2 2 2 3 3" xfId="1047"/>
    <cellStyle name="40% - Accent3 2 2 2 3 3 2" xfId="2751"/>
    <cellStyle name="40% - Accent3 2 2 2 3 4" xfId="2077"/>
    <cellStyle name="40% - Accent3 2 2 2 3 5" xfId="1525"/>
    <cellStyle name="40% - Accent3 2 2 2 4" xfId="341"/>
    <cellStyle name="40% - Accent3 2 2 2 4 2" xfId="342"/>
    <cellStyle name="40% - Accent3 2 2 2 4 2 2" xfId="2080"/>
    <cellStyle name="40% - Accent3 2 2 2 4 3" xfId="1048"/>
    <cellStyle name="40% - Accent3 2 2 2 4 3 2" xfId="2752"/>
    <cellStyle name="40% - Accent3 2 2 2 4 4" xfId="2079"/>
    <cellStyle name="40% - Accent3 2 2 2 4 5" xfId="1526"/>
    <cellStyle name="40% - Accent3 2 2 2 5" xfId="343"/>
    <cellStyle name="40% - Accent3 2 2 2 5 2" xfId="2081"/>
    <cellStyle name="40% - Accent3 2 2 2 5 3" xfId="1522"/>
    <cellStyle name="40% - Accent3 2 2 2 6" xfId="908"/>
    <cellStyle name="40% - Accent3 2 2 2 6 2" xfId="2614"/>
    <cellStyle name="40% - Accent3 2 2 2 7" xfId="2072"/>
    <cellStyle name="40% - Accent3 2 2 2 8" xfId="1316"/>
    <cellStyle name="40% - Accent3 2 2 3" xfId="344"/>
    <cellStyle name="40% - Accent3 2 2 3 2" xfId="345"/>
    <cellStyle name="40% - Accent3 2 2 3 2 2" xfId="346"/>
    <cellStyle name="40% - Accent3 2 2 3 2 2 2" xfId="2084"/>
    <cellStyle name="40% - Accent3 2 2 3 2 3" xfId="1050"/>
    <cellStyle name="40% - Accent3 2 2 3 2 3 2" xfId="2754"/>
    <cellStyle name="40% - Accent3 2 2 3 2 4" xfId="2083"/>
    <cellStyle name="40% - Accent3 2 2 3 2 5" xfId="1528"/>
    <cellStyle name="40% - Accent3 2 2 3 3" xfId="347"/>
    <cellStyle name="40% - Accent3 2 2 3 3 2" xfId="2085"/>
    <cellStyle name="40% - Accent3 2 2 3 4" xfId="1049"/>
    <cellStyle name="40% - Accent3 2 2 3 4 2" xfId="2753"/>
    <cellStyle name="40% - Accent3 2 2 3 5" xfId="2082"/>
    <cellStyle name="40% - Accent3 2 2 3 6" xfId="1527"/>
    <cellStyle name="40% - Accent3 2 2 4" xfId="348"/>
    <cellStyle name="40% - Accent3 2 2 4 2" xfId="349"/>
    <cellStyle name="40% - Accent3 2 2 4 2 2" xfId="2087"/>
    <cellStyle name="40% - Accent3 2 2 4 3" xfId="1051"/>
    <cellStyle name="40% - Accent3 2 2 4 3 2" xfId="2755"/>
    <cellStyle name="40% - Accent3 2 2 4 4" xfId="2086"/>
    <cellStyle name="40% - Accent3 2 2 4 5" xfId="1529"/>
    <cellStyle name="40% - Accent3 2 2 5" xfId="350"/>
    <cellStyle name="40% - Accent3 2 2 5 2" xfId="351"/>
    <cellStyle name="40% - Accent3 2 2 5 2 2" xfId="2089"/>
    <cellStyle name="40% - Accent3 2 2 5 3" xfId="1052"/>
    <cellStyle name="40% - Accent3 2 2 5 3 2" xfId="2756"/>
    <cellStyle name="40% - Accent3 2 2 5 4" xfId="2088"/>
    <cellStyle name="40% - Accent3 2 2 5 5" xfId="1530"/>
    <cellStyle name="40% - Accent3 2 2 6" xfId="352"/>
    <cellStyle name="40% - Accent3 2 2 6 2" xfId="2090"/>
    <cellStyle name="40% - Accent3 2 2 6 3" xfId="1521"/>
    <cellStyle name="40% - Accent3 2 2 7" xfId="870"/>
    <cellStyle name="40% - Accent3 2 2 7 2" xfId="2576"/>
    <cellStyle name="40% - Accent3 2 2 8" xfId="2071"/>
    <cellStyle name="40% - Accent3 2 2 9" xfId="1315"/>
    <cellStyle name="40% - Accent3 2 3" xfId="353"/>
    <cellStyle name="40% - Accent3 2 3 2" xfId="354"/>
    <cellStyle name="40% - Accent3 2 3 2 2" xfId="355"/>
    <cellStyle name="40% - Accent3 2 3 2 2 2" xfId="356"/>
    <cellStyle name="40% - Accent3 2 3 2 2 2 2" xfId="2094"/>
    <cellStyle name="40% - Accent3 2 3 2 2 3" xfId="1054"/>
    <cellStyle name="40% - Accent3 2 3 2 2 3 2" xfId="2758"/>
    <cellStyle name="40% - Accent3 2 3 2 2 4" xfId="2093"/>
    <cellStyle name="40% - Accent3 2 3 2 2 5" xfId="1533"/>
    <cellStyle name="40% - Accent3 2 3 2 3" xfId="357"/>
    <cellStyle name="40% - Accent3 2 3 2 3 2" xfId="2095"/>
    <cellStyle name="40% - Accent3 2 3 2 4" xfId="1053"/>
    <cellStyle name="40% - Accent3 2 3 2 4 2" xfId="2757"/>
    <cellStyle name="40% - Accent3 2 3 2 5" xfId="2092"/>
    <cellStyle name="40% - Accent3 2 3 2 6" xfId="1532"/>
    <cellStyle name="40% - Accent3 2 3 3" xfId="358"/>
    <cellStyle name="40% - Accent3 2 3 3 2" xfId="359"/>
    <cellStyle name="40% - Accent3 2 3 3 2 2" xfId="2097"/>
    <cellStyle name="40% - Accent3 2 3 3 3" xfId="1055"/>
    <cellStyle name="40% - Accent3 2 3 3 3 2" xfId="2759"/>
    <cellStyle name="40% - Accent3 2 3 3 4" xfId="2096"/>
    <cellStyle name="40% - Accent3 2 3 3 5" xfId="1534"/>
    <cellStyle name="40% - Accent3 2 3 4" xfId="360"/>
    <cellStyle name="40% - Accent3 2 3 4 2" xfId="361"/>
    <cellStyle name="40% - Accent3 2 3 4 2 2" xfId="2099"/>
    <cellStyle name="40% - Accent3 2 3 4 3" xfId="1056"/>
    <cellStyle name="40% - Accent3 2 3 4 3 2" xfId="2760"/>
    <cellStyle name="40% - Accent3 2 3 4 4" xfId="2098"/>
    <cellStyle name="40% - Accent3 2 3 4 5" xfId="1535"/>
    <cellStyle name="40% - Accent3 2 3 5" xfId="362"/>
    <cellStyle name="40% - Accent3 2 3 5 2" xfId="2100"/>
    <cellStyle name="40% - Accent3 2 3 5 3" xfId="1531"/>
    <cellStyle name="40% - Accent3 2 3 6" xfId="889"/>
    <cellStyle name="40% - Accent3 2 3 6 2" xfId="2595"/>
    <cellStyle name="40% - Accent3 2 3 7" xfId="2091"/>
    <cellStyle name="40% - Accent3 2 3 8" xfId="1317"/>
    <cellStyle name="40% - Accent3 2 4" xfId="363"/>
    <cellStyle name="40% - Accent3 2 4 2" xfId="364"/>
    <cellStyle name="40% - Accent3 2 4 2 2" xfId="365"/>
    <cellStyle name="40% - Accent3 2 4 2 2 2" xfId="2103"/>
    <cellStyle name="40% - Accent3 2 4 2 3" xfId="1058"/>
    <cellStyle name="40% - Accent3 2 4 2 3 2" xfId="2762"/>
    <cellStyle name="40% - Accent3 2 4 2 4" xfId="2102"/>
    <cellStyle name="40% - Accent3 2 4 2 5" xfId="1537"/>
    <cellStyle name="40% - Accent3 2 4 3" xfId="366"/>
    <cellStyle name="40% - Accent3 2 4 3 2" xfId="2104"/>
    <cellStyle name="40% - Accent3 2 4 3 3" xfId="1536"/>
    <cellStyle name="40% - Accent3 2 4 4" xfId="1057"/>
    <cellStyle name="40% - Accent3 2 4 4 2" xfId="2761"/>
    <cellStyle name="40% - Accent3 2 4 5" xfId="2101"/>
    <cellStyle name="40% - Accent3 2 4 6" xfId="1314"/>
    <cellStyle name="40% - Accent3 2 5" xfId="367"/>
    <cellStyle name="40% - Accent3 2 5 2" xfId="368"/>
    <cellStyle name="40% - Accent3 2 5 2 2" xfId="2106"/>
    <cellStyle name="40% - Accent3 2 5 3" xfId="1059"/>
    <cellStyle name="40% - Accent3 2 5 3 2" xfId="2763"/>
    <cellStyle name="40% - Accent3 2 5 4" xfId="2105"/>
    <cellStyle name="40% - Accent3 2 5 5" xfId="1538"/>
    <cellStyle name="40% - Accent3 2 6" xfId="369"/>
    <cellStyle name="40% - Accent3 2 6 2" xfId="370"/>
    <cellStyle name="40% - Accent3 2 6 2 2" xfId="2108"/>
    <cellStyle name="40% - Accent3 2 6 3" xfId="1060"/>
    <cellStyle name="40% - Accent3 2 6 3 2" xfId="2764"/>
    <cellStyle name="40% - Accent3 2 6 4" xfId="2107"/>
    <cellStyle name="40% - Accent3 2 6 5" xfId="1539"/>
    <cellStyle name="40% - Accent3 2 7" xfId="371"/>
    <cellStyle name="40% - Accent3 2 7 2" xfId="2109"/>
    <cellStyle name="40% - Accent3 2 7 3" xfId="1520"/>
    <cellStyle name="40% - Accent3 2 8" xfId="851"/>
    <cellStyle name="40% - Accent3 2 8 2" xfId="2557"/>
    <cellStyle name="40% - Accent3 2 9" xfId="2070"/>
    <cellStyle name="40% - Accent3 3" xfId="1267"/>
    <cellStyle name="40% - Accent3 4" xfId="2535"/>
    <cellStyle name="40% - Accent3 5" xfId="1237"/>
    <cellStyle name="40% - Accent4" xfId="825" builtinId="43" customBuiltin="1"/>
    <cellStyle name="40% - Accent4 2" xfId="372"/>
    <cellStyle name="40% - Accent4 2 10" xfId="1257"/>
    <cellStyle name="40% - Accent4 2 2" xfId="373"/>
    <cellStyle name="40% - Accent4 2 2 2" xfId="374"/>
    <cellStyle name="40% - Accent4 2 2 2 2" xfId="375"/>
    <cellStyle name="40% - Accent4 2 2 2 2 2" xfId="376"/>
    <cellStyle name="40% - Accent4 2 2 2 2 2 2" xfId="377"/>
    <cellStyle name="40% - Accent4 2 2 2 2 2 2 2" xfId="2115"/>
    <cellStyle name="40% - Accent4 2 2 2 2 2 3" xfId="1062"/>
    <cellStyle name="40% - Accent4 2 2 2 2 2 3 2" xfId="2766"/>
    <cellStyle name="40% - Accent4 2 2 2 2 2 4" xfId="2114"/>
    <cellStyle name="40% - Accent4 2 2 2 2 2 5" xfId="1544"/>
    <cellStyle name="40% - Accent4 2 2 2 2 3" xfId="378"/>
    <cellStyle name="40% - Accent4 2 2 2 2 3 2" xfId="2116"/>
    <cellStyle name="40% - Accent4 2 2 2 2 4" xfId="1061"/>
    <cellStyle name="40% - Accent4 2 2 2 2 4 2" xfId="2765"/>
    <cellStyle name="40% - Accent4 2 2 2 2 5" xfId="2113"/>
    <cellStyle name="40% - Accent4 2 2 2 2 6" xfId="1543"/>
    <cellStyle name="40% - Accent4 2 2 2 3" xfId="379"/>
    <cellStyle name="40% - Accent4 2 2 2 3 2" xfId="380"/>
    <cellStyle name="40% - Accent4 2 2 2 3 2 2" xfId="2118"/>
    <cellStyle name="40% - Accent4 2 2 2 3 3" xfId="1063"/>
    <cellStyle name="40% - Accent4 2 2 2 3 3 2" xfId="2767"/>
    <cellStyle name="40% - Accent4 2 2 2 3 4" xfId="2117"/>
    <cellStyle name="40% - Accent4 2 2 2 3 5" xfId="1545"/>
    <cellStyle name="40% - Accent4 2 2 2 4" xfId="381"/>
    <cellStyle name="40% - Accent4 2 2 2 4 2" xfId="382"/>
    <cellStyle name="40% - Accent4 2 2 2 4 2 2" xfId="2120"/>
    <cellStyle name="40% - Accent4 2 2 2 4 3" xfId="1064"/>
    <cellStyle name="40% - Accent4 2 2 2 4 3 2" xfId="2768"/>
    <cellStyle name="40% - Accent4 2 2 2 4 4" xfId="2119"/>
    <cellStyle name="40% - Accent4 2 2 2 4 5" xfId="1546"/>
    <cellStyle name="40% - Accent4 2 2 2 5" xfId="383"/>
    <cellStyle name="40% - Accent4 2 2 2 5 2" xfId="2121"/>
    <cellStyle name="40% - Accent4 2 2 2 5 3" xfId="1542"/>
    <cellStyle name="40% - Accent4 2 2 2 6" xfId="909"/>
    <cellStyle name="40% - Accent4 2 2 2 6 2" xfId="2615"/>
    <cellStyle name="40% - Accent4 2 2 2 7" xfId="2112"/>
    <cellStyle name="40% - Accent4 2 2 2 8" xfId="1320"/>
    <cellStyle name="40% - Accent4 2 2 3" xfId="384"/>
    <cellStyle name="40% - Accent4 2 2 3 2" xfId="385"/>
    <cellStyle name="40% - Accent4 2 2 3 2 2" xfId="386"/>
    <cellStyle name="40% - Accent4 2 2 3 2 2 2" xfId="2124"/>
    <cellStyle name="40% - Accent4 2 2 3 2 3" xfId="1066"/>
    <cellStyle name="40% - Accent4 2 2 3 2 3 2" xfId="2770"/>
    <cellStyle name="40% - Accent4 2 2 3 2 4" xfId="2123"/>
    <cellStyle name="40% - Accent4 2 2 3 2 5" xfId="1548"/>
    <cellStyle name="40% - Accent4 2 2 3 3" xfId="387"/>
    <cellStyle name="40% - Accent4 2 2 3 3 2" xfId="2125"/>
    <cellStyle name="40% - Accent4 2 2 3 4" xfId="1065"/>
    <cellStyle name="40% - Accent4 2 2 3 4 2" xfId="2769"/>
    <cellStyle name="40% - Accent4 2 2 3 5" xfId="2122"/>
    <cellStyle name="40% - Accent4 2 2 3 6" xfId="1547"/>
    <cellStyle name="40% - Accent4 2 2 4" xfId="388"/>
    <cellStyle name="40% - Accent4 2 2 4 2" xfId="389"/>
    <cellStyle name="40% - Accent4 2 2 4 2 2" xfId="2127"/>
    <cellStyle name="40% - Accent4 2 2 4 3" xfId="1067"/>
    <cellStyle name="40% - Accent4 2 2 4 3 2" xfId="2771"/>
    <cellStyle name="40% - Accent4 2 2 4 4" xfId="2126"/>
    <cellStyle name="40% - Accent4 2 2 4 5" xfId="1549"/>
    <cellStyle name="40% - Accent4 2 2 5" xfId="390"/>
    <cellStyle name="40% - Accent4 2 2 5 2" xfId="391"/>
    <cellStyle name="40% - Accent4 2 2 5 2 2" xfId="2129"/>
    <cellStyle name="40% - Accent4 2 2 5 3" xfId="1068"/>
    <cellStyle name="40% - Accent4 2 2 5 3 2" xfId="2772"/>
    <cellStyle name="40% - Accent4 2 2 5 4" xfId="2128"/>
    <cellStyle name="40% - Accent4 2 2 5 5" xfId="1550"/>
    <cellStyle name="40% - Accent4 2 2 6" xfId="392"/>
    <cellStyle name="40% - Accent4 2 2 6 2" xfId="2130"/>
    <cellStyle name="40% - Accent4 2 2 6 3" xfId="1541"/>
    <cellStyle name="40% - Accent4 2 2 7" xfId="871"/>
    <cellStyle name="40% - Accent4 2 2 7 2" xfId="2577"/>
    <cellStyle name="40% - Accent4 2 2 8" xfId="2111"/>
    <cellStyle name="40% - Accent4 2 2 9" xfId="1319"/>
    <cellStyle name="40% - Accent4 2 3" xfId="393"/>
    <cellStyle name="40% - Accent4 2 3 2" xfId="394"/>
    <cellStyle name="40% - Accent4 2 3 2 2" xfId="395"/>
    <cellStyle name="40% - Accent4 2 3 2 2 2" xfId="396"/>
    <cellStyle name="40% - Accent4 2 3 2 2 2 2" xfId="2134"/>
    <cellStyle name="40% - Accent4 2 3 2 2 3" xfId="1070"/>
    <cellStyle name="40% - Accent4 2 3 2 2 3 2" xfId="2774"/>
    <cellStyle name="40% - Accent4 2 3 2 2 4" xfId="2133"/>
    <cellStyle name="40% - Accent4 2 3 2 2 5" xfId="1553"/>
    <cellStyle name="40% - Accent4 2 3 2 3" xfId="397"/>
    <cellStyle name="40% - Accent4 2 3 2 3 2" xfId="2135"/>
    <cellStyle name="40% - Accent4 2 3 2 4" xfId="1069"/>
    <cellStyle name="40% - Accent4 2 3 2 4 2" xfId="2773"/>
    <cellStyle name="40% - Accent4 2 3 2 5" xfId="2132"/>
    <cellStyle name="40% - Accent4 2 3 2 6" xfId="1552"/>
    <cellStyle name="40% - Accent4 2 3 3" xfId="398"/>
    <cellStyle name="40% - Accent4 2 3 3 2" xfId="399"/>
    <cellStyle name="40% - Accent4 2 3 3 2 2" xfId="2137"/>
    <cellStyle name="40% - Accent4 2 3 3 3" xfId="1071"/>
    <cellStyle name="40% - Accent4 2 3 3 3 2" xfId="2775"/>
    <cellStyle name="40% - Accent4 2 3 3 4" xfId="2136"/>
    <cellStyle name="40% - Accent4 2 3 3 5" xfId="1554"/>
    <cellStyle name="40% - Accent4 2 3 4" xfId="400"/>
    <cellStyle name="40% - Accent4 2 3 4 2" xfId="401"/>
    <cellStyle name="40% - Accent4 2 3 4 2 2" xfId="2139"/>
    <cellStyle name="40% - Accent4 2 3 4 3" xfId="1072"/>
    <cellStyle name="40% - Accent4 2 3 4 3 2" xfId="2776"/>
    <cellStyle name="40% - Accent4 2 3 4 4" xfId="2138"/>
    <cellStyle name="40% - Accent4 2 3 4 5" xfId="1555"/>
    <cellStyle name="40% - Accent4 2 3 5" xfId="402"/>
    <cellStyle name="40% - Accent4 2 3 5 2" xfId="2140"/>
    <cellStyle name="40% - Accent4 2 3 5 3" xfId="1551"/>
    <cellStyle name="40% - Accent4 2 3 6" xfId="890"/>
    <cellStyle name="40% - Accent4 2 3 6 2" xfId="2596"/>
    <cellStyle name="40% - Accent4 2 3 7" xfId="2131"/>
    <cellStyle name="40% - Accent4 2 3 8" xfId="1321"/>
    <cellStyle name="40% - Accent4 2 4" xfId="403"/>
    <cellStyle name="40% - Accent4 2 4 2" xfId="404"/>
    <cellStyle name="40% - Accent4 2 4 2 2" xfId="405"/>
    <cellStyle name="40% - Accent4 2 4 2 2 2" xfId="2143"/>
    <cellStyle name="40% - Accent4 2 4 2 3" xfId="1074"/>
    <cellStyle name="40% - Accent4 2 4 2 3 2" xfId="2778"/>
    <cellStyle name="40% - Accent4 2 4 2 4" xfId="2142"/>
    <cellStyle name="40% - Accent4 2 4 2 5" xfId="1557"/>
    <cellStyle name="40% - Accent4 2 4 3" xfId="406"/>
    <cellStyle name="40% - Accent4 2 4 3 2" xfId="2144"/>
    <cellStyle name="40% - Accent4 2 4 3 3" xfId="1556"/>
    <cellStyle name="40% - Accent4 2 4 4" xfId="1073"/>
    <cellStyle name="40% - Accent4 2 4 4 2" xfId="2777"/>
    <cellStyle name="40% - Accent4 2 4 5" xfId="2141"/>
    <cellStyle name="40% - Accent4 2 4 6" xfId="1318"/>
    <cellStyle name="40% - Accent4 2 5" xfId="407"/>
    <cellStyle name="40% - Accent4 2 5 2" xfId="408"/>
    <cellStyle name="40% - Accent4 2 5 2 2" xfId="2146"/>
    <cellStyle name="40% - Accent4 2 5 3" xfId="1075"/>
    <cellStyle name="40% - Accent4 2 5 3 2" xfId="2779"/>
    <cellStyle name="40% - Accent4 2 5 4" xfId="2145"/>
    <cellStyle name="40% - Accent4 2 5 5" xfId="1558"/>
    <cellStyle name="40% - Accent4 2 6" xfId="409"/>
    <cellStyle name="40% - Accent4 2 6 2" xfId="410"/>
    <cellStyle name="40% - Accent4 2 6 2 2" xfId="2148"/>
    <cellStyle name="40% - Accent4 2 6 3" xfId="1076"/>
    <cellStyle name="40% - Accent4 2 6 3 2" xfId="2780"/>
    <cellStyle name="40% - Accent4 2 6 4" xfId="2147"/>
    <cellStyle name="40% - Accent4 2 6 5" xfId="1559"/>
    <cellStyle name="40% - Accent4 2 7" xfId="411"/>
    <cellStyle name="40% - Accent4 2 7 2" xfId="2149"/>
    <cellStyle name="40% - Accent4 2 7 3" xfId="1540"/>
    <cellStyle name="40% - Accent4 2 8" xfId="852"/>
    <cellStyle name="40% - Accent4 2 8 2" xfId="2558"/>
    <cellStyle name="40% - Accent4 2 9" xfId="2110"/>
    <cellStyle name="40% - Accent4 3" xfId="1269"/>
    <cellStyle name="40% - Accent4 4" xfId="2537"/>
    <cellStyle name="40% - Accent4 5" xfId="1239"/>
    <cellStyle name="40% - Accent5" xfId="829" builtinId="47" customBuiltin="1"/>
    <cellStyle name="40% - Accent5 2" xfId="412"/>
    <cellStyle name="40% - Accent5 2 10" xfId="1258"/>
    <cellStyle name="40% - Accent5 2 2" xfId="413"/>
    <cellStyle name="40% - Accent5 2 2 2" xfId="414"/>
    <cellStyle name="40% - Accent5 2 2 2 2" xfId="415"/>
    <cellStyle name="40% - Accent5 2 2 2 2 2" xfId="416"/>
    <cellStyle name="40% - Accent5 2 2 2 2 2 2" xfId="417"/>
    <cellStyle name="40% - Accent5 2 2 2 2 2 2 2" xfId="2155"/>
    <cellStyle name="40% - Accent5 2 2 2 2 2 3" xfId="1078"/>
    <cellStyle name="40% - Accent5 2 2 2 2 2 3 2" xfId="2782"/>
    <cellStyle name="40% - Accent5 2 2 2 2 2 4" xfId="2154"/>
    <cellStyle name="40% - Accent5 2 2 2 2 2 5" xfId="1564"/>
    <cellStyle name="40% - Accent5 2 2 2 2 3" xfId="418"/>
    <cellStyle name="40% - Accent5 2 2 2 2 3 2" xfId="2156"/>
    <cellStyle name="40% - Accent5 2 2 2 2 4" xfId="1077"/>
    <cellStyle name="40% - Accent5 2 2 2 2 4 2" xfId="2781"/>
    <cellStyle name="40% - Accent5 2 2 2 2 5" xfId="2153"/>
    <cellStyle name="40% - Accent5 2 2 2 2 6" xfId="1563"/>
    <cellStyle name="40% - Accent5 2 2 2 3" xfId="419"/>
    <cellStyle name="40% - Accent5 2 2 2 3 2" xfId="420"/>
    <cellStyle name="40% - Accent5 2 2 2 3 2 2" xfId="2158"/>
    <cellStyle name="40% - Accent5 2 2 2 3 3" xfId="1079"/>
    <cellStyle name="40% - Accent5 2 2 2 3 3 2" xfId="2783"/>
    <cellStyle name="40% - Accent5 2 2 2 3 4" xfId="2157"/>
    <cellStyle name="40% - Accent5 2 2 2 3 5" xfId="1565"/>
    <cellStyle name="40% - Accent5 2 2 2 4" xfId="421"/>
    <cellStyle name="40% - Accent5 2 2 2 4 2" xfId="422"/>
    <cellStyle name="40% - Accent5 2 2 2 4 2 2" xfId="2160"/>
    <cellStyle name="40% - Accent5 2 2 2 4 3" xfId="1080"/>
    <cellStyle name="40% - Accent5 2 2 2 4 3 2" xfId="2784"/>
    <cellStyle name="40% - Accent5 2 2 2 4 4" xfId="2159"/>
    <cellStyle name="40% - Accent5 2 2 2 4 5" xfId="1566"/>
    <cellStyle name="40% - Accent5 2 2 2 5" xfId="423"/>
    <cellStyle name="40% - Accent5 2 2 2 5 2" xfId="2161"/>
    <cellStyle name="40% - Accent5 2 2 2 5 3" xfId="1562"/>
    <cellStyle name="40% - Accent5 2 2 2 6" xfId="910"/>
    <cellStyle name="40% - Accent5 2 2 2 6 2" xfId="2616"/>
    <cellStyle name="40% - Accent5 2 2 2 7" xfId="2152"/>
    <cellStyle name="40% - Accent5 2 2 2 8" xfId="1324"/>
    <cellStyle name="40% - Accent5 2 2 3" xfId="424"/>
    <cellStyle name="40% - Accent5 2 2 3 2" xfId="425"/>
    <cellStyle name="40% - Accent5 2 2 3 2 2" xfId="426"/>
    <cellStyle name="40% - Accent5 2 2 3 2 2 2" xfId="2164"/>
    <cellStyle name="40% - Accent5 2 2 3 2 3" xfId="1082"/>
    <cellStyle name="40% - Accent5 2 2 3 2 3 2" xfId="2786"/>
    <cellStyle name="40% - Accent5 2 2 3 2 4" xfId="2163"/>
    <cellStyle name="40% - Accent5 2 2 3 2 5" xfId="1568"/>
    <cellStyle name="40% - Accent5 2 2 3 3" xfId="427"/>
    <cellStyle name="40% - Accent5 2 2 3 3 2" xfId="2165"/>
    <cellStyle name="40% - Accent5 2 2 3 4" xfId="1081"/>
    <cellStyle name="40% - Accent5 2 2 3 4 2" xfId="2785"/>
    <cellStyle name="40% - Accent5 2 2 3 5" xfId="2162"/>
    <cellStyle name="40% - Accent5 2 2 3 6" xfId="1567"/>
    <cellStyle name="40% - Accent5 2 2 4" xfId="428"/>
    <cellStyle name="40% - Accent5 2 2 4 2" xfId="429"/>
    <cellStyle name="40% - Accent5 2 2 4 2 2" xfId="2167"/>
    <cellStyle name="40% - Accent5 2 2 4 3" xfId="1083"/>
    <cellStyle name="40% - Accent5 2 2 4 3 2" xfId="2787"/>
    <cellStyle name="40% - Accent5 2 2 4 4" xfId="2166"/>
    <cellStyle name="40% - Accent5 2 2 4 5" xfId="1569"/>
    <cellStyle name="40% - Accent5 2 2 5" xfId="430"/>
    <cellStyle name="40% - Accent5 2 2 5 2" xfId="431"/>
    <cellStyle name="40% - Accent5 2 2 5 2 2" xfId="2169"/>
    <cellStyle name="40% - Accent5 2 2 5 3" xfId="1084"/>
    <cellStyle name="40% - Accent5 2 2 5 3 2" xfId="2788"/>
    <cellStyle name="40% - Accent5 2 2 5 4" xfId="2168"/>
    <cellStyle name="40% - Accent5 2 2 5 5" xfId="1570"/>
    <cellStyle name="40% - Accent5 2 2 6" xfId="432"/>
    <cellStyle name="40% - Accent5 2 2 6 2" xfId="2170"/>
    <cellStyle name="40% - Accent5 2 2 6 3" xfId="1561"/>
    <cellStyle name="40% - Accent5 2 2 7" xfId="872"/>
    <cellStyle name="40% - Accent5 2 2 7 2" xfId="2578"/>
    <cellStyle name="40% - Accent5 2 2 8" xfId="2151"/>
    <cellStyle name="40% - Accent5 2 2 9" xfId="1323"/>
    <cellStyle name="40% - Accent5 2 3" xfId="433"/>
    <cellStyle name="40% - Accent5 2 3 2" xfId="434"/>
    <cellStyle name="40% - Accent5 2 3 2 2" xfId="435"/>
    <cellStyle name="40% - Accent5 2 3 2 2 2" xfId="436"/>
    <cellStyle name="40% - Accent5 2 3 2 2 2 2" xfId="2174"/>
    <cellStyle name="40% - Accent5 2 3 2 2 3" xfId="1086"/>
    <cellStyle name="40% - Accent5 2 3 2 2 3 2" xfId="2790"/>
    <cellStyle name="40% - Accent5 2 3 2 2 4" xfId="2173"/>
    <cellStyle name="40% - Accent5 2 3 2 2 5" xfId="1573"/>
    <cellStyle name="40% - Accent5 2 3 2 3" xfId="437"/>
    <cellStyle name="40% - Accent5 2 3 2 3 2" xfId="2175"/>
    <cellStyle name="40% - Accent5 2 3 2 4" xfId="1085"/>
    <cellStyle name="40% - Accent5 2 3 2 4 2" xfId="2789"/>
    <cellStyle name="40% - Accent5 2 3 2 5" xfId="2172"/>
    <cellStyle name="40% - Accent5 2 3 2 6" xfId="1572"/>
    <cellStyle name="40% - Accent5 2 3 3" xfId="438"/>
    <cellStyle name="40% - Accent5 2 3 3 2" xfId="439"/>
    <cellStyle name="40% - Accent5 2 3 3 2 2" xfId="2177"/>
    <cellStyle name="40% - Accent5 2 3 3 3" xfId="1087"/>
    <cellStyle name="40% - Accent5 2 3 3 3 2" xfId="2791"/>
    <cellStyle name="40% - Accent5 2 3 3 4" xfId="2176"/>
    <cellStyle name="40% - Accent5 2 3 3 5" xfId="1574"/>
    <cellStyle name="40% - Accent5 2 3 4" xfId="440"/>
    <cellStyle name="40% - Accent5 2 3 4 2" xfId="441"/>
    <cellStyle name="40% - Accent5 2 3 4 2 2" xfId="2179"/>
    <cellStyle name="40% - Accent5 2 3 4 3" xfId="1088"/>
    <cellStyle name="40% - Accent5 2 3 4 3 2" xfId="2792"/>
    <cellStyle name="40% - Accent5 2 3 4 4" xfId="2178"/>
    <cellStyle name="40% - Accent5 2 3 4 5" xfId="1575"/>
    <cellStyle name="40% - Accent5 2 3 5" xfId="442"/>
    <cellStyle name="40% - Accent5 2 3 5 2" xfId="2180"/>
    <cellStyle name="40% - Accent5 2 3 5 3" xfId="1571"/>
    <cellStyle name="40% - Accent5 2 3 6" xfId="891"/>
    <cellStyle name="40% - Accent5 2 3 6 2" xfId="2597"/>
    <cellStyle name="40% - Accent5 2 3 7" xfId="2171"/>
    <cellStyle name="40% - Accent5 2 3 8" xfId="1325"/>
    <cellStyle name="40% - Accent5 2 4" xfId="443"/>
    <cellStyle name="40% - Accent5 2 4 2" xfId="444"/>
    <cellStyle name="40% - Accent5 2 4 2 2" xfId="445"/>
    <cellStyle name="40% - Accent5 2 4 2 2 2" xfId="2183"/>
    <cellStyle name="40% - Accent5 2 4 2 3" xfId="1090"/>
    <cellStyle name="40% - Accent5 2 4 2 3 2" xfId="2794"/>
    <cellStyle name="40% - Accent5 2 4 2 4" xfId="2182"/>
    <cellStyle name="40% - Accent5 2 4 2 5" xfId="1577"/>
    <cellStyle name="40% - Accent5 2 4 3" xfId="446"/>
    <cellStyle name="40% - Accent5 2 4 3 2" xfId="2184"/>
    <cellStyle name="40% - Accent5 2 4 3 3" xfId="1576"/>
    <cellStyle name="40% - Accent5 2 4 4" xfId="1089"/>
    <cellStyle name="40% - Accent5 2 4 4 2" xfId="2793"/>
    <cellStyle name="40% - Accent5 2 4 5" xfId="2181"/>
    <cellStyle name="40% - Accent5 2 4 6" xfId="1322"/>
    <cellStyle name="40% - Accent5 2 5" xfId="447"/>
    <cellStyle name="40% - Accent5 2 5 2" xfId="448"/>
    <cellStyle name="40% - Accent5 2 5 2 2" xfId="2186"/>
    <cellStyle name="40% - Accent5 2 5 3" xfId="1091"/>
    <cellStyle name="40% - Accent5 2 5 3 2" xfId="2795"/>
    <cellStyle name="40% - Accent5 2 5 4" xfId="2185"/>
    <cellStyle name="40% - Accent5 2 5 5" xfId="1578"/>
    <cellStyle name="40% - Accent5 2 6" xfId="449"/>
    <cellStyle name="40% - Accent5 2 6 2" xfId="450"/>
    <cellStyle name="40% - Accent5 2 6 2 2" xfId="2188"/>
    <cellStyle name="40% - Accent5 2 6 3" xfId="1092"/>
    <cellStyle name="40% - Accent5 2 6 3 2" xfId="2796"/>
    <cellStyle name="40% - Accent5 2 6 4" xfId="2187"/>
    <cellStyle name="40% - Accent5 2 6 5" xfId="1579"/>
    <cellStyle name="40% - Accent5 2 7" xfId="451"/>
    <cellStyle name="40% - Accent5 2 7 2" xfId="2189"/>
    <cellStyle name="40% - Accent5 2 7 3" xfId="1560"/>
    <cellStyle name="40% - Accent5 2 8" xfId="853"/>
    <cellStyle name="40% - Accent5 2 8 2" xfId="2559"/>
    <cellStyle name="40% - Accent5 2 9" xfId="2150"/>
    <cellStyle name="40% - Accent5 3" xfId="1271"/>
    <cellStyle name="40% - Accent5 4" xfId="2539"/>
    <cellStyle name="40% - Accent5 5" xfId="1241"/>
    <cellStyle name="40% - Accent6" xfId="833" builtinId="51" customBuiltin="1"/>
    <cellStyle name="40% - Accent6 2" xfId="452"/>
    <cellStyle name="40% - Accent6 2 10" xfId="1259"/>
    <cellStyle name="40% - Accent6 2 2" xfId="453"/>
    <cellStyle name="40% - Accent6 2 2 2" xfId="454"/>
    <cellStyle name="40% - Accent6 2 2 2 2" xfId="455"/>
    <cellStyle name="40% - Accent6 2 2 2 2 2" xfId="456"/>
    <cellStyle name="40% - Accent6 2 2 2 2 2 2" xfId="457"/>
    <cellStyle name="40% - Accent6 2 2 2 2 2 2 2" xfId="2195"/>
    <cellStyle name="40% - Accent6 2 2 2 2 2 3" xfId="1094"/>
    <cellStyle name="40% - Accent6 2 2 2 2 2 3 2" xfId="2798"/>
    <cellStyle name="40% - Accent6 2 2 2 2 2 4" xfId="2194"/>
    <cellStyle name="40% - Accent6 2 2 2 2 2 5" xfId="1584"/>
    <cellStyle name="40% - Accent6 2 2 2 2 3" xfId="458"/>
    <cellStyle name="40% - Accent6 2 2 2 2 3 2" xfId="2196"/>
    <cellStyle name="40% - Accent6 2 2 2 2 4" xfId="1093"/>
    <cellStyle name="40% - Accent6 2 2 2 2 4 2" xfId="2797"/>
    <cellStyle name="40% - Accent6 2 2 2 2 5" xfId="2193"/>
    <cellStyle name="40% - Accent6 2 2 2 2 6" xfId="1583"/>
    <cellStyle name="40% - Accent6 2 2 2 3" xfId="459"/>
    <cellStyle name="40% - Accent6 2 2 2 3 2" xfId="460"/>
    <cellStyle name="40% - Accent6 2 2 2 3 2 2" xfId="2198"/>
    <cellStyle name="40% - Accent6 2 2 2 3 3" xfId="1095"/>
    <cellStyle name="40% - Accent6 2 2 2 3 3 2" xfId="2799"/>
    <cellStyle name="40% - Accent6 2 2 2 3 4" xfId="2197"/>
    <cellStyle name="40% - Accent6 2 2 2 3 5" xfId="1585"/>
    <cellStyle name="40% - Accent6 2 2 2 4" xfId="461"/>
    <cellStyle name="40% - Accent6 2 2 2 4 2" xfId="462"/>
    <cellStyle name="40% - Accent6 2 2 2 4 2 2" xfId="2200"/>
    <cellStyle name="40% - Accent6 2 2 2 4 3" xfId="1096"/>
    <cellStyle name="40% - Accent6 2 2 2 4 3 2" xfId="2800"/>
    <cellStyle name="40% - Accent6 2 2 2 4 4" xfId="2199"/>
    <cellStyle name="40% - Accent6 2 2 2 4 5" xfId="1586"/>
    <cellStyle name="40% - Accent6 2 2 2 5" xfId="463"/>
    <cellStyle name="40% - Accent6 2 2 2 5 2" xfId="2201"/>
    <cellStyle name="40% - Accent6 2 2 2 5 3" xfId="1582"/>
    <cellStyle name="40% - Accent6 2 2 2 6" xfId="911"/>
    <cellStyle name="40% - Accent6 2 2 2 6 2" xfId="2617"/>
    <cellStyle name="40% - Accent6 2 2 2 7" xfId="2192"/>
    <cellStyle name="40% - Accent6 2 2 2 8" xfId="1328"/>
    <cellStyle name="40% - Accent6 2 2 3" xfId="464"/>
    <cellStyle name="40% - Accent6 2 2 3 2" xfId="465"/>
    <cellStyle name="40% - Accent6 2 2 3 2 2" xfId="466"/>
    <cellStyle name="40% - Accent6 2 2 3 2 2 2" xfId="2204"/>
    <cellStyle name="40% - Accent6 2 2 3 2 3" xfId="1098"/>
    <cellStyle name="40% - Accent6 2 2 3 2 3 2" xfId="2802"/>
    <cellStyle name="40% - Accent6 2 2 3 2 4" xfId="2203"/>
    <cellStyle name="40% - Accent6 2 2 3 2 5" xfId="1588"/>
    <cellStyle name="40% - Accent6 2 2 3 3" xfId="467"/>
    <cellStyle name="40% - Accent6 2 2 3 3 2" xfId="2205"/>
    <cellStyle name="40% - Accent6 2 2 3 4" xfId="1097"/>
    <cellStyle name="40% - Accent6 2 2 3 4 2" xfId="2801"/>
    <cellStyle name="40% - Accent6 2 2 3 5" xfId="2202"/>
    <cellStyle name="40% - Accent6 2 2 3 6" xfId="1587"/>
    <cellStyle name="40% - Accent6 2 2 4" xfId="468"/>
    <cellStyle name="40% - Accent6 2 2 4 2" xfId="469"/>
    <cellStyle name="40% - Accent6 2 2 4 2 2" xfId="2207"/>
    <cellStyle name="40% - Accent6 2 2 4 3" xfId="1099"/>
    <cellStyle name="40% - Accent6 2 2 4 3 2" xfId="2803"/>
    <cellStyle name="40% - Accent6 2 2 4 4" xfId="2206"/>
    <cellStyle name="40% - Accent6 2 2 4 5" xfId="1589"/>
    <cellStyle name="40% - Accent6 2 2 5" xfId="470"/>
    <cellStyle name="40% - Accent6 2 2 5 2" xfId="471"/>
    <cellStyle name="40% - Accent6 2 2 5 2 2" xfId="2209"/>
    <cellStyle name="40% - Accent6 2 2 5 3" xfId="1100"/>
    <cellStyle name="40% - Accent6 2 2 5 3 2" xfId="2804"/>
    <cellStyle name="40% - Accent6 2 2 5 4" xfId="2208"/>
    <cellStyle name="40% - Accent6 2 2 5 5" xfId="1590"/>
    <cellStyle name="40% - Accent6 2 2 6" xfId="472"/>
    <cellStyle name="40% - Accent6 2 2 6 2" xfId="2210"/>
    <cellStyle name="40% - Accent6 2 2 6 3" xfId="1581"/>
    <cellStyle name="40% - Accent6 2 2 7" xfId="873"/>
    <cellStyle name="40% - Accent6 2 2 7 2" xfId="2579"/>
    <cellStyle name="40% - Accent6 2 2 8" xfId="2191"/>
    <cellStyle name="40% - Accent6 2 2 9" xfId="1327"/>
    <cellStyle name="40% - Accent6 2 3" xfId="473"/>
    <cellStyle name="40% - Accent6 2 3 2" xfId="474"/>
    <cellStyle name="40% - Accent6 2 3 2 2" xfId="475"/>
    <cellStyle name="40% - Accent6 2 3 2 2 2" xfId="476"/>
    <cellStyle name="40% - Accent6 2 3 2 2 2 2" xfId="2214"/>
    <cellStyle name="40% - Accent6 2 3 2 2 3" xfId="1102"/>
    <cellStyle name="40% - Accent6 2 3 2 2 3 2" xfId="2806"/>
    <cellStyle name="40% - Accent6 2 3 2 2 4" xfId="2213"/>
    <cellStyle name="40% - Accent6 2 3 2 2 5" xfId="1593"/>
    <cellStyle name="40% - Accent6 2 3 2 3" xfId="477"/>
    <cellStyle name="40% - Accent6 2 3 2 3 2" xfId="2215"/>
    <cellStyle name="40% - Accent6 2 3 2 4" xfId="1101"/>
    <cellStyle name="40% - Accent6 2 3 2 4 2" xfId="2805"/>
    <cellStyle name="40% - Accent6 2 3 2 5" xfId="2212"/>
    <cellStyle name="40% - Accent6 2 3 2 6" xfId="1592"/>
    <cellStyle name="40% - Accent6 2 3 3" xfId="478"/>
    <cellStyle name="40% - Accent6 2 3 3 2" xfId="479"/>
    <cellStyle name="40% - Accent6 2 3 3 2 2" xfId="2217"/>
    <cellStyle name="40% - Accent6 2 3 3 3" xfId="1103"/>
    <cellStyle name="40% - Accent6 2 3 3 3 2" xfId="2807"/>
    <cellStyle name="40% - Accent6 2 3 3 4" xfId="2216"/>
    <cellStyle name="40% - Accent6 2 3 3 5" xfId="1594"/>
    <cellStyle name="40% - Accent6 2 3 4" xfId="480"/>
    <cellStyle name="40% - Accent6 2 3 4 2" xfId="481"/>
    <cellStyle name="40% - Accent6 2 3 4 2 2" xfId="2219"/>
    <cellStyle name="40% - Accent6 2 3 4 3" xfId="1104"/>
    <cellStyle name="40% - Accent6 2 3 4 3 2" xfId="2808"/>
    <cellStyle name="40% - Accent6 2 3 4 4" xfId="2218"/>
    <cellStyle name="40% - Accent6 2 3 4 5" xfId="1595"/>
    <cellStyle name="40% - Accent6 2 3 5" xfId="482"/>
    <cellStyle name="40% - Accent6 2 3 5 2" xfId="2220"/>
    <cellStyle name="40% - Accent6 2 3 5 3" xfId="1591"/>
    <cellStyle name="40% - Accent6 2 3 6" xfId="892"/>
    <cellStyle name="40% - Accent6 2 3 6 2" xfId="2598"/>
    <cellStyle name="40% - Accent6 2 3 7" xfId="2211"/>
    <cellStyle name="40% - Accent6 2 3 8" xfId="1329"/>
    <cellStyle name="40% - Accent6 2 4" xfId="483"/>
    <cellStyle name="40% - Accent6 2 4 2" xfId="484"/>
    <cellStyle name="40% - Accent6 2 4 2 2" xfId="485"/>
    <cellStyle name="40% - Accent6 2 4 2 2 2" xfId="2223"/>
    <cellStyle name="40% - Accent6 2 4 2 3" xfId="1106"/>
    <cellStyle name="40% - Accent6 2 4 2 3 2" xfId="2810"/>
    <cellStyle name="40% - Accent6 2 4 2 4" xfId="2222"/>
    <cellStyle name="40% - Accent6 2 4 2 5" xfId="1597"/>
    <cellStyle name="40% - Accent6 2 4 3" xfId="486"/>
    <cellStyle name="40% - Accent6 2 4 3 2" xfId="2224"/>
    <cellStyle name="40% - Accent6 2 4 3 3" xfId="1596"/>
    <cellStyle name="40% - Accent6 2 4 4" xfId="1105"/>
    <cellStyle name="40% - Accent6 2 4 4 2" xfId="2809"/>
    <cellStyle name="40% - Accent6 2 4 5" xfId="2221"/>
    <cellStyle name="40% - Accent6 2 4 6" xfId="1326"/>
    <cellStyle name="40% - Accent6 2 5" xfId="487"/>
    <cellStyle name="40% - Accent6 2 5 2" xfId="488"/>
    <cellStyle name="40% - Accent6 2 5 2 2" xfId="2226"/>
    <cellStyle name="40% - Accent6 2 5 3" xfId="1107"/>
    <cellStyle name="40% - Accent6 2 5 3 2" xfId="2811"/>
    <cellStyle name="40% - Accent6 2 5 4" xfId="2225"/>
    <cellStyle name="40% - Accent6 2 5 5" xfId="1598"/>
    <cellStyle name="40% - Accent6 2 6" xfId="489"/>
    <cellStyle name="40% - Accent6 2 6 2" xfId="490"/>
    <cellStyle name="40% - Accent6 2 6 2 2" xfId="2228"/>
    <cellStyle name="40% - Accent6 2 6 3" xfId="1108"/>
    <cellStyle name="40% - Accent6 2 6 3 2" xfId="2812"/>
    <cellStyle name="40% - Accent6 2 6 4" xfId="2227"/>
    <cellStyle name="40% - Accent6 2 6 5" xfId="1599"/>
    <cellStyle name="40% - Accent6 2 7" xfId="491"/>
    <cellStyle name="40% - Accent6 2 7 2" xfId="2229"/>
    <cellStyle name="40% - Accent6 2 7 3" xfId="1580"/>
    <cellStyle name="40% - Accent6 2 8" xfId="854"/>
    <cellStyle name="40% - Accent6 2 8 2" xfId="2560"/>
    <cellStyle name="40% - Accent6 2 9" xfId="2190"/>
    <cellStyle name="40% - Accent6 3" xfId="1273"/>
    <cellStyle name="40% - Accent6 4" xfId="2541"/>
    <cellStyle name="40% - Accent6 5" xfId="1243"/>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2936" builtinId="3"/>
    <cellStyle name="Comma 2" xfId="3"/>
    <cellStyle name="Comma 2 2" xfId="1275"/>
    <cellStyle name="Comma 2 3" xfId="1277"/>
    <cellStyle name="Comma 2 4" xfId="1245"/>
    <cellStyle name="Comma 3" xfId="10"/>
    <cellStyle name="Comma 3 10" xfId="1748"/>
    <cellStyle name="Comma 3 11" xfId="1260"/>
    <cellStyle name="Comma 3 2" xfId="492"/>
    <cellStyle name="Comma 3 2 2" xfId="493"/>
    <cellStyle name="Comma 3 2 2 2" xfId="494"/>
    <cellStyle name="Comma 3 2 2 2 2" xfId="495"/>
    <cellStyle name="Comma 3 2 2 2 2 2" xfId="496"/>
    <cellStyle name="Comma 3 2 2 2 2 2 2" xfId="2234"/>
    <cellStyle name="Comma 3 2 2 2 2 3" xfId="1110"/>
    <cellStyle name="Comma 3 2 2 2 2 3 2" xfId="2814"/>
    <cellStyle name="Comma 3 2 2 2 2 4" xfId="2233"/>
    <cellStyle name="Comma 3 2 2 2 2 5" xfId="1603"/>
    <cellStyle name="Comma 3 2 2 2 3" xfId="497"/>
    <cellStyle name="Comma 3 2 2 2 3 2" xfId="2235"/>
    <cellStyle name="Comma 3 2 2 2 4" xfId="1109"/>
    <cellStyle name="Comma 3 2 2 2 4 2" xfId="2813"/>
    <cellStyle name="Comma 3 2 2 2 5" xfId="2232"/>
    <cellStyle name="Comma 3 2 2 2 6" xfId="1602"/>
    <cellStyle name="Comma 3 2 2 3" xfId="498"/>
    <cellStyle name="Comma 3 2 2 3 2" xfId="499"/>
    <cellStyle name="Comma 3 2 2 3 2 2" xfId="2237"/>
    <cellStyle name="Comma 3 2 2 3 3" xfId="1111"/>
    <cellStyle name="Comma 3 2 2 3 3 2" xfId="2815"/>
    <cellStyle name="Comma 3 2 2 3 4" xfId="2236"/>
    <cellStyle name="Comma 3 2 2 3 5" xfId="1604"/>
    <cellStyle name="Comma 3 2 2 4" xfId="500"/>
    <cellStyle name="Comma 3 2 2 4 2" xfId="501"/>
    <cellStyle name="Comma 3 2 2 4 2 2" xfId="2239"/>
    <cellStyle name="Comma 3 2 2 4 3" xfId="1112"/>
    <cellStyle name="Comma 3 2 2 4 3 2" xfId="2816"/>
    <cellStyle name="Comma 3 2 2 4 4" xfId="2238"/>
    <cellStyle name="Comma 3 2 2 4 5" xfId="1605"/>
    <cellStyle name="Comma 3 2 2 5" xfId="502"/>
    <cellStyle name="Comma 3 2 2 5 2" xfId="2240"/>
    <cellStyle name="Comma 3 2 2 5 3" xfId="1601"/>
    <cellStyle name="Comma 3 2 2 6" xfId="898"/>
    <cellStyle name="Comma 3 2 2 6 2" xfId="2604"/>
    <cellStyle name="Comma 3 2 2 7" xfId="2231"/>
    <cellStyle name="Comma 3 2 2 8" xfId="1331"/>
    <cellStyle name="Comma 3 2 3" xfId="503"/>
    <cellStyle name="Comma 3 2 3 2" xfId="504"/>
    <cellStyle name="Comma 3 2 3 2 2" xfId="505"/>
    <cellStyle name="Comma 3 2 3 2 2 2" xfId="2243"/>
    <cellStyle name="Comma 3 2 3 2 3" xfId="1114"/>
    <cellStyle name="Comma 3 2 3 2 3 2" xfId="2818"/>
    <cellStyle name="Comma 3 2 3 2 4" xfId="2242"/>
    <cellStyle name="Comma 3 2 3 2 5" xfId="1607"/>
    <cellStyle name="Comma 3 2 3 3" xfId="506"/>
    <cellStyle name="Comma 3 2 3 3 2" xfId="2244"/>
    <cellStyle name="Comma 3 2 3 4" xfId="1113"/>
    <cellStyle name="Comma 3 2 3 4 2" xfId="2817"/>
    <cellStyle name="Comma 3 2 3 5" xfId="2241"/>
    <cellStyle name="Comma 3 2 3 6" xfId="1606"/>
    <cellStyle name="Comma 3 2 4" xfId="507"/>
    <cellStyle name="Comma 3 2 4 2" xfId="508"/>
    <cellStyle name="Comma 3 2 4 2 2" xfId="2246"/>
    <cellStyle name="Comma 3 2 4 3" xfId="1115"/>
    <cellStyle name="Comma 3 2 4 3 2" xfId="2819"/>
    <cellStyle name="Comma 3 2 4 4" xfId="2245"/>
    <cellStyle name="Comma 3 2 4 5" xfId="1608"/>
    <cellStyle name="Comma 3 2 5" xfId="509"/>
    <cellStyle name="Comma 3 2 5 2" xfId="510"/>
    <cellStyle name="Comma 3 2 5 2 2" xfId="2248"/>
    <cellStyle name="Comma 3 2 5 3" xfId="1116"/>
    <cellStyle name="Comma 3 2 5 3 2" xfId="2820"/>
    <cellStyle name="Comma 3 2 5 4" xfId="2247"/>
    <cellStyle name="Comma 3 2 5 5" xfId="1609"/>
    <cellStyle name="Comma 3 2 6" xfId="511"/>
    <cellStyle name="Comma 3 2 6 2" xfId="2249"/>
    <cellStyle name="Comma 3 2 6 3" xfId="1600"/>
    <cellStyle name="Comma 3 2 7" xfId="860"/>
    <cellStyle name="Comma 3 2 7 2" xfId="2566"/>
    <cellStyle name="Comma 3 2 8" xfId="2230"/>
    <cellStyle name="Comma 3 2 9" xfId="1330"/>
    <cellStyle name="Comma 3 3" xfId="512"/>
    <cellStyle name="Comma 3 3 2" xfId="513"/>
    <cellStyle name="Comma 3 3 2 2" xfId="514"/>
    <cellStyle name="Comma 3 3 2 2 2" xfId="515"/>
    <cellStyle name="Comma 3 3 2 2 2 2" xfId="2253"/>
    <cellStyle name="Comma 3 3 2 2 3" xfId="1118"/>
    <cellStyle name="Comma 3 3 2 2 3 2" xfId="2822"/>
    <cellStyle name="Comma 3 3 2 2 4" xfId="2252"/>
    <cellStyle name="Comma 3 3 2 2 5" xfId="1612"/>
    <cellStyle name="Comma 3 3 2 3" xfId="516"/>
    <cellStyle name="Comma 3 3 2 3 2" xfId="2254"/>
    <cellStyle name="Comma 3 3 2 4" xfId="1117"/>
    <cellStyle name="Comma 3 3 2 4 2" xfId="2821"/>
    <cellStyle name="Comma 3 3 2 5" xfId="2251"/>
    <cellStyle name="Comma 3 3 2 6" xfId="1611"/>
    <cellStyle name="Comma 3 3 3" xfId="517"/>
    <cellStyle name="Comma 3 3 3 2" xfId="518"/>
    <cellStyle name="Comma 3 3 3 2 2" xfId="2256"/>
    <cellStyle name="Comma 3 3 3 3" xfId="1119"/>
    <cellStyle name="Comma 3 3 3 3 2" xfId="2823"/>
    <cellStyle name="Comma 3 3 3 4" xfId="2255"/>
    <cellStyle name="Comma 3 3 3 5" xfId="1613"/>
    <cellStyle name="Comma 3 3 4" xfId="519"/>
    <cellStyle name="Comma 3 3 4 2" xfId="520"/>
    <cellStyle name="Comma 3 3 4 2 2" xfId="2258"/>
    <cellStyle name="Comma 3 3 4 3" xfId="1120"/>
    <cellStyle name="Comma 3 3 4 3 2" xfId="2824"/>
    <cellStyle name="Comma 3 3 4 4" xfId="2257"/>
    <cellStyle name="Comma 3 3 4 5" xfId="1614"/>
    <cellStyle name="Comma 3 3 5" xfId="521"/>
    <cellStyle name="Comma 3 3 5 2" xfId="2259"/>
    <cellStyle name="Comma 3 3 5 3" xfId="1610"/>
    <cellStyle name="Comma 3 3 6" xfId="879"/>
    <cellStyle name="Comma 3 3 6 2" xfId="2585"/>
    <cellStyle name="Comma 3 3 7" xfId="2250"/>
    <cellStyle name="Comma 3 3 8" xfId="1332"/>
    <cellStyle name="Comma 3 4" xfId="522"/>
    <cellStyle name="Comma 3 4 2" xfId="523"/>
    <cellStyle name="Comma 3 4 2 2" xfId="524"/>
    <cellStyle name="Comma 3 4 2 2 2" xfId="2262"/>
    <cellStyle name="Comma 3 4 2 3" xfId="1122"/>
    <cellStyle name="Comma 3 4 2 3 2" xfId="2826"/>
    <cellStyle name="Comma 3 4 2 4" xfId="2261"/>
    <cellStyle name="Comma 3 4 2 5" xfId="1616"/>
    <cellStyle name="Comma 3 4 3" xfId="525"/>
    <cellStyle name="Comma 3 4 3 2" xfId="2263"/>
    <cellStyle name="Comma 3 4 3 3" xfId="1615"/>
    <cellStyle name="Comma 3 4 4" xfId="1121"/>
    <cellStyle name="Comma 3 4 4 2" xfId="2825"/>
    <cellStyle name="Comma 3 4 5" xfId="2260"/>
    <cellStyle name="Comma 3 4 6" xfId="1280"/>
    <cellStyle name="Comma 3 5" xfId="526"/>
    <cellStyle name="Comma 3 5 2" xfId="527"/>
    <cellStyle name="Comma 3 5 2 2" xfId="2265"/>
    <cellStyle name="Comma 3 5 3" xfId="1123"/>
    <cellStyle name="Comma 3 5 3 2" xfId="2827"/>
    <cellStyle name="Comma 3 5 4" xfId="2264"/>
    <cellStyle name="Comma 3 5 5" xfId="1617"/>
    <cellStyle name="Comma 3 6" xfId="528"/>
    <cellStyle name="Comma 3 6 2" xfId="529"/>
    <cellStyle name="Comma 3 6 2 2" xfId="2267"/>
    <cellStyle name="Comma 3 6 3" xfId="1124"/>
    <cellStyle name="Comma 3 6 3 2" xfId="2828"/>
    <cellStyle name="Comma 3 6 4" xfId="2266"/>
    <cellStyle name="Comma 3 6 5" xfId="1618"/>
    <cellStyle name="Comma 3 7" xfId="530"/>
    <cellStyle name="Comma 3 7 2" xfId="2268"/>
    <cellStyle name="Comma 3 7 3" xfId="1358"/>
    <cellStyle name="Comma 3 8" xfId="792"/>
    <cellStyle name="Comma 3 8 2" xfId="2528"/>
    <cellStyle name="Comma 3 9" xfId="841"/>
    <cellStyle name="Comma 3 9 2" xfId="2547"/>
    <cellStyle name="Comma 4" xfId="7"/>
    <cellStyle name="Comma 5" xfId="916"/>
    <cellStyle name="Comma 6" xfId="836"/>
    <cellStyle name="Comma 6 2" xfId="2543"/>
    <cellStyle name="Comma_charter school revenue frame" xfId="6"/>
    <cellStyle name="Currency 2" xfId="9"/>
    <cellStyle name="Currency 2 10" xfId="1747"/>
    <cellStyle name="Currency 2 11" xfId="1279"/>
    <cellStyle name="Currency 2 2" xfId="531"/>
    <cellStyle name="Currency 2 2 2" xfId="532"/>
    <cellStyle name="Currency 2 2 2 2" xfId="533"/>
    <cellStyle name="Currency 2 2 2 2 2" xfId="534"/>
    <cellStyle name="Currency 2 2 2 2 2 2" xfId="535"/>
    <cellStyle name="Currency 2 2 2 2 2 2 2" xfId="2273"/>
    <cellStyle name="Currency 2 2 2 2 2 3" xfId="1126"/>
    <cellStyle name="Currency 2 2 2 2 2 3 2" xfId="2830"/>
    <cellStyle name="Currency 2 2 2 2 2 4" xfId="2272"/>
    <cellStyle name="Currency 2 2 2 2 2 5" xfId="1622"/>
    <cellStyle name="Currency 2 2 2 2 3" xfId="536"/>
    <cellStyle name="Currency 2 2 2 2 3 2" xfId="2274"/>
    <cellStyle name="Currency 2 2 2 2 4" xfId="1125"/>
    <cellStyle name="Currency 2 2 2 2 4 2" xfId="2829"/>
    <cellStyle name="Currency 2 2 2 2 5" xfId="2271"/>
    <cellStyle name="Currency 2 2 2 2 6" xfId="1621"/>
    <cellStyle name="Currency 2 2 2 3" xfId="537"/>
    <cellStyle name="Currency 2 2 2 3 2" xfId="538"/>
    <cellStyle name="Currency 2 2 2 3 2 2" xfId="2276"/>
    <cellStyle name="Currency 2 2 2 3 3" xfId="1127"/>
    <cellStyle name="Currency 2 2 2 3 3 2" xfId="2831"/>
    <cellStyle name="Currency 2 2 2 3 4" xfId="2275"/>
    <cellStyle name="Currency 2 2 2 3 5" xfId="1623"/>
    <cellStyle name="Currency 2 2 2 4" xfId="539"/>
    <cellStyle name="Currency 2 2 2 4 2" xfId="540"/>
    <cellStyle name="Currency 2 2 2 4 2 2" xfId="2278"/>
    <cellStyle name="Currency 2 2 2 4 3" xfId="1128"/>
    <cellStyle name="Currency 2 2 2 4 3 2" xfId="2832"/>
    <cellStyle name="Currency 2 2 2 4 4" xfId="2277"/>
    <cellStyle name="Currency 2 2 2 4 5" xfId="1624"/>
    <cellStyle name="Currency 2 2 2 5" xfId="541"/>
    <cellStyle name="Currency 2 2 2 5 2" xfId="2279"/>
    <cellStyle name="Currency 2 2 2 5 3" xfId="1620"/>
    <cellStyle name="Currency 2 2 2 6" xfId="897"/>
    <cellStyle name="Currency 2 2 2 6 2" xfId="2603"/>
    <cellStyle name="Currency 2 2 2 7" xfId="2270"/>
    <cellStyle name="Currency 2 2 2 8" xfId="1334"/>
    <cellStyle name="Currency 2 2 3" xfId="542"/>
    <cellStyle name="Currency 2 2 3 2" xfId="543"/>
    <cellStyle name="Currency 2 2 3 2 2" xfId="544"/>
    <cellStyle name="Currency 2 2 3 2 2 2" xfId="2282"/>
    <cellStyle name="Currency 2 2 3 2 3" xfId="1130"/>
    <cellStyle name="Currency 2 2 3 2 3 2" xfId="2834"/>
    <cellStyle name="Currency 2 2 3 2 4" xfId="2281"/>
    <cellStyle name="Currency 2 2 3 2 5" xfId="1626"/>
    <cellStyle name="Currency 2 2 3 3" xfId="545"/>
    <cellStyle name="Currency 2 2 3 3 2" xfId="2283"/>
    <cellStyle name="Currency 2 2 3 4" xfId="1129"/>
    <cellStyle name="Currency 2 2 3 4 2" xfId="2833"/>
    <cellStyle name="Currency 2 2 3 5" xfId="2280"/>
    <cellStyle name="Currency 2 2 3 6" xfId="1625"/>
    <cellStyle name="Currency 2 2 4" xfId="546"/>
    <cellStyle name="Currency 2 2 4 2" xfId="547"/>
    <cellStyle name="Currency 2 2 4 2 2" xfId="2285"/>
    <cellStyle name="Currency 2 2 4 3" xfId="1131"/>
    <cellStyle name="Currency 2 2 4 3 2" xfId="2835"/>
    <cellStyle name="Currency 2 2 4 4" xfId="2284"/>
    <cellStyle name="Currency 2 2 4 5" xfId="1627"/>
    <cellStyle name="Currency 2 2 5" xfId="548"/>
    <cellStyle name="Currency 2 2 5 2" xfId="549"/>
    <cellStyle name="Currency 2 2 5 2 2" xfId="2287"/>
    <cellStyle name="Currency 2 2 5 3" xfId="1132"/>
    <cellStyle name="Currency 2 2 5 3 2" xfId="2836"/>
    <cellStyle name="Currency 2 2 5 4" xfId="2286"/>
    <cellStyle name="Currency 2 2 5 5" xfId="1628"/>
    <cellStyle name="Currency 2 2 6" xfId="550"/>
    <cellStyle name="Currency 2 2 6 2" xfId="2288"/>
    <cellStyle name="Currency 2 2 6 3" xfId="1619"/>
    <cellStyle name="Currency 2 2 7" xfId="859"/>
    <cellStyle name="Currency 2 2 7 2" xfId="2565"/>
    <cellStyle name="Currency 2 2 8" xfId="2269"/>
    <cellStyle name="Currency 2 2 9" xfId="1333"/>
    <cellStyle name="Currency 2 3" xfId="551"/>
    <cellStyle name="Currency 2 3 2" xfId="552"/>
    <cellStyle name="Currency 2 3 2 2" xfId="553"/>
    <cellStyle name="Currency 2 3 2 2 2" xfId="554"/>
    <cellStyle name="Currency 2 3 2 2 2 2" xfId="2292"/>
    <cellStyle name="Currency 2 3 2 2 3" xfId="1134"/>
    <cellStyle name="Currency 2 3 2 2 3 2" xfId="2838"/>
    <cellStyle name="Currency 2 3 2 2 4" xfId="2291"/>
    <cellStyle name="Currency 2 3 2 2 5" xfId="1631"/>
    <cellStyle name="Currency 2 3 2 3" xfId="555"/>
    <cellStyle name="Currency 2 3 2 3 2" xfId="2293"/>
    <cellStyle name="Currency 2 3 2 4" xfId="1133"/>
    <cellStyle name="Currency 2 3 2 4 2" xfId="2837"/>
    <cellStyle name="Currency 2 3 2 5" xfId="2290"/>
    <cellStyle name="Currency 2 3 2 6" xfId="1630"/>
    <cellStyle name="Currency 2 3 3" xfId="556"/>
    <cellStyle name="Currency 2 3 3 2" xfId="557"/>
    <cellStyle name="Currency 2 3 3 2 2" xfId="2295"/>
    <cellStyle name="Currency 2 3 3 3" xfId="1135"/>
    <cellStyle name="Currency 2 3 3 3 2" xfId="2839"/>
    <cellStyle name="Currency 2 3 3 4" xfId="2294"/>
    <cellStyle name="Currency 2 3 3 5" xfId="1632"/>
    <cellStyle name="Currency 2 3 4" xfId="558"/>
    <cellStyle name="Currency 2 3 4 2" xfId="559"/>
    <cellStyle name="Currency 2 3 4 2 2" xfId="2297"/>
    <cellStyle name="Currency 2 3 4 3" xfId="1136"/>
    <cellStyle name="Currency 2 3 4 3 2" xfId="2840"/>
    <cellStyle name="Currency 2 3 4 4" xfId="2296"/>
    <cellStyle name="Currency 2 3 4 5" xfId="1633"/>
    <cellStyle name="Currency 2 3 5" xfId="560"/>
    <cellStyle name="Currency 2 3 5 2" xfId="2298"/>
    <cellStyle name="Currency 2 3 5 3" xfId="1629"/>
    <cellStyle name="Currency 2 3 6" xfId="878"/>
    <cellStyle name="Currency 2 3 6 2" xfId="2584"/>
    <cellStyle name="Currency 2 3 7" xfId="2289"/>
    <cellStyle name="Currency 2 3 8" xfId="1335"/>
    <cellStyle name="Currency 2 4" xfId="561"/>
    <cellStyle name="Currency 2 4 2" xfId="562"/>
    <cellStyle name="Currency 2 4 2 2" xfId="563"/>
    <cellStyle name="Currency 2 4 2 2 2" xfId="2301"/>
    <cellStyle name="Currency 2 4 2 3" xfId="1138"/>
    <cellStyle name="Currency 2 4 2 3 2" xfId="2842"/>
    <cellStyle name="Currency 2 4 2 4" xfId="2300"/>
    <cellStyle name="Currency 2 4 2 5" xfId="1635"/>
    <cellStyle name="Currency 2 4 3" xfId="564"/>
    <cellStyle name="Currency 2 4 3 2" xfId="2302"/>
    <cellStyle name="Currency 2 4 4" xfId="1137"/>
    <cellStyle name="Currency 2 4 4 2" xfId="2841"/>
    <cellStyle name="Currency 2 4 5" xfId="2299"/>
    <cellStyle name="Currency 2 4 6" xfId="1634"/>
    <cellStyle name="Currency 2 5" xfId="565"/>
    <cellStyle name="Currency 2 5 2" xfId="566"/>
    <cellStyle name="Currency 2 5 2 2" xfId="2304"/>
    <cellStyle name="Currency 2 5 3" xfId="1139"/>
    <cellStyle name="Currency 2 5 3 2" xfId="2843"/>
    <cellStyle name="Currency 2 5 4" xfId="2303"/>
    <cellStyle name="Currency 2 5 5" xfId="1636"/>
    <cellStyle name="Currency 2 6" xfId="567"/>
    <cellStyle name="Currency 2 6 2" xfId="568"/>
    <cellStyle name="Currency 2 6 2 2" xfId="2306"/>
    <cellStyle name="Currency 2 6 3" xfId="1140"/>
    <cellStyle name="Currency 2 6 3 2" xfId="2844"/>
    <cellStyle name="Currency 2 6 4" xfId="2305"/>
    <cellStyle name="Currency 2 6 5" xfId="1637"/>
    <cellStyle name="Currency 2 7" xfId="569"/>
    <cellStyle name="Currency 2 7 2" xfId="2307"/>
    <cellStyle name="Currency 2 7 3" xfId="1357"/>
    <cellStyle name="Currency 2 8" xfId="791"/>
    <cellStyle name="Currency 2 8 2" xfId="2527"/>
    <cellStyle name="Currency 2 9" xfId="840"/>
    <cellStyle name="Currency 2 9 2" xfId="2546"/>
    <cellStyle name="Currency 3" xfId="570"/>
    <cellStyle name="Currency 4" xfId="571"/>
    <cellStyle name="Currency 4 2" xfId="572"/>
    <cellStyle name="Currency 4 2 2" xfId="573"/>
    <cellStyle name="Currency 4 2 2 2" xfId="574"/>
    <cellStyle name="Currency 4 2 2 2 2" xfId="2311"/>
    <cellStyle name="Currency 4 2 2 3" xfId="1143"/>
    <cellStyle name="Currency 4 2 2 3 2" xfId="2847"/>
    <cellStyle name="Currency 4 2 2 4" xfId="2310"/>
    <cellStyle name="Currency 4 2 2 5" xfId="1640"/>
    <cellStyle name="Currency 4 2 3" xfId="575"/>
    <cellStyle name="Currency 4 2 3 2" xfId="2312"/>
    <cellStyle name="Currency 4 2 4" xfId="1142"/>
    <cellStyle name="Currency 4 2 4 2" xfId="2846"/>
    <cellStyle name="Currency 4 2 5" xfId="2309"/>
    <cellStyle name="Currency 4 2 6" xfId="1639"/>
    <cellStyle name="Currency 4 3" xfId="576"/>
    <cellStyle name="Currency 4 3 2" xfId="577"/>
    <cellStyle name="Currency 4 3 2 2" xfId="2314"/>
    <cellStyle name="Currency 4 3 3" xfId="1144"/>
    <cellStyle name="Currency 4 3 3 2" xfId="2848"/>
    <cellStyle name="Currency 4 3 4" xfId="2313"/>
    <cellStyle name="Currency 4 3 5" xfId="1641"/>
    <cellStyle name="Currency 4 4" xfId="578"/>
    <cellStyle name="Currency 4 4 2" xfId="579"/>
    <cellStyle name="Currency 4 4 2 2" xfId="2316"/>
    <cellStyle name="Currency 4 4 3" xfId="1145"/>
    <cellStyle name="Currency 4 4 3 2" xfId="2849"/>
    <cellStyle name="Currency 4 4 4" xfId="2315"/>
    <cellStyle name="Currency 4 4 5" xfId="1642"/>
    <cellStyle name="Currency 4 5" xfId="580"/>
    <cellStyle name="Currency 4 5 2" xfId="2317"/>
    <cellStyle name="Currency 4 5 3" xfId="1638"/>
    <cellStyle name="Currency 4 6" xfId="1141"/>
    <cellStyle name="Currency 4 6 2" xfId="2845"/>
    <cellStyle name="Currency 4 7" xfId="2308"/>
    <cellStyle name="Currency 4 8" xfId="1355"/>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Hyperlink" xfId="2937" builtinId="8"/>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1" xfId="1244"/>
    <cellStyle name="Normal 3 2" xfId="581"/>
    <cellStyle name="Normal 3 2 2" xfId="582"/>
    <cellStyle name="Normal 3 2 2 2" xfId="583"/>
    <cellStyle name="Normal 3 2 2 2 2" xfId="584"/>
    <cellStyle name="Normal 3 2 2 2 2 2" xfId="585"/>
    <cellStyle name="Normal 3 2 2 2 2 2 2" xfId="2322"/>
    <cellStyle name="Normal 3 2 2 2 2 3" xfId="1147"/>
    <cellStyle name="Normal 3 2 2 2 2 3 2" xfId="2851"/>
    <cellStyle name="Normal 3 2 2 2 2 4" xfId="2321"/>
    <cellStyle name="Normal 3 2 2 2 2 5" xfId="1646"/>
    <cellStyle name="Normal 3 2 2 2 3" xfId="586"/>
    <cellStyle name="Normal 3 2 2 2 3 2" xfId="2323"/>
    <cellStyle name="Normal 3 2 2 2 4" xfId="1146"/>
    <cellStyle name="Normal 3 2 2 2 4 2" xfId="2850"/>
    <cellStyle name="Normal 3 2 2 2 5" xfId="2320"/>
    <cellStyle name="Normal 3 2 2 2 6" xfId="1645"/>
    <cellStyle name="Normal 3 2 2 3" xfId="587"/>
    <cellStyle name="Normal 3 2 2 3 2" xfId="588"/>
    <cellStyle name="Normal 3 2 2 3 2 2" xfId="2325"/>
    <cellStyle name="Normal 3 2 2 3 3" xfId="1148"/>
    <cellStyle name="Normal 3 2 2 3 3 2" xfId="2852"/>
    <cellStyle name="Normal 3 2 2 3 4" xfId="2324"/>
    <cellStyle name="Normal 3 2 2 3 5" xfId="1647"/>
    <cellStyle name="Normal 3 2 2 4" xfId="589"/>
    <cellStyle name="Normal 3 2 2 4 2" xfId="590"/>
    <cellStyle name="Normal 3 2 2 4 2 2" xfId="2327"/>
    <cellStyle name="Normal 3 2 2 4 3" xfId="1149"/>
    <cellStyle name="Normal 3 2 2 4 3 2" xfId="2853"/>
    <cellStyle name="Normal 3 2 2 4 4" xfId="2326"/>
    <cellStyle name="Normal 3 2 2 4 5" xfId="1648"/>
    <cellStyle name="Normal 3 2 2 5" xfId="591"/>
    <cellStyle name="Normal 3 2 2 5 2" xfId="2328"/>
    <cellStyle name="Normal 3 2 2 5 3" xfId="1644"/>
    <cellStyle name="Normal 3 2 2 6" xfId="896"/>
    <cellStyle name="Normal 3 2 2 6 2" xfId="2602"/>
    <cellStyle name="Normal 3 2 2 7" xfId="2319"/>
    <cellStyle name="Normal 3 2 2 8" xfId="1337"/>
    <cellStyle name="Normal 3 2 3" xfId="592"/>
    <cellStyle name="Normal 3 2 3 2" xfId="593"/>
    <cellStyle name="Normal 3 2 3 2 2" xfId="594"/>
    <cellStyle name="Normal 3 2 3 2 2 2" xfId="2331"/>
    <cellStyle name="Normal 3 2 3 2 3" xfId="1151"/>
    <cellStyle name="Normal 3 2 3 2 3 2" xfId="2855"/>
    <cellStyle name="Normal 3 2 3 2 4" xfId="2330"/>
    <cellStyle name="Normal 3 2 3 2 5" xfId="1650"/>
    <cellStyle name="Normal 3 2 3 3" xfId="595"/>
    <cellStyle name="Normal 3 2 3 3 2" xfId="2332"/>
    <cellStyle name="Normal 3 2 3 3 3" xfId="1649"/>
    <cellStyle name="Normal 3 2 3 4" xfId="1150"/>
    <cellStyle name="Normal 3 2 3 4 2" xfId="2854"/>
    <cellStyle name="Normal 3 2 3 5" xfId="2329"/>
    <cellStyle name="Normal 3 2 3 6" xfId="1336"/>
    <cellStyle name="Normal 3 2 4" xfId="596"/>
    <cellStyle name="Normal 3 2 4 2" xfId="597"/>
    <cellStyle name="Normal 3 2 4 2 2" xfId="2334"/>
    <cellStyle name="Normal 3 2 4 3" xfId="1152"/>
    <cellStyle name="Normal 3 2 4 3 2" xfId="2856"/>
    <cellStyle name="Normal 3 2 4 4" xfId="2333"/>
    <cellStyle name="Normal 3 2 4 5" xfId="1651"/>
    <cellStyle name="Normal 3 2 5" xfId="598"/>
    <cellStyle name="Normal 3 2 5 2" xfId="599"/>
    <cellStyle name="Normal 3 2 5 2 2" xfId="2336"/>
    <cellStyle name="Normal 3 2 5 3" xfId="1153"/>
    <cellStyle name="Normal 3 2 5 3 2" xfId="2857"/>
    <cellStyle name="Normal 3 2 5 4" xfId="2335"/>
    <cellStyle name="Normal 3 2 5 5" xfId="1652"/>
    <cellStyle name="Normal 3 2 6" xfId="600"/>
    <cellStyle name="Normal 3 2 6 2" xfId="2337"/>
    <cellStyle name="Normal 3 2 6 3" xfId="1643"/>
    <cellStyle name="Normal 3 2 7" xfId="858"/>
    <cellStyle name="Normal 3 2 7 2" xfId="2564"/>
    <cellStyle name="Normal 3 2 8" xfId="2318"/>
    <cellStyle name="Normal 3 2 9" xfId="1274"/>
    <cellStyle name="Normal 3 3" xfId="601"/>
    <cellStyle name="Normal 3 3 2" xfId="602"/>
    <cellStyle name="Normal 3 3 2 2" xfId="603"/>
    <cellStyle name="Normal 3 3 2 2 2" xfId="604"/>
    <cellStyle name="Normal 3 3 2 2 2 2" xfId="2341"/>
    <cellStyle name="Normal 3 3 2 2 3" xfId="1155"/>
    <cellStyle name="Normal 3 3 2 2 3 2" xfId="2859"/>
    <cellStyle name="Normal 3 3 2 2 4" xfId="2340"/>
    <cellStyle name="Normal 3 3 2 2 5" xfId="1655"/>
    <cellStyle name="Normal 3 3 2 3" xfId="605"/>
    <cellStyle name="Normal 3 3 2 3 2" xfId="2342"/>
    <cellStyle name="Normal 3 3 2 4" xfId="1154"/>
    <cellStyle name="Normal 3 3 2 4 2" xfId="2858"/>
    <cellStyle name="Normal 3 3 2 5" xfId="2339"/>
    <cellStyle name="Normal 3 3 2 6" xfId="1654"/>
    <cellStyle name="Normal 3 3 3" xfId="606"/>
    <cellStyle name="Normal 3 3 3 2" xfId="607"/>
    <cellStyle name="Normal 3 3 3 2 2" xfId="2344"/>
    <cellStyle name="Normal 3 3 3 3" xfId="1156"/>
    <cellStyle name="Normal 3 3 3 3 2" xfId="2860"/>
    <cellStyle name="Normal 3 3 3 4" xfId="2343"/>
    <cellStyle name="Normal 3 3 3 5" xfId="1656"/>
    <cellStyle name="Normal 3 3 4" xfId="608"/>
    <cellStyle name="Normal 3 3 4 2" xfId="609"/>
    <cellStyle name="Normal 3 3 4 2 2" xfId="2346"/>
    <cellStyle name="Normal 3 3 4 3" xfId="1157"/>
    <cellStyle name="Normal 3 3 4 3 2" xfId="2861"/>
    <cellStyle name="Normal 3 3 4 4" xfId="2345"/>
    <cellStyle name="Normal 3 3 4 5" xfId="1657"/>
    <cellStyle name="Normal 3 3 5" xfId="610"/>
    <cellStyle name="Normal 3 3 5 2" xfId="2347"/>
    <cellStyle name="Normal 3 3 5 3" xfId="1653"/>
    <cellStyle name="Normal 3 3 6" xfId="877"/>
    <cellStyle name="Normal 3 3 6 2" xfId="2583"/>
    <cellStyle name="Normal 3 3 7" xfId="2338"/>
    <cellStyle name="Normal 3 3 8" xfId="1338"/>
    <cellStyle name="Normal 3 4" xfId="611"/>
    <cellStyle name="Normal 3 4 2" xfId="612"/>
    <cellStyle name="Normal 3 4 2 2" xfId="613"/>
    <cellStyle name="Normal 3 4 2 2 2" xfId="2350"/>
    <cellStyle name="Normal 3 4 2 3" xfId="1159"/>
    <cellStyle name="Normal 3 4 2 3 2" xfId="2863"/>
    <cellStyle name="Normal 3 4 2 4" xfId="2349"/>
    <cellStyle name="Normal 3 4 2 5" xfId="1659"/>
    <cellStyle name="Normal 3 4 3" xfId="614"/>
    <cellStyle name="Normal 3 4 3 2" xfId="2351"/>
    <cellStyle name="Normal 3 4 3 3" xfId="1658"/>
    <cellStyle name="Normal 3 4 4" xfId="1158"/>
    <cellStyle name="Normal 3 4 4 2" xfId="2862"/>
    <cellStyle name="Normal 3 4 5" xfId="2348"/>
    <cellStyle name="Normal 3 4 6" xfId="1278"/>
    <cellStyle name="Normal 3 5" xfId="615"/>
    <cellStyle name="Normal 3 5 2" xfId="616"/>
    <cellStyle name="Normal 3 5 2 2" xfId="2353"/>
    <cellStyle name="Normal 3 5 3" xfId="1160"/>
    <cellStyle name="Normal 3 5 3 2" xfId="2864"/>
    <cellStyle name="Normal 3 5 4" xfId="2352"/>
    <cellStyle name="Normal 3 5 5" xfId="1660"/>
    <cellStyle name="Normal 3 6" xfId="617"/>
    <cellStyle name="Normal 3 6 2" xfId="618"/>
    <cellStyle name="Normal 3 6 2 2" xfId="2355"/>
    <cellStyle name="Normal 3 6 3" xfId="1161"/>
    <cellStyle name="Normal 3 6 3 2" xfId="2865"/>
    <cellStyle name="Normal 3 6 4" xfId="2354"/>
    <cellStyle name="Normal 3 6 5" xfId="1661"/>
    <cellStyle name="Normal 3 7" xfId="619"/>
    <cellStyle name="Normal 3 7 2" xfId="2356"/>
    <cellStyle name="Normal 3 7 3" xfId="1356"/>
    <cellStyle name="Normal 3 8" xfId="790"/>
    <cellStyle name="Normal 3 8 2" xfId="2526"/>
    <cellStyle name="Normal 3 9" xfId="839"/>
    <cellStyle name="Normal 3 9 2" xfId="2545"/>
    <cellStyle name="Normal 4" xfId="620"/>
    <cellStyle name="Normal 4 10" xfId="1247"/>
    <cellStyle name="Normal 4 2" xfId="621"/>
    <cellStyle name="Normal 4 2 2" xfId="622"/>
    <cellStyle name="Normal 4 2 2 2" xfId="623"/>
    <cellStyle name="Normal 4 2 2 2 2" xfId="624"/>
    <cellStyle name="Normal 4 2 2 2 2 2" xfId="625"/>
    <cellStyle name="Normal 4 2 2 2 2 2 2" xfId="2362"/>
    <cellStyle name="Normal 4 2 2 2 2 3" xfId="1163"/>
    <cellStyle name="Normal 4 2 2 2 2 3 2" xfId="2867"/>
    <cellStyle name="Normal 4 2 2 2 2 4" xfId="2361"/>
    <cellStyle name="Normal 4 2 2 2 2 5" xfId="1666"/>
    <cellStyle name="Normal 4 2 2 2 3" xfId="626"/>
    <cellStyle name="Normal 4 2 2 2 3 2" xfId="2363"/>
    <cellStyle name="Normal 4 2 2 2 4" xfId="1162"/>
    <cellStyle name="Normal 4 2 2 2 4 2" xfId="2866"/>
    <cellStyle name="Normal 4 2 2 2 5" xfId="2360"/>
    <cellStyle name="Normal 4 2 2 2 6" xfId="1665"/>
    <cellStyle name="Normal 4 2 2 3" xfId="627"/>
    <cellStyle name="Normal 4 2 2 3 2" xfId="628"/>
    <cellStyle name="Normal 4 2 2 3 2 2" xfId="2365"/>
    <cellStyle name="Normal 4 2 2 3 3" xfId="1164"/>
    <cellStyle name="Normal 4 2 2 3 3 2" xfId="2868"/>
    <cellStyle name="Normal 4 2 2 3 4" xfId="2364"/>
    <cellStyle name="Normal 4 2 2 3 5" xfId="1667"/>
    <cellStyle name="Normal 4 2 2 4" xfId="629"/>
    <cellStyle name="Normal 4 2 2 4 2" xfId="630"/>
    <cellStyle name="Normal 4 2 2 4 2 2" xfId="2367"/>
    <cellStyle name="Normal 4 2 2 4 3" xfId="1165"/>
    <cellStyle name="Normal 4 2 2 4 3 2" xfId="2869"/>
    <cellStyle name="Normal 4 2 2 4 4" xfId="2366"/>
    <cellStyle name="Normal 4 2 2 4 5" xfId="1668"/>
    <cellStyle name="Normal 4 2 2 5" xfId="631"/>
    <cellStyle name="Normal 4 2 2 5 2" xfId="2368"/>
    <cellStyle name="Normal 4 2 2 5 3" xfId="1664"/>
    <cellStyle name="Normal 4 2 2 6" xfId="912"/>
    <cellStyle name="Normal 4 2 2 6 2" xfId="2618"/>
    <cellStyle name="Normal 4 2 2 7" xfId="2359"/>
    <cellStyle name="Normal 4 2 2 8" xfId="1341"/>
    <cellStyle name="Normal 4 2 3" xfId="632"/>
    <cellStyle name="Normal 4 2 3 2" xfId="633"/>
    <cellStyle name="Normal 4 2 3 2 2" xfId="634"/>
    <cellStyle name="Normal 4 2 3 2 2 2" xfId="2371"/>
    <cellStyle name="Normal 4 2 3 2 3" xfId="1167"/>
    <cellStyle name="Normal 4 2 3 2 3 2" xfId="2871"/>
    <cellStyle name="Normal 4 2 3 2 4" xfId="2370"/>
    <cellStyle name="Normal 4 2 3 2 5" xfId="1670"/>
    <cellStyle name="Normal 4 2 3 3" xfId="635"/>
    <cellStyle name="Normal 4 2 3 3 2" xfId="2372"/>
    <cellStyle name="Normal 4 2 3 4" xfId="1166"/>
    <cellStyle name="Normal 4 2 3 4 2" xfId="2870"/>
    <cellStyle name="Normal 4 2 3 5" xfId="2369"/>
    <cellStyle name="Normal 4 2 3 6" xfId="1669"/>
    <cellStyle name="Normal 4 2 4" xfId="636"/>
    <cellStyle name="Normal 4 2 4 2" xfId="637"/>
    <cellStyle name="Normal 4 2 4 2 2" xfId="2374"/>
    <cellStyle name="Normal 4 2 4 3" xfId="1168"/>
    <cellStyle name="Normal 4 2 4 3 2" xfId="2872"/>
    <cellStyle name="Normal 4 2 4 4" xfId="2373"/>
    <cellStyle name="Normal 4 2 4 5" xfId="1671"/>
    <cellStyle name="Normal 4 2 5" xfId="638"/>
    <cellStyle name="Normal 4 2 5 2" xfId="639"/>
    <cellStyle name="Normal 4 2 5 2 2" xfId="2376"/>
    <cellStyle name="Normal 4 2 5 3" xfId="1169"/>
    <cellStyle name="Normal 4 2 5 3 2" xfId="2873"/>
    <cellStyle name="Normal 4 2 5 4" xfId="2375"/>
    <cellStyle name="Normal 4 2 5 5" xfId="1672"/>
    <cellStyle name="Normal 4 2 6" xfId="640"/>
    <cellStyle name="Normal 4 2 6 2" xfId="2377"/>
    <cellStyle name="Normal 4 2 6 3" xfId="1663"/>
    <cellStyle name="Normal 4 2 7" xfId="874"/>
    <cellStyle name="Normal 4 2 7 2" xfId="2580"/>
    <cellStyle name="Normal 4 2 8" xfId="2358"/>
    <cellStyle name="Normal 4 2 9" xfId="1340"/>
    <cellStyle name="Normal 4 3" xfId="641"/>
    <cellStyle name="Normal 4 3 2" xfId="642"/>
    <cellStyle name="Normal 4 3 2 2" xfId="643"/>
    <cellStyle name="Normal 4 3 2 2 2" xfId="644"/>
    <cellStyle name="Normal 4 3 2 2 2 2" xfId="2381"/>
    <cellStyle name="Normal 4 3 2 2 3" xfId="1171"/>
    <cellStyle name="Normal 4 3 2 2 3 2" xfId="2875"/>
    <cellStyle name="Normal 4 3 2 2 4" xfId="2380"/>
    <cellStyle name="Normal 4 3 2 2 5" xfId="1675"/>
    <cellStyle name="Normal 4 3 2 3" xfId="645"/>
    <cellStyle name="Normal 4 3 2 3 2" xfId="2382"/>
    <cellStyle name="Normal 4 3 2 4" xfId="1170"/>
    <cellStyle name="Normal 4 3 2 4 2" xfId="2874"/>
    <cellStyle name="Normal 4 3 2 5" xfId="2379"/>
    <cellStyle name="Normal 4 3 2 6" xfId="1674"/>
    <cellStyle name="Normal 4 3 3" xfId="646"/>
    <cellStyle name="Normal 4 3 3 2" xfId="647"/>
    <cellStyle name="Normal 4 3 3 2 2" xfId="2384"/>
    <cellStyle name="Normal 4 3 3 3" xfId="1172"/>
    <cellStyle name="Normal 4 3 3 3 2" xfId="2876"/>
    <cellStyle name="Normal 4 3 3 4" xfId="2383"/>
    <cellStyle name="Normal 4 3 3 5" xfId="1676"/>
    <cellStyle name="Normal 4 3 4" xfId="648"/>
    <cellStyle name="Normal 4 3 4 2" xfId="649"/>
    <cellStyle name="Normal 4 3 4 2 2" xfId="2386"/>
    <cellStyle name="Normal 4 3 4 3" xfId="1173"/>
    <cellStyle name="Normal 4 3 4 3 2" xfId="2877"/>
    <cellStyle name="Normal 4 3 4 4" xfId="2385"/>
    <cellStyle name="Normal 4 3 4 5" xfId="1677"/>
    <cellStyle name="Normal 4 3 5" xfId="650"/>
    <cellStyle name="Normal 4 3 5 2" xfId="2387"/>
    <cellStyle name="Normal 4 3 5 3" xfId="1673"/>
    <cellStyle name="Normal 4 3 6" xfId="893"/>
    <cellStyle name="Normal 4 3 6 2" xfId="2599"/>
    <cellStyle name="Normal 4 3 7" xfId="2378"/>
    <cellStyle name="Normal 4 3 8" xfId="1342"/>
    <cellStyle name="Normal 4 4" xfId="651"/>
    <cellStyle name="Normal 4 4 2" xfId="652"/>
    <cellStyle name="Normal 4 4 2 2" xfId="653"/>
    <cellStyle name="Normal 4 4 2 2 2" xfId="2390"/>
    <cellStyle name="Normal 4 4 2 3" xfId="1175"/>
    <cellStyle name="Normal 4 4 2 3 2" xfId="2879"/>
    <cellStyle name="Normal 4 4 2 4" xfId="2389"/>
    <cellStyle name="Normal 4 4 2 5" xfId="1679"/>
    <cellStyle name="Normal 4 4 3" xfId="654"/>
    <cellStyle name="Normal 4 4 3 2" xfId="2391"/>
    <cellStyle name="Normal 4 4 3 3" xfId="1678"/>
    <cellStyle name="Normal 4 4 4" xfId="1174"/>
    <cellStyle name="Normal 4 4 4 2" xfId="2878"/>
    <cellStyle name="Normal 4 4 5" xfId="2388"/>
    <cellStyle name="Normal 4 4 6" xfId="1339"/>
    <cellStyle name="Normal 4 5" xfId="655"/>
    <cellStyle name="Normal 4 5 2" xfId="656"/>
    <cellStyle name="Normal 4 5 2 2" xfId="2393"/>
    <cellStyle name="Normal 4 5 3" xfId="1176"/>
    <cellStyle name="Normal 4 5 3 2" xfId="2880"/>
    <cellStyle name="Normal 4 5 4" xfId="2392"/>
    <cellStyle name="Normal 4 5 5" xfId="1680"/>
    <cellStyle name="Normal 4 6" xfId="657"/>
    <cellStyle name="Normal 4 6 2" xfId="658"/>
    <cellStyle name="Normal 4 6 2 2" xfId="2395"/>
    <cellStyle name="Normal 4 6 3" xfId="1177"/>
    <cellStyle name="Normal 4 6 3 2" xfId="2881"/>
    <cellStyle name="Normal 4 6 4" xfId="2394"/>
    <cellStyle name="Normal 4 6 5" xfId="1681"/>
    <cellStyle name="Normal 4 7" xfId="659"/>
    <cellStyle name="Normal 4 7 2" xfId="2396"/>
    <cellStyle name="Normal 4 7 3" xfId="1662"/>
    <cellStyle name="Normal 4 8" xfId="855"/>
    <cellStyle name="Normal 4 8 2" xfId="2561"/>
    <cellStyle name="Normal 4 9" xfId="2357"/>
    <cellStyle name="Normal 5" xfId="660"/>
    <cellStyle name="Normal 5 2" xfId="661"/>
    <cellStyle name="Normal 5 2 2" xfId="662"/>
    <cellStyle name="Normal 5 2 2 2" xfId="663"/>
    <cellStyle name="Normal 5 2 2 2 2" xfId="2400"/>
    <cellStyle name="Normal 5 2 2 3" xfId="1180"/>
    <cellStyle name="Normal 5 2 2 3 2" xfId="2884"/>
    <cellStyle name="Normal 5 2 2 4" xfId="2399"/>
    <cellStyle name="Normal 5 2 2 5" xfId="1684"/>
    <cellStyle name="Normal 5 2 3" xfId="664"/>
    <cellStyle name="Normal 5 2 3 2" xfId="2401"/>
    <cellStyle name="Normal 5 2 4" xfId="1179"/>
    <cellStyle name="Normal 5 2 4 2" xfId="2883"/>
    <cellStyle name="Normal 5 2 5" xfId="2398"/>
    <cellStyle name="Normal 5 2 6" xfId="1683"/>
    <cellStyle name="Normal 5 3" xfId="665"/>
    <cellStyle name="Normal 5 3 2" xfId="666"/>
    <cellStyle name="Normal 5 3 2 2" xfId="2403"/>
    <cellStyle name="Normal 5 3 3" xfId="1181"/>
    <cellStyle name="Normal 5 3 3 2" xfId="2885"/>
    <cellStyle name="Normal 5 3 4" xfId="2402"/>
    <cellStyle name="Normal 5 3 5" xfId="1685"/>
    <cellStyle name="Normal 5 4" xfId="667"/>
    <cellStyle name="Normal 5 4 2" xfId="668"/>
    <cellStyle name="Normal 5 4 2 2" xfId="2405"/>
    <cellStyle name="Normal 5 4 3" xfId="1182"/>
    <cellStyle name="Normal 5 4 3 2" xfId="2886"/>
    <cellStyle name="Normal 5 4 4" xfId="2404"/>
    <cellStyle name="Normal 5 4 5" xfId="1686"/>
    <cellStyle name="Normal 5 5" xfId="669"/>
    <cellStyle name="Normal 5 5 2" xfId="1178"/>
    <cellStyle name="Normal 5 5 2 2" xfId="2882"/>
    <cellStyle name="Normal 5 5 3" xfId="2406"/>
    <cellStyle name="Normal 5 5 4" xfId="1682"/>
    <cellStyle name="Normal 5 6" xfId="838"/>
    <cellStyle name="Normal 5 7" xfId="2397"/>
    <cellStyle name="Normal 5 8" xfId="1354"/>
    <cellStyle name="Normal 6" xfId="915"/>
    <cellStyle name="Normal 7" xfId="1231"/>
    <cellStyle name="Normal 7 2" xfId="2935"/>
    <cellStyle name="Normal 8" xfId="835"/>
    <cellStyle name="Normal 8 2" xfId="2542"/>
    <cellStyle name="Note 2" xfId="670"/>
    <cellStyle name="Note 2 10" xfId="1246"/>
    <cellStyle name="Note 2 2" xfId="671"/>
    <cellStyle name="Note 2 2 2" xfId="672"/>
    <cellStyle name="Note 2 2 2 2" xfId="673"/>
    <cellStyle name="Note 2 2 2 2 2" xfId="674"/>
    <cellStyle name="Note 2 2 2 2 2 2" xfId="675"/>
    <cellStyle name="Note 2 2 2 2 2 2 2" xfId="2412"/>
    <cellStyle name="Note 2 2 2 2 2 3" xfId="1184"/>
    <cellStyle name="Note 2 2 2 2 2 3 2" xfId="2888"/>
    <cellStyle name="Note 2 2 2 2 2 4" xfId="2411"/>
    <cellStyle name="Note 2 2 2 2 2 5" xfId="1691"/>
    <cellStyle name="Note 2 2 2 2 3" xfId="676"/>
    <cellStyle name="Note 2 2 2 2 3 2" xfId="2413"/>
    <cellStyle name="Note 2 2 2 2 4" xfId="1183"/>
    <cellStyle name="Note 2 2 2 2 4 2" xfId="2887"/>
    <cellStyle name="Note 2 2 2 2 5" xfId="2410"/>
    <cellStyle name="Note 2 2 2 2 6" xfId="1690"/>
    <cellStyle name="Note 2 2 2 3" xfId="677"/>
    <cellStyle name="Note 2 2 2 3 2" xfId="678"/>
    <cellStyle name="Note 2 2 2 3 2 2" xfId="2415"/>
    <cellStyle name="Note 2 2 2 3 3" xfId="1185"/>
    <cellStyle name="Note 2 2 2 3 3 2" xfId="2889"/>
    <cellStyle name="Note 2 2 2 3 4" xfId="2414"/>
    <cellStyle name="Note 2 2 2 3 5" xfId="1692"/>
    <cellStyle name="Note 2 2 2 4" xfId="679"/>
    <cellStyle name="Note 2 2 2 4 2" xfId="680"/>
    <cellStyle name="Note 2 2 2 4 2 2" xfId="2417"/>
    <cellStyle name="Note 2 2 2 4 3" xfId="1186"/>
    <cellStyle name="Note 2 2 2 4 3 2" xfId="2890"/>
    <cellStyle name="Note 2 2 2 4 4" xfId="2416"/>
    <cellStyle name="Note 2 2 2 4 5" xfId="1693"/>
    <cellStyle name="Note 2 2 2 5" xfId="681"/>
    <cellStyle name="Note 2 2 2 5 2" xfId="2418"/>
    <cellStyle name="Note 2 2 2 5 3" xfId="1689"/>
    <cellStyle name="Note 2 2 2 6" xfId="913"/>
    <cellStyle name="Note 2 2 2 6 2" xfId="2619"/>
    <cellStyle name="Note 2 2 2 7" xfId="2409"/>
    <cellStyle name="Note 2 2 2 8" xfId="1345"/>
    <cellStyle name="Note 2 2 3" xfId="682"/>
    <cellStyle name="Note 2 2 3 2" xfId="683"/>
    <cellStyle name="Note 2 2 3 2 2" xfId="684"/>
    <cellStyle name="Note 2 2 3 2 2 2" xfId="2421"/>
    <cellStyle name="Note 2 2 3 2 3" xfId="1188"/>
    <cellStyle name="Note 2 2 3 2 3 2" xfId="2892"/>
    <cellStyle name="Note 2 2 3 2 4" xfId="2420"/>
    <cellStyle name="Note 2 2 3 2 5" xfId="1695"/>
    <cellStyle name="Note 2 2 3 3" xfId="685"/>
    <cellStyle name="Note 2 2 3 3 2" xfId="2422"/>
    <cellStyle name="Note 2 2 3 3 3" xfId="1694"/>
    <cellStyle name="Note 2 2 3 4" xfId="1187"/>
    <cellStyle name="Note 2 2 3 4 2" xfId="2891"/>
    <cellStyle name="Note 2 2 3 5" xfId="2419"/>
    <cellStyle name="Note 2 2 3 6" xfId="1344"/>
    <cellStyle name="Note 2 2 4" xfId="686"/>
    <cellStyle name="Note 2 2 4 2" xfId="687"/>
    <cellStyle name="Note 2 2 4 2 2" xfId="2424"/>
    <cellStyle name="Note 2 2 4 3" xfId="1189"/>
    <cellStyle name="Note 2 2 4 3 2" xfId="2893"/>
    <cellStyle name="Note 2 2 4 4" xfId="2423"/>
    <cellStyle name="Note 2 2 4 5" xfId="1696"/>
    <cellStyle name="Note 2 2 5" xfId="688"/>
    <cellStyle name="Note 2 2 5 2" xfId="689"/>
    <cellStyle name="Note 2 2 5 2 2" xfId="2426"/>
    <cellStyle name="Note 2 2 5 3" xfId="1190"/>
    <cellStyle name="Note 2 2 5 3 2" xfId="2894"/>
    <cellStyle name="Note 2 2 5 4" xfId="2425"/>
    <cellStyle name="Note 2 2 5 5" xfId="1697"/>
    <cellStyle name="Note 2 2 6" xfId="690"/>
    <cellStyle name="Note 2 2 6 2" xfId="2427"/>
    <cellStyle name="Note 2 2 6 3" xfId="1688"/>
    <cellStyle name="Note 2 2 7" xfId="875"/>
    <cellStyle name="Note 2 2 7 2" xfId="2581"/>
    <cellStyle name="Note 2 2 8" xfId="2408"/>
    <cellStyle name="Note 2 2 9" xfId="1276"/>
    <cellStyle name="Note 2 3" xfId="691"/>
    <cellStyle name="Note 2 3 2" xfId="692"/>
    <cellStyle name="Note 2 3 2 2" xfId="693"/>
    <cellStyle name="Note 2 3 2 2 2" xfId="694"/>
    <cellStyle name="Note 2 3 2 2 2 2" xfId="2431"/>
    <cellStyle name="Note 2 3 2 2 3" xfId="1192"/>
    <cellStyle name="Note 2 3 2 2 3 2" xfId="2896"/>
    <cellStyle name="Note 2 3 2 2 4" xfId="2430"/>
    <cellStyle name="Note 2 3 2 2 5" xfId="1700"/>
    <cellStyle name="Note 2 3 2 3" xfId="695"/>
    <cellStyle name="Note 2 3 2 3 2" xfId="2432"/>
    <cellStyle name="Note 2 3 2 4" xfId="1191"/>
    <cellStyle name="Note 2 3 2 4 2" xfId="2895"/>
    <cellStyle name="Note 2 3 2 5" xfId="2429"/>
    <cellStyle name="Note 2 3 2 6" xfId="1699"/>
    <cellStyle name="Note 2 3 3" xfId="696"/>
    <cellStyle name="Note 2 3 3 2" xfId="697"/>
    <cellStyle name="Note 2 3 3 2 2" xfId="2434"/>
    <cellStyle name="Note 2 3 3 3" xfId="1193"/>
    <cellStyle name="Note 2 3 3 3 2" xfId="2897"/>
    <cellStyle name="Note 2 3 3 4" xfId="2433"/>
    <cellStyle name="Note 2 3 3 5" xfId="1701"/>
    <cellStyle name="Note 2 3 4" xfId="698"/>
    <cellStyle name="Note 2 3 4 2" xfId="699"/>
    <cellStyle name="Note 2 3 4 2 2" xfId="2436"/>
    <cellStyle name="Note 2 3 4 3" xfId="1194"/>
    <cellStyle name="Note 2 3 4 3 2" xfId="2898"/>
    <cellStyle name="Note 2 3 4 4" xfId="2435"/>
    <cellStyle name="Note 2 3 4 5" xfId="1702"/>
    <cellStyle name="Note 2 3 5" xfId="700"/>
    <cellStyle name="Note 2 3 5 2" xfId="2437"/>
    <cellStyle name="Note 2 3 5 3" xfId="1698"/>
    <cellStyle name="Note 2 3 6" xfId="894"/>
    <cellStyle name="Note 2 3 6 2" xfId="2600"/>
    <cellStyle name="Note 2 3 7" xfId="2428"/>
    <cellStyle name="Note 2 3 8" xfId="1346"/>
    <cellStyle name="Note 2 4" xfId="701"/>
    <cellStyle name="Note 2 4 2" xfId="702"/>
    <cellStyle name="Note 2 4 2 2" xfId="703"/>
    <cellStyle name="Note 2 4 2 2 2" xfId="2440"/>
    <cellStyle name="Note 2 4 2 3" xfId="1196"/>
    <cellStyle name="Note 2 4 2 3 2" xfId="2900"/>
    <cellStyle name="Note 2 4 2 4" xfId="2439"/>
    <cellStyle name="Note 2 4 2 5" xfId="1704"/>
    <cellStyle name="Note 2 4 3" xfId="704"/>
    <cellStyle name="Note 2 4 3 2" xfId="2441"/>
    <cellStyle name="Note 2 4 3 3" xfId="1703"/>
    <cellStyle name="Note 2 4 4" xfId="1195"/>
    <cellStyle name="Note 2 4 4 2" xfId="2899"/>
    <cellStyle name="Note 2 4 5" xfId="2438"/>
    <cellStyle name="Note 2 4 6" xfId="1343"/>
    <cellStyle name="Note 2 5" xfId="705"/>
    <cellStyle name="Note 2 5 2" xfId="706"/>
    <cellStyle name="Note 2 5 2 2" xfId="2443"/>
    <cellStyle name="Note 2 5 3" xfId="1197"/>
    <cellStyle name="Note 2 5 3 2" xfId="2901"/>
    <cellStyle name="Note 2 5 4" xfId="2442"/>
    <cellStyle name="Note 2 5 5" xfId="1705"/>
    <cellStyle name="Note 2 6" xfId="707"/>
    <cellStyle name="Note 2 6 2" xfId="708"/>
    <cellStyle name="Note 2 6 2 2" xfId="2445"/>
    <cellStyle name="Note 2 6 3" xfId="1198"/>
    <cellStyle name="Note 2 6 3 2" xfId="2902"/>
    <cellStyle name="Note 2 6 4" xfId="2444"/>
    <cellStyle name="Note 2 6 5" xfId="1706"/>
    <cellStyle name="Note 2 7" xfId="709"/>
    <cellStyle name="Note 2 7 2" xfId="2446"/>
    <cellStyle name="Note 2 7 3" xfId="1687"/>
    <cellStyle name="Note 2 8" xfId="856"/>
    <cellStyle name="Note 2 8 2" xfId="2562"/>
    <cellStyle name="Note 2 9" xfId="2407"/>
    <cellStyle name="Note 3" xfId="710"/>
    <cellStyle name="Note 3 10" xfId="1261"/>
    <cellStyle name="Note 3 2" xfId="711"/>
    <cellStyle name="Note 3 2 2" xfId="712"/>
    <cellStyle name="Note 3 2 2 2" xfId="713"/>
    <cellStyle name="Note 3 2 2 2 2" xfId="714"/>
    <cellStyle name="Note 3 2 2 2 2 2" xfId="715"/>
    <cellStyle name="Note 3 2 2 2 2 2 2" xfId="2452"/>
    <cellStyle name="Note 3 2 2 2 2 3" xfId="1200"/>
    <cellStyle name="Note 3 2 2 2 2 3 2" xfId="2904"/>
    <cellStyle name="Note 3 2 2 2 2 4" xfId="2451"/>
    <cellStyle name="Note 3 2 2 2 2 5" xfId="1711"/>
    <cellStyle name="Note 3 2 2 2 3" xfId="716"/>
    <cellStyle name="Note 3 2 2 2 3 2" xfId="2453"/>
    <cellStyle name="Note 3 2 2 2 4" xfId="1199"/>
    <cellStyle name="Note 3 2 2 2 4 2" xfId="2903"/>
    <cellStyle name="Note 3 2 2 2 5" xfId="2450"/>
    <cellStyle name="Note 3 2 2 2 6" xfId="1710"/>
    <cellStyle name="Note 3 2 2 3" xfId="717"/>
    <cellStyle name="Note 3 2 2 3 2" xfId="718"/>
    <cellStyle name="Note 3 2 2 3 2 2" xfId="2455"/>
    <cellStyle name="Note 3 2 2 3 3" xfId="1201"/>
    <cellStyle name="Note 3 2 2 3 3 2" xfId="2905"/>
    <cellStyle name="Note 3 2 2 3 4" xfId="2454"/>
    <cellStyle name="Note 3 2 2 3 5" xfId="1712"/>
    <cellStyle name="Note 3 2 2 4" xfId="719"/>
    <cellStyle name="Note 3 2 2 4 2" xfId="720"/>
    <cellStyle name="Note 3 2 2 4 2 2" xfId="2457"/>
    <cellStyle name="Note 3 2 2 4 3" xfId="1202"/>
    <cellStyle name="Note 3 2 2 4 3 2" xfId="2906"/>
    <cellStyle name="Note 3 2 2 4 4" xfId="2456"/>
    <cellStyle name="Note 3 2 2 4 5" xfId="1713"/>
    <cellStyle name="Note 3 2 2 5" xfId="721"/>
    <cellStyle name="Note 3 2 2 5 2" xfId="2458"/>
    <cellStyle name="Note 3 2 2 5 3" xfId="1709"/>
    <cellStyle name="Note 3 2 2 6" xfId="914"/>
    <cellStyle name="Note 3 2 2 6 2" xfId="2620"/>
    <cellStyle name="Note 3 2 2 7" xfId="2449"/>
    <cellStyle name="Note 3 2 2 8" xfId="1349"/>
    <cellStyle name="Note 3 2 3" xfId="722"/>
    <cellStyle name="Note 3 2 3 2" xfId="723"/>
    <cellStyle name="Note 3 2 3 2 2" xfId="724"/>
    <cellStyle name="Note 3 2 3 2 2 2" xfId="2461"/>
    <cellStyle name="Note 3 2 3 2 3" xfId="1204"/>
    <cellStyle name="Note 3 2 3 2 3 2" xfId="2908"/>
    <cellStyle name="Note 3 2 3 2 4" xfId="2460"/>
    <cellStyle name="Note 3 2 3 2 5" xfId="1715"/>
    <cellStyle name="Note 3 2 3 3" xfId="725"/>
    <cellStyle name="Note 3 2 3 3 2" xfId="2462"/>
    <cellStyle name="Note 3 2 3 4" xfId="1203"/>
    <cellStyle name="Note 3 2 3 4 2" xfId="2907"/>
    <cellStyle name="Note 3 2 3 5" xfId="2459"/>
    <cellStyle name="Note 3 2 3 6" xfId="1714"/>
    <cellStyle name="Note 3 2 4" xfId="726"/>
    <cellStyle name="Note 3 2 4 2" xfId="727"/>
    <cellStyle name="Note 3 2 4 2 2" xfId="2464"/>
    <cellStyle name="Note 3 2 4 3" xfId="1205"/>
    <cellStyle name="Note 3 2 4 3 2" xfId="2909"/>
    <cellStyle name="Note 3 2 4 4" xfId="2463"/>
    <cellStyle name="Note 3 2 4 5" xfId="1716"/>
    <cellStyle name="Note 3 2 5" xfId="728"/>
    <cellStyle name="Note 3 2 5 2" xfId="729"/>
    <cellStyle name="Note 3 2 5 2 2" xfId="2466"/>
    <cellStyle name="Note 3 2 5 3" xfId="1206"/>
    <cellStyle name="Note 3 2 5 3 2" xfId="2910"/>
    <cellStyle name="Note 3 2 5 4" xfId="2465"/>
    <cellStyle name="Note 3 2 5 5" xfId="1717"/>
    <cellStyle name="Note 3 2 6" xfId="730"/>
    <cellStyle name="Note 3 2 6 2" xfId="2467"/>
    <cellStyle name="Note 3 2 6 3" xfId="1708"/>
    <cellStyle name="Note 3 2 7" xfId="876"/>
    <cellStyle name="Note 3 2 7 2" xfId="2582"/>
    <cellStyle name="Note 3 2 8" xfId="2448"/>
    <cellStyle name="Note 3 2 9" xfId="1348"/>
    <cellStyle name="Note 3 3" xfId="731"/>
    <cellStyle name="Note 3 3 2" xfId="732"/>
    <cellStyle name="Note 3 3 2 2" xfId="733"/>
    <cellStyle name="Note 3 3 2 2 2" xfId="734"/>
    <cellStyle name="Note 3 3 2 2 2 2" xfId="2471"/>
    <cellStyle name="Note 3 3 2 2 3" xfId="1208"/>
    <cellStyle name="Note 3 3 2 2 3 2" xfId="2912"/>
    <cellStyle name="Note 3 3 2 2 4" xfId="2470"/>
    <cellStyle name="Note 3 3 2 2 5" xfId="1720"/>
    <cellStyle name="Note 3 3 2 3" xfId="735"/>
    <cellStyle name="Note 3 3 2 3 2" xfId="2472"/>
    <cellStyle name="Note 3 3 2 4" xfId="1207"/>
    <cellStyle name="Note 3 3 2 4 2" xfId="2911"/>
    <cellStyle name="Note 3 3 2 5" xfId="2469"/>
    <cellStyle name="Note 3 3 2 6" xfId="1719"/>
    <cellStyle name="Note 3 3 3" xfId="736"/>
    <cellStyle name="Note 3 3 3 2" xfId="737"/>
    <cellStyle name="Note 3 3 3 2 2" xfId="2474"/>
    <cellStyle name="Note 3 3 3 3" xfId="1209"/>
    <cellStyle name="Note 3 3 3 3 2" xfId="2913"/>
    <cellStyle name="Note 3 3 3 4" xfId="2473"/>
    <cellStyle name="Note 3 3 3 5" xfId="1721"/>
    <cellStyle name="Note 3 3 4" xfId="738"/>
    <cellStyle name="Note 3 3 4 2" xfId="739"/>
    <cellStyle name="Note 3 3 4 2 2" xfId="2476"/>
    <cellStyle name="Note 3 3 4 3" xfId="1210"/>
    <cellStyle name="Note 3 3 4 3 2" xfId="2914"/>
    <cellStyle name="Note 3 3 4 4" xfId="2475"/>
    <cellStyle name="Note 3 3 4 5" xfId="1722"/>
    <cellStyle name="Note 3 3 5" xfId="740"/>
    <cellStyle name="Note 3 3 5 2" xfId="2477"/>
    <cellStyle name="Note 3 3 5 3" xfId="1718"/>
    <cellStyle name="Note 3 3 6" xfId="895"/>
    <cellStyle name="Note 3 3 6 2" xfId="2601"/>
    <cellStyle name="Note 3 3 7" xfId="2468"/>
    <cellStyle name="Note 3 3 8" xfId="1350"/>
    <cellStyle name="Note 3 4" xfId="741"/>
    <cellStyle name="Note 3 4 2" xfId="742"/>
    <cellStyle name="Note 3 4 2 2" xfId="743"/>
    <cellStyle name="Note 3 4 2 2 2" xfId="2480"/>
    <cellStyle name="Note 3 4 2 3" xfId="1212"/>
    <cellStyle name="Note 3 4 2 3 2" xfId="2916"/>
    <cellStyle name="Note 3 4 2 4" xfId="2479"/>
    <cellStyle name="Note 3 4 2 5" xfId="1724"/>
    <cellStyle name="Note 3 4 3" xfId="744"/>
    <cellStyle name="Note 3 4 3 2" xfId="2481"/>
    <cellStyle name="Note 3 4 3 3" xfId="1723"/>
    <cellStyle name="Note 3 4 4" xfId="1211"/>
    <cellStyle name="Note 3 4 4 2" xfId="2915"/>
    <cellStyle name="Note 3 4 5" xfId="2478"/>
    <cellStyle name="Note 3 4 6" xfId="1347"/>
    <cellStyle name="Note 3 5" xfId="745"/>
    <cellStyle name="Note 3 5 2" xfId="746"/>
    <cellStyle name="Note 3 5 2 2" xfId="2483"/>
    <cellStyle name="Note 3 5 3" xfId="1213"/>
    <cellStyle name="Note 3 5 3 2" xfId="2917"/>
    <cellStyle name="Note 3 5 4" xfId="2482"/>
    <cellStyle name="Note 3 5 5" xfId="1725"/>
    <cellStyle name="Note 3 6" xfId="747"/>
    <cellStyle name="Note 3 6 2" xfId="748"/>
    <cellStyle name="Note 3 6 2 2" xfId="2485"/>
    <cellStyle name="Note 3 6 3" xfId="1214"/>
    <cellStyle name="Note 3 6 3 2" xfId="2918"/>
    <cellStyle name="Note 3 6 4" xfId="2484"/>
    <cellStyle name="Note 3 6 5" xfId="1726"/>
    <cellStyle name="Note 3 7" xfId="749"/>
    <cellStyle name="Note 3 7 2" xfId="2486"/>
    <cellStyle name="Note 3 7 3" xfId="1707"/>
    <cellStyle name="Note 3 8" xfId="857"/>
    <cellStyle name="Note 3 8 2" xfId="2563"/>
    <cellStyle name="Note 3 9" xfId="2447"/>
    <cellStyle name="Note 4" xfId="837"/>
    <cellStyle name="Note 4 2" xfId="2544"/>
    <cellStyle name="Output" xfId="804" builtinId="21" customBuiltin="1"/>
    <cellStyle name="Percent" xfId="794" builtinId="5"/>
    <cellStyle name="Percent 2" xfId="4"/>
    <cellStyle name="Percent 3" xfId="11"/>
    <cellStyle name="Percent 3 10" xfId="1749"/>
    <cellStyle name="Percent 3 11" xfId="1281"/>
    <cellStyle name="Percent 3 2" xfId="750"/>
    <cellStyle name="Percent 3 2 2" xfId="751"/>
    <cellStyle name="Percent 3 2 2 2" xfId="752"/>
    <cellStyle name="Percent 3 2 2 2 2" xfId="753"/>
    <cellStyle name="Percent 3 2 2 2 2 2" xfId="754"/>
    <cellStyle name="Percent 3 2 2 2 2 2 2" xfId="2491"/>
    <cellStyle name="Percent 3 2 2 2 2 3" xfId="1216"/>
    <cellStyle name="Percent 3 2 2 2 2 3 2" xfId="2920"/>
    <cellStyle name="Percent 3 2 2 2 2 4" xfId="2490"/>
    <cellStyle name="Percent 3 2 2 2 2 5" xfId="1730"/>
    <cellStyle name="Percent 3 2 2 2 3" xfId="755"/>
    <cellStyle name="Percent 3 2 2 2 3 2" xfId="2492"/>
    <cellStyle name="Percent 3 2 2 2 4" xfId="1215"/>
    <cellStyle name="Percent 3 2 2 2 4 2" xfId="2919"/>
    <cellStyle name="Percent 3 2 2 2 5" xfId="2489"/>
    <cellStyle name="Percent 3 2 2 2 6" xfId="1729"/>
    <cellStyle name="Percent 3 2 2 3" xfId="756"/>
    <cellStyle name="Percent 3 2 2 3 2" xfId="757"/>
    <cellStyle name="Percent 3 2 2 3 2 2" xfId="2494"/>
    <cellStyle name="Percent 3 2 2 3 3" xfId="1217"/>
    <cellStyle name="Percent 3 2 2 3 3 2" xfId="2921"/>
    <cellStyle name="Percent 3 2 2 3 4" xfId="2493"/>
    <cellStyle name="Percent 3 2 2 3 5" xfId="1731"/>
    <cellStyle name="Percent 3 2 2 4" xfId="758"/>
    <cellStyle name="Percent 3 2 2 4 2" xfId="759"/>
    <cellStyle name="Percent 3 2 2 4 2 2" xfId="2496"/>
    <cellStyle name="Percent 3 2 2 4 3" xfId="1218"/>
    <cellStyle name="Percent 3 2 2 4 3 2" xfId="2922"/>
    <cellStyle name="Percent 3 2 2 4 4" xfId="2495"/>
    <cellStyle name="Percent 3 2 2 4 5" xfId="1732"/>
    <cellStyle name="Percent 3 2 2 5" xfId="760"/>
    <cellStyle name="Percent 3 2 2 5 2" xfId="2497"/>
    <cellStyle name="Percent 3 2 2 5 3" xfId="1728"/>
    <cellStyle name="Percent 3 2 2 6" xfId="899"/>
    <cellStyle name="Percent 3 2 2 6 2" xfId="2605"/>
    <cellStyle name="Percent 3 2 2 7" xfId="2488"/>
    <cellStyle name="Percent 3 2 2 8" xfId="1352"/>
    <cellStyle name="Percent 3 2 3" xfId="761"/>
    <cellStyle name="Percent 3 2 3 2" xfId="762"/>
    <cellStyle name="Percent 3 2 3 2 2" xfId="763"/>
    <cellStyle name="Percent 3 2 3 2 2 2" xfId="2500"/>
    <cellStyle name="Percent 3 2 3 2 3" xfId="1220"/>
    <cellStyle name="Percent 3 2 3 2 3 2" xfId="2924"/>
    <cellStyle name="Percent 3 2 3 2 4" xfId="2499"/>
    <cellStyle name="Percent 3 2 3 2 5" xfId="1734"/>
    <cellStyle name="Percent 3 2 3 3" xfId="764"/>
    <cellStyle name="Percent 3 2 3 3 2" xfId="2501"/>
    <cellStyle name="Percent 3 2 3 4" xfId="1219"/>
    <cellStyle name="Percent 3 2 3 4 2" xfId="2923"/>
    <cellStyle name="Percent 3 2 3 5" xfId="2498"/>
    <cellStyle name="Percent 3 2 3 6" xfId="1733"/>
    <cellStyle name="Percent 3 2 4" xfId="765"/>
    <cellStyle name="Percent 3 2 4 2" xfId="766"/>
    <cellStyle name="Percent 3 2 4 2 2" xfId="2503"/>
    <cellStyle name="Percent 3 2 4 3" xfId="1221"/>
    <cellStyle name="Percent 3 2 4 3 2" xfId="2925"/>
    <cellStyle name="Percent 3 2 4 4" xfId="2502"/>
    <cellStyle name="Percent 3 2 4 5" xfId="1735"/>
    <cellStyle name="Percent 3 2 5" xfId="767"/>
    <cellStyle name="Percent 3 2 5 2" xfId="768"/>
    <cellStyle name="Percent 3 2 5 2 2" xfId="2505"/>
    <cellStyle name="Percent 3 2 5 3" xfId="1222"/>
    <cellStyle name="Percent 3 2 5 3 2" xfId="2926"/>
    <cellStyle name="Percent 3 2 5 4" xfId="2504"/>
    <cellStyle name="Percent 3 2 5 5" xfId="1736"/>
    <cellStyle name="Percent 3 2 6" xfId="769"/>
    <cellStyle name="Percent 3 2 6 2" xfId="2506"/>
    <cellStyle name="Percent 3 2 6 3" xfId="1727"/>
    <cellStyle name="Percent 3 2 7" xfId="861"/>
    <cellStyle name="Percent 3 2 7 2" xfId="2567"/>
    <cellStyle name="Percent 3 2 8" xfId="2487"/>
    <cellStyle name="Percent 3 2 9" xfId="1351"/>
    <cellStyle name="Percent 3 3" xfId="770"/>
    <cellStyle name="Percent 3 3 2" xfId="771"/>
    <cellStyle name="Percent 3 3 2 2" xfId="772"/>
    <cellStyle name="Percent 3 3 2 2 2" xfId="773"/>
    <cellStyle name="Percent 3 3 2 2 2 2" xfId="2510"/>
    <cellStyle name="Percent 3 3 2 2 3" xfId="1224"/>
    <cellStyle name="Percent 3 3 2 2 3 2" xfId="2928"/>
    <cellStyle name="Percent 3 3 2 2 4" xfId="2509"/>
    <cellStyle name="Percent 3 3 2 2 5" xfId="1739"/>
    <cellStyle name="Percent 3 3 2 3" xfId="774"/>
    <cellStyle name="Percent 3 3 2 3 2" xfId="2511"/>
    <cellStyle name="Percent 3 3 2 4" xfId="1223"/>
    <cellStyle name="Percent 3 3 2 4 2" xfId="2927"/>
    <cellStyle name="Percent 3 3 2 5" xfId="2508"/>
    <cellStyle name="Percent 3 3 2 6" xfId="1738"/>
    <cellStyle name="Percent 3 3 3" xfId="775"/>
    <cellStyle name="Percent 3 3 3 2" xfId="776"/>
    <cellStyle name="Percent 3 3 3 2 2" xfId="2513"/>
    <cellStyle name="Percent 3 3 3 3" xfId="1225"/>
    <cellStyle name="Percent 3 3 3 3 2" xfId="2929"/>
    <cellStyle name="Percent 3 3 3 4" xfId="2512"/>
    <cellStyle name="Percent 3 3 3 5" xfId="1740"/>
    <cellStyle name="Percent 3 3 4" xfId="777"/>
    <cellStyle name="Percent 3 3 4 2" xfId="778"/>
    <cellStyle name="Percent 3 3 4 2 2" xfId="2515"/>
    <cellStyle name="Percent 3 3 4 3" xfId="1226"/>
    <cellStyle name="Percent 3 3 4 3 2" xfId="2930"/>
    <cellStyle name="Percent 3 3 4 4" xfId="2514"/>
    <cellStyle name="Percent 3 3 4 5" xfId="1741"/>
    <cellStyle name="Percent 3 3 5" xfId="779"/>
    <cellStyle name="Percent 3 3 5 2" xfId="2516"/>
    <cellStyle name="Percent 3 3 5 3" xfId="1737"/>
    <cellStyle name="Percent 3 3 6" xfId="880"/>
    <cellStyle name="Percent 3 3 6 2" xfId="2586"/>
    <cellStyle name="Percent 3 3 7" xfId="2507"/>
    <cellStyle name="Percent 3 3 8" xfId="1353"/>
    <cellStyle name="Percent 3 4" xfId="780"/>
    <cellStyle name="Percent 3 4 2" xfId="781"/>
    <cellStyle name="Percent 3 4 2 2" xfId="782"/>
    <cellStyle name="Percent 3 4 2 2 2" xfId="2519"/>
    <cellStyle name="Percent 3 4 2 3" xfId="1228"/>
    <cellStyle name="Percent 3 4 2 3 2" xfId="2932"/>
    <cellStyle name="Percent 3 4 2 4" xfId="2518"/>
    <cellStyle name="Percent 3 4 2 5" xfId="1743"/>
    <cellStyle name="Percent 3 4 3" xfId="783"/>
    <cellStyle name="Percent 3 4 3 2" xfId="2520"/>
    <cellStyle name="Percent 3 4 4" xfId="1227"/>
    <cellStyle name="Percent 3 4 4 2" xfId="2931"/>
    <cellStyle name="Percent 3 4 5" xfId="2517"/>
    <cellStyle name="Percent 3 4 6" xfId="1742"/>
    <cellStyle name="Percent 3 5" xfId="784"/>
    <cellStyle name="Percent 3 5 2" xfId="785"/>
    <cellStyle name="Percent 3 5 2 2" xfId="2522"/>
    <cellStyle name="Percent 3 5 3" xfId="1229"/>
    <cellStyle name="Percent 3 5 3 2" xfId="2933"/>
    <cellStyle name="Percent 3 5 4" xfId="2521"/>
    <cellStyle name="Percent 3 5 5" xfId="1744"/>
    <cellStyle name="Percent 3 6" xfId="786"/>
    <cellStyle name="Percent 3 6 2" xfId="787"/>
    <cellStyle name="Percent 3 6 2 2" xfId="2524"/>
    <cellStyle name="Percent 3 6 3" xfId="1230"/>
    <cellStyle name="Percent 3 6 3 2" xfId="2934"/>
    <cellStyle name="Percent 3 6 4" xfId="2523"/>
    <cellStyle name="Percent 3 6 5" xfId="1745"/>
    <cellStyle name="Percent 3 7" xfId="788"/>
    <cellStyle name="Percent 3 7 2" xfId="2525"/>
    <cellStyle name="Percent 3 7 3" xfId="1359"/>
    <cellStyle name="Percent 3 8" xfId="793"/>
    <cellStyle name="Percent 3 8 2" xfId="2529"/>
    <cellStyle name="Percent 3 9" xfId="842"/>
    <cellStyle name="Percent 3 9 2" xfId="2548"/>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14"/>
  <sheetViews>
    <sheetView tabSelected="1" zoomScale="75" zoomScaleNormal="75" workbookViewId="0">
      <pane ySplit="3" topLeftCell="A4" activePane="bottomLeft" state="frozen"/>
      <selection pane="bottomLeft" activeCell="E3" sqref="E3"/>
    </sheetView>
  </sheetViews>
  <sheetFormatPr defaultColWidth="8.77734375" defaultRowHeight="21" x14ac:dyDescent="0.4"/>
  <cols>
    <col min="1" max="1" width="5.5546875" style="282" customWidth="1"/>
    <col min="2" max="2" width="18.5546875" style="311" customWidth="1"/>
    <col min="3" max="3" width="27.44140625" style="282" bestFit="1" customWidth="1"/>
    <col min="4" max="4" width="21.44140625" style="278" bestFit="1" customWidth="1"/>
    <col min="5" max="5" width="6.21875" style="278" customWidth="1"/>
    <col min="6" max="6" width="10.5546875" style="278" bestFit="1" customWidth="1"/>
    <col min="7" max="209" width="9.21875" style="282"/>
    <col min="210" max="210" width="9.21875" style="282" customWidth="1"/>
    <col min="211" max="16384" width="8.77734375" style="282"/>
  </cols>
  <sheetData>
    <row r="1" spans="1:12" ht="26.25" customHeight="1" x14ac:dyDescent="0.4">
      <c r="A1" s="314"/>
      <c r="B1" s="315" t="s">
        <v>446</v>
      </c>
      <c r="C1" s="278"/>
    </row>
    <row r="2" spans="1:12" ht="15" customHeight="1" x14ac:dyDescent="0.4">
      <c r="B2" s="309"/>
      <c r="C2" s="278"/>
    </row>
    <row r="3" spans="1:12" x14ac:dyDescent="0.4">
      <c r="A3" s="300"/>
      <c r="B3" s="310" t="s">
        <v>421</v>
      </c>
      <c r="C3" s="301" t="s">
        <v>422</v>
      </c>
      <c r="D3" s="302" t="s">
        <v>423</v>
      </c>
    </row>
    <row r="4" spans="1:12" s="278" customFormat="1" x14ac:dyDescent="0.4">
      <c r="A4" s="280">
        <v>1</v>
      </c>
      <c r="B4" s="308" t="s">
        <v>198</v>
      </c>
      <c r="C4" s="279" t="s">
        <v>513</v>
      </c>
      <c r="D4" s="357">
        <v>55609</v>
      </c>
    </row>
    <row r="5" spans="1:12" s="278" customFormat="1" x14ac:dyDescent="0.4">
      <c r="A5" s="280"/>
      <c r="B5" s="308" t="s">
        <v>198</v>
      </c>
      <c r="C5" s="358" t="s">
        <v>447</v>
      </c>
      <c r="D5" s="356">
        <v>-389</v>
      </c>
    </row>
    <row r="6" spans="1:12" s="278" customFormat="1" ht="20.55" customHeight="1" x14ac:dyDescent="0.4">
      <c r="A6" s="280">
        <v>2</v>
      </c>
      <c r="B6" s="308" t="s">
        <v>262</v>
      </c>
      <c r="C6" s="279" t="str">
        <f>+$C$4</f>
        <v>FTE Aug 14</v>
      </c>
      <c r="D6" s="357">
        <v>44918</v>
      </c>
      <c r="G6" s="328"/>
      <c r="H6" s="328"/>
      <c r="I6" s="328"/>
      <c r="J6" s="328"/>
      <c r="K6" s="328"/>
      <c r="L6" s="328"/>
    </row>
    <row r="7" spans="1:12" s="278" customFormat="1" x14ac:dyDescent="0.4">
      <c r="A7" s="280"/>
      <c r="B7" s="308" t="s">
        <v>262</v>
      </c>
      <c r="C7" s="332" t="s">
        <v>448</v>
      </c>
      <c r="D7" s="356">
        <v>-582</v>
      </c>
      <c r="G7" s="328"/>
      <c r="H7" s="328"/>
      <c r="I7" s="328"/>
      <c r="J7" s="328"/>
      <c r="K7" s="328"/>
      <c r="L7" s="328"/>
    </row>
    <row r="8" spans="1:12" s="278" customFormat="1" x14ac:dyDescent="0.4">
      <c r="A8" s="280">
        <v>3</v>
      </c>
      <c r="B8" s="308" t="s">
        <v>265</v>
      </c>
      <c r="C8" s="279" t="str">
        <f>+$C$4</f>
        <v>FTE Aug 14</v>
      </c>
      <c r="D8" s="357">
        <v>70514</v>
      </c>
      <c r="G8" s="328"/>
      <c r="H8" s="328"/>
      <c r="I8" s="328"/>
      <c r="J8" s="328"/>
      <c r="K8" s="328"/>
      <c r="L8" s="328"/>
    </row>
    <row r="9" spans="1:12" s="278" customFormat="1" x14ac:dyDescent="0.4">
      <c r="A9" s="280"/>
      <c r="B9" s="308" t="s">
        <v>265</v>
      </c>
      <c r="C9" s="333" t="s">
        <v>449</v>
      </c>
      <c r="D9" s="356">
        <v>-1489</v>
      </c>
      <c r="G9" s="328"/>
      <c r="H9" s="328"/>
      <c r="I9" s="328"/>
      <c r="J9" s="328"/>
      <c r="K9" s="328"/>
      <c r="L9" s="328"/>
    </row>
    <row r="10" spans="1:12" s="278" customFormat="1" x14ac:dyDescent="0.4">
      <c r="A10" s="280">
        <v>4</v>
      </c>
      <c r="B10" s="308" t="s">
        <v>268</v>
      </c>
      <c r="C10" s="279" t="str">
        <f>+$C$4</f>
        <v>FTE Aug 14</v>
      </c>
      <c r="D10" s="357">
        <v>344977</v>
      </c>
      <c r="G10" s="328"/>
      <c r="H10" s="328"/>
      <c r="I10" s="328"/>
      <c r="J10" s="328"/>
      <c r="K10" s="328"/>
      <c r="L10" s="328"/>
    </row>
    <row r="11" spans="1:12" s="278" customFormat="1" ht="20.55" customHeight="1" x14ac:dyDescent="0.4">
      <c r="A11" s="280"/>
      <c r="B11" s="308" t="s">
        <v>442</v>
      </c>
      <c r="C11" s="279" t="s">
        <v>427</v>
      </c>
      <c r="D11" s="356">
        <v>20833.330000000002</v>
      </c>
      <c r="G11" s="312"/>
      <c r="H11" s="312"/>
      <c r="I11" s="312"/>
      <c r="J11" s="312"/>
      <c r="K11" s="312"/>
      <c r="L11" s="312"/>
    </row>
    <row r="12" spans="1:12" s="278" customFormat="1" x14ac:dyDescent="0.4">
      <c r="A12" s="280"/>
      <c r="B12" s="308">
        <v>9100</v>
      </c>
      <c r="C12" s="279" t="s">
        <v>424</v>
      </c>
      <c r="D12" s="356">
        <v>-6226.42</v>
      </c>
      <c r="F12" s="303"/>
      <c r="G12" s="312"/>
      <c r="H12" s="312"/>
      <c r="I12" s="312"/>
      <c r="J12" s="312"/>
      <c r="K12" s="312"/>
      <c r="L12" s="312"/>
    </row>
    <row r="13" spans="1:12" s="278" customFormat="1" x14ac:dyDescent="0.4">
      <c r="A13" s="280"/>
      <c r="B13" s="308">
        <v>9100</v>
      </c>
      <c r="C13" s="279" t="s">
        <v>443</v>
      </c>
      <c r="D13" s="356">
        <v>-411.59</v>
      </c>
      <c r="F13" s="303"/>
      <c r="G13" s="312"/>
      <c r="H13" s="312"/>
      <c r="I13" s="312"/>
      <c r="J13" s="312"/>
      <c r="K13" s="312"/>
      <c r="L13" s="312"/>
    </row>
    <row r="14" spans="1:12" s="278" customFormat="1" x14ac:dyDescent="0.4">
      <c r="A14" s="280"/>
      <c r="B14" s="308">
        <v>9100</v>
      </c>
      <c r="C14" s="279" t="s">
        <v>425</v>
      </c>
      <c r="D14" s="356">
        <v>-119.47</v>
      </c>
      <c r="F14" s="303"/>
    </row>
    <row r="15" spans="1:12" s="278" customFormat="1" x14ac:dyDescent="0.4">
      <c r="A15" s="280">
        <v>5</v>
      </c>
      <c r="B15" s="308" t="s">
        <v>271</v>
      </c>
      <c r="C15" s="279" t="str">
        <f>+$C$4</f>
        <v>FTE Aug 14</v>
      </c>
      <c r="D15" s="357">
        <v>609102</v>
      </c>
      <c r="F15" s="303"/>
    </row>
    <row r="16" spans="1:12" s="278" customFormat="1" x14ac:dyDescent="0.4">
      <c r="A16" s="280"/>
      <c r="B16" s="308">
        <v>1571</v>
      </c>
      <c r="C16" s="279" t="s">
        <v>426</v>
      </c>
      <c r="D16" s="356">
        <v>53867.4</v>
      </c>
      <c r="F16" s="303"/>
    </row>
    <row r="17" spans="1:12" s="278" customFormat="1" x14ac:dyDescent="0.4">
      <c r="A17" s="280"/>
      <c r="B17" s="308">
        <v>1572</v>
      </c>
      <c r="C17" s="279" t="s">
        <v>427</v>
      </c>
      <c r="D17" s="356">
        <v>31250</v>
      </c>
      <c r="F17" s="303"/>
    </row>
    <row r="18" spans="1:12" x14ac:dyDescent="0.4">
      <c r="A18" s="280"/>
      <c r="B18" s="308">
        <v>9100</v>
      </c>
      <c r="C18" s="279" t="s">
        <v>424</v>
      </c>
      <c r="D18" s="356">
        <v>-8881</v>
      </c>
      <c r="F18" s="303"/>
    </row>
    <row r="19" spans="1:12" x14ac:dyDescent="0.4">
      <c r="A19" s="280"/>
      <c r="B19" s="308">
        <v>9100</v>
      </c>
      <c r="C19" s="279" t="s">
        <v>508</v>
      </c>
      <c r="D19" s="356">
        <v>-250</v>
      </c>
      <c r="F19" s="303"/>
    </row>
    <row r="20" spans="1:12" x14ac:dyDescent="0.4">
      <c r="A20" s="280"/>
      <c r="B20" s="308">
        <v>9100</v>
      </c>
      <c r="C20" s="279" t="s">
        <v>509</v>
      </c>
      <c r="D20" s="356">
        <v>-250</v>
      </c>
      <c r="F20" s="303"/>
    </row>
    <row r="21" spans="1:12" x14ac:dyDescent="0.4">
      <c r="A21" s="280"/>
      <c r="B21" s="308">
        <v>9100</v>
      </c>
      <c r="C21" s="279" t="s">
        <v>510</v>
      </c>
      <c r="D21" s="356">
        <v>-250</v>
      </c>
      <c r="F21" s="303"/>
    </row>
    <row r="22" spans="1:12" x14ac:dyDescent="0.4">
      <c r="A22" s="280">
        <v>6</v>
      </c>
      <c r="B22" s="308" t="s">
        <v>274</v>
      </c>
      <c r="C22" s="279" t="str">
        <f>+$C$4</f>
        <v>FTE Aug 14</v>
      </c>
      <c r="D22" s="357">
        <v>130674</v>
      </c>
      <c r="F22" s="303"/>
      <c r="G22" s="307"/>
      <c r="H22" s="307"/>
      <c r="I22" s="307"/>
      <c r="J22" s="307"/>
      <c r="K22" s="307"/>
      <c r="L22" s="307"/>
    </row>
    <row r="23" spans="1:12" s="278" customFormat="1" x14ac:dyDescent="0.4">
      <c r="A23" s="280">
        <v>7</v>
      </c>
      <c r="B23" s="308" t="s">
        <v>277</v>
      </c>
      <c r="C23" s="279" t="str">
        <f>+$C$4</f>
        <v>FTE Aug 14</v>
      </c>
      <c r="D23" s="357">
        <v>63941</v>
      </c>
      <c r="F23" s="303"/>
    </row>
    <row r="24" spans="1:12" x14ac:dyDescent="0.4">
      <c r="A24" s="280"/>
      <c r="B24" s="308">
        <v>2531</v>
      </c>
      <c r="C24" s="335" t="s">
        <v>450</v>
      </c>
      <c r="D24" s="356">
        <v>-1814</v>
      </c>
      <c r="F24" s="303"/>
      <c r="G24" s="304"/>
    </row>
    <row r="25" spans="1:12" x14ac:dyDescent="0.4">
      <c r="A25" s="280">
        <v>8</v>
      </c>
      <c r="B25" s="308" t="s">
        <v>280</v>
      </c>
      <c r="C25" s="279" t="str">
        <f>+$C$4</f>
        <v>FTE Aug 14</v>
      </c>
      <c r="D25" s="357">
        <v>53169</v>
      </c>
      <c r="F25" s="303"/>
      <c r="G25" s="304"/>
    </row>
    <row r="26" spans="1:12" x14ac:dyDescent="0.4">
      <c r="A26" s="280"/>
      <c r="B26" s="308">
        <v>2641</v>
      </c>
      <c r="C26" s="336" t="s">
        <v>451</v>
      </c>
      <c r="D26" s="356">
        <v>-373</v>
      </c>
      <c r="F26" s="303"/>
      <c r="G26" s="304"/>
    </row>
    <row r="27" spans="1:12" s="278" customFormat="1" x14ac:dyDescent="0.4">
      <c r="A27" s="280">
        <v>9</v>
      </c>
      <c r="B27" s="308" t="s">
        <v>283</v>
      </c>
      <c r="C27" s="279" t="str">
        <f>+$C$4</f>
        <v>FTE Aug 14</v>
      </c>
      <c r="D27" s="357">
        <v>214099</v>
      </c>
      <c r="F27" s="303"/>
      <c r="G27" s="304"/>
    </row>
    <row r="28" spans="1:12" s="278" customFormat="1" x14ac:dyDescent="0.4">
      <c r="A28" s="280"/>
      <c r="B28" s="308">
        <v>2791</v>
      </c>
      <c r="C28" s="337" t="s">
        <v>452</v>
      </c>
      <c r="D28" s="356">
        <v>-7322.46</v>
      </c>
      <c r="F28" s="303"/>
      <c r="G28" s="304"/>
    </row>
    <row r="29" spans="1:12" s="278" customFormat="1" x14ac:dyDescent="0.4">
      <c r="A29" s="280">
        <v>10</v>
      </c>
      <c r="B29" s="308" t="s">
        <v>286</v>
      </c>
      <c r="C29" s="279" t="str">
        <f>+$C$4</f>
        <v>FTE Aug 14</v>
      </c>
      <c r="D29" s="357">
        <v>578078</v>
      </c>
      <c r="G29" s="304"/>
    </row>
    <row r="30" spans="1:12" s="278" customFormat="1" x14ac:dyDescent="0.4">
      <c r="A30" s="280"/>
      <c r="B30" s="308">
        <v>2801</v>
      </c>
      <c r="C30" s="338" t="s">
        <v>453</v>
      </c>
      <c r="D30" s="356">
        <v>-3938</v>
      </c>
      <c r="G30" s="304"/>
    </row>
    <row r="31" spans="1:12" s="278" customFormat="1" x14ac:dyDescent="0.4">
      <c r="A31" s="280">
        <v>11</v>
      </c>
      <c r="B31" s="308" t="s">
        <v>288</v>
      </c>
      <c r="C31" s="279" t="str">
        <f>+$C$4</f>
        <v>FTE Aug 14</v>
      </c>
      <c r="D31" s="357">
        <v>211204</v>
      </c>
      <c r="G31" s="304"/>
    </row>
    <row r="32" spans="1:12" s="278" customFormat="1" x14ac:dyDescent="0.4">
      <c r="A32" s="280">
        <v>12</v>
      </c>
      <c r="B32" s="308" t="s">
        <v>291</v>
      </c>
      <c r="C32" s="279" t="str">
        <f>+$C$4</f>
        <v>FTE Aug 14</v>
      </c>
      <c r="D32" s="357">
        <v>441606</v>
      </c>
      <c r="G32" s="304"/>
    </row>
    <row r="33" spans="1:7" s="278" customFormat="1" x14ac:dyDescent="0.4">
      <c r="A33" s="280"/>
      <c r="B33" s="308">
        <v>2941</v>
      </c>
      <c r="C33" s="339" t="s">
        <v>454</v>
      </c>
      <c r="D33" s="356">
        <v>-15216.18</v>
      </c>
      <c r="G33" s="304"/>
    </row>
    <row r="34" spans="1:7" s="278" customFormat="1" x14ac:dyDescent="0.4">
      <c r="A34" s="280">
        <v>13</v>
      </c>
      <c r="B34" s="308" t="s">
        <v>293</v>
      </c>
      <c r="C34" s="279" t="str">
        <f>+$C$4</f>
        <v>FTE Aug 14</v>
      </c>
      <c r="D34" s="357">
        <v>157898</v>
      </c>
      <c r="G34" s="304"/>
    </row>
    <row r="35" spans="1:7" s="278" customFormat="1" x14ac:dyDescent="0.4">
      <c r="A35" s="280">
        <v>14</v>
      </c>
      <c r="B35" s="308" t="s">
        <v>296</v>
      </c>
      <c r="C35" s="279" t="str">
        <f>+$C$4</f>
        <v>FTE Aug 14</v>
      </c>
      <c r="D35" s="357">
        <v>94161</v>
      </c>
      <c r="G35" s="304"/>
    </row>
    <row r="36" spans="1:7" s="278" customFormat="1" ht="20.55" customHeight="1" x14ac:dyDescent="0.4">
      <c r="A36" s="280">
        <v>15</v>
      </c>
      <c r="B36" s="308" t="s">
        <v>299</v>
      </c>
      <c r="C36" s="279" t="str">
        <f>+$C$4</f>
        <v>FTE Aug 14</v>
      </c>
      <c r="D36" s="357">
        <v>69117</v>
      </c>
      <c r="G36" s="304"/>
    </row>
    <row r="37" spans="1:7" s="278" customFormat="1" x14ac:dyDescent="0.4">
      <c r="A37" s="280">
        <v>16</v>
      </c>
      <c r="B37" s="308" t="s">
        <v>302</v>
      </c>
      <c r="C37" s="279" t="str">
        <f>+$C$4</f>
        <v>FTE Aug 14</v>
      </c>
      <c r="D37" s="357">
        <v>546307</v>
      </c>
      <c r="G37" s="304"/>
    </row>
    <row r="38" spans="1:7" s="278" customFormat="1" x14ac:dyDescent="0.4">
      <c r="A38" s="280"/>
      <c r="B38" s="308">
        <v>3381</v>
      </c>
      <c r="C38" s="340" t="s">
        <v>455</v>
      </c>
      <c r="D38" s="356">
        <v>-2724</v>
      </c>
      <c r="G38" s="304"/>
    </row>
    <row r="39" spans="1:7" s="278" customFormat="1" x14ac:dyDescent="0.4">
      <c r="A39" s="280">
        <v>17</v>
      </c>
      <c r="B39" s="308" t="s">
        <v>305</v>
      </c>
      <c r="C39" s="279" t="str">
        <f>+$C$4</f>
        <v>FTE Aug 14</v>
      </c>
      <c r="D39" s="357">
        <v>66578</v>
      </c>
      <c r="G39" s="304"/>
    </row>
    <row r="40" spans="1:7" s="278" customFormat="1" x14ac:dyDescent="0.4">
      <c r="A40" s="280"/>
      <c r="B40" s="308">
        <v>3382</v>
      </c>
      <c r="C40" s="341" t="s">
        <v>456</v>
      </c>
      <c r="D40" s="356">
        <v>-1043</v>
      </c>
      <c r="G40" s="304"/>
    </row>
    <row r="41" spans="1:7" s="278" customFormat="1" x14ac:dyDescent="0.4">
      <c r="A41" s="280">
        <v>18</v>
      </c>
      <c r="B41" s="308" t="s">
        <v>308</v>
      </c>
      <c r="C41" s="279" t="str">
        <f>+$C$4</f>
        <v>FTE Aug 14</v>
      </c>
      <c r="D41" s="357">
        <v>16761</v>
      </c>
    </row>
    <row r="42" spans="1:7" s="278" customFormat="1" x14ac:dyDescent="0.4">
      <c r="A42" s="280"/>
      <c r="B42" s="308">
        <v>3384</v>
      </c>
      <c r="C42" s="342" t="s">
        <v>457</v>
      </c>
      <c r="D42" s="356">
        <v>-864</v>
      </c>
    </row>
    <row r="43" spans="1:7" s="278" customFormat="1" x14ac:dyDescent="0.4">
      <c r="A43" s="280">
        <v>19</v>
      </c>
      <c r="B43" s="308" t="s">
        <v>311</v>
      </c>
      <c r="C43" s="279" t="str">
        <f>+$C$4</f>
        <v>FTE Aug 14</v>
      </c>
      <c r="D43" s="357">
        <v>425963</v>
      </c>
    </row>
    <row r="44" spans="1:7" s="278" customFormat="1" x14ac:dyDescent="0.4">
      <c r="A44" s="280"/>
      <c r="B44" s="308">
        <v>3385</v>
      </c>
      <c r="C44" s="343" t="s">
        <v>458</v>
      </c>
      <c r="D44" s="356">
        <v>-1344</v>
      </c>
    </row>
    <row r="45" spans="1:7" s="278" customFormat="1" x14ac:dyDescent="0.4">
      <c r="A45" s="280">
        <v>20</v>
      </c>
      <c r="B45" s="308" t="s">
        <v>314</v>
      </c>
      <c r="C45" s="279" t="str">
        <f>+$C$4</f>
        <v>FTE Aug 14</v>
      </c>
      <c r="D45" s="357">
        <v>104600</v>
      </c>
    </row>
    <row r="46" spans="1:7" s="278" customFormat="1" x14ac:dyDescent="0.4">
      <c r="A46" s="280"/>
      <c r="B46" s="308">
        <v>9100</v>
      </c>
      <c r="C46" s="279" t="s">
        <v>444</v>
      </c>
      <c r="D46" s="356">
        <v>-3823.75</v>
      </c>
    </row>
    <row r="47" spans="1:7" s="278" customFormat="1" x14ac:dyDescent="0.4">
      <c r="A47" s="280"/>
      <c r="B47" s="308">
        <v>9100</v>
      </c>
      <c r="C47" s="279" t="s">
        <v>443</v>
      </c>
      <c r="D47" s="356">
        <v>-82.21</v>
      </c>
    </row>
    <row r="48" spans="1:7" s="278" customFormat="1" x14ac:dyDescent="0.4">
      <c r="A48" s="280"/>
      <c r="B48" s="308">
        <v>9100</v>
      </c>
      <c r="C48" s="279" t="s">
        <v>425</v>
      </c>
      <c r="D48" s="356">
        <v>-19.73</v>
      </c>
    </row>
    <row r="49" spans="1:6" s="278" customFormat="1" x14ac:dyDescent="0.4">
      <c r="A49" s="280">
        <v>21</v>
      </c>
      <c r="B49" s="308" t="s">
        <v>317</v>
      </c>
      <c r="C49" s="279" t="str">
        <f>+$C$4</f>
        <v>FTE Aug 14</v>
      </c>
      <c r="D49" s="357">
        <v>55811</v>
      </c>
    </row>
    <row r="50" spans="1:6" s="278" customFormat="1" x14ac:dyDescent="0.4">
      <c r="A50" s="280">
        <v>22</v>
      </c>
      <c r="B50" s="308" t="s">
        <v>320</v>
      </c>
      <c r="C50" s="279" t="str">
        <f>+$C$4</f>
        <v>FTE Aug 14</v>
      </c>
      <c r="D50" s="357">
        <v>122161</v>
      </c>
    </row>
    <row r="51" spans="1:6" s="278" customFormat="1" x14ac:dyDescent="0.4">
      <c r="A51" s="280"/>
      <c r="B51" s="308">
        <v>3394</v>
      </c>
      <c r="C51" s="344" t="s">
        <v>459</v>
      </c>
      <c r="D51" s="356">
        <v>-1568</v>
      </c>
    </row>
    <row r="52" spans="1:6" s="278" customFormat="1" x14ac:dyDescent="0.4">
      <c r="A52" s="280">
        <v>23</v>
      </c>
      <c r="B52" s="308" t="s">
        <v>323</v>
      </c>
      <c r="C52" s="279" t="str">
        <f>+$C$4</f>
        <v>FTE Aug 14</v>
      </c>
      <c r="D52" s="357">
        <v>292845</v>
      </c>
    </row>
    <row r="53" spans="1:6" s="278" customFormat="1" x14ac:dyDescent="0.4">
      <c r="A53" s="280"/>
      <c r="B53" s="308">
        <v>3395</v>
      </c>
      <c r="C53" s="345" t="s">
        <v>460</v>
      </c>
      <c r="D53" s="356">
        <v>-2017</v>
      </c>
    </row>
    <row r="54" spans="1:6" s="278" customFormat="1" x14ac:dyDescent="0.4">
      <c r="A54" s="280">
        <v>24</v>
      </c>
      <c r="B54" s="308" t="s">
        <v>326</v>
      </c>
      <c r="C54" s="279" t="str">
        <f>+$C$4</f>
        <v>FTE Aug 14</v>
      </c>
      <c r="D54" s="357">
        <v>541453</v>
      </c>
    </row>
    <row r="55" spans="1:6" s="278" customFormat="1" x14ac:dyDescent="0.4">
      <c r="A55" s="280">
        <v>25</v>
      </c>
      <c r="B55" s="308" t="s">
        <v>329</v>
      </c>
      <c r="C55" s="279" t="str">
        <f>+$C$4</f>
        <v>FTE Aug 14</v>
      </c>
      <c r="D55" s="357">
        <v>46538</v>
      </c>
    </row>
    <row r="56" spans="1:6" s="278" customFormat="1" x14ac:dyDescent="0.4">
      <c r="A56" s="280">
        <v>26</v>
      </c>
      <c r="B56" s="308" t="s">
        <v>332</v>
      </c>
      <c r="C56" s="279" t="str">
        <f>+$C$4</f>
        <v>FTE Aug 14</v>
      </c>
      <c r="D56" s="357">
        <v>113048</v>
      </c>
    </row>
    <row r="57" spans="1:6" s="278" customFormat="1" x14ac:dyDescent="0.4">
      <c r="A57" s="280">
        <v>27</v>
      </c>
      <c r="B57" s="308" t="s">
        <v>335</v>
      </c>
      <c r="C57" s="279" t="str">
        <f>+$C$4</f>
        <v>FTE Aug 14</v>
      </c>
      <c r="D57" s="357">
        <v>225383</v>
      </c>
    </row>
    <row r="58" spans="1:6" s="278" customFormat="1" x14ac:dyDescent="0.4">
      <c r="A58" s="280">
        <v>28</v>
      </c>
      <c r="B58" s="308" t="s">
        <v>338</v>
      </c>
      <c r="C58" s="279" t="str">
        <f>+$C$4</f>
        <v>FTE Aug 14</v>
      </c>
      <c r="D58" s="357">
        <v>160223</v>
      </c>
    </row>
    <row r="59" spans="1:6" s="278" customFormat="1" x14ac:dyDescent="0.4">
      <c r="A59" s="280"/>
      <c r="B59" s="308">
        <v>3413</v>
      </c>
      <c r="C59" s="346" t="s">
        <v>461</v>
      </c>
      <c r="D59" s="356">
        <v>-438</v>
      </c>
      <c r="F59" s="361"/>
    </row>
    <row r="60" spans="1:6" s="278" customFormat="1" x14ac:dyDescent="0.4">
      <c r="A60" s="280">
        <v>29</v>
      </c>
      <c r="B60" s="308" t="s">
        <v>341</v>
      </c>
      <c r="C60" s="279" t="str">
        <f>+$C$4</f>
        <v>FTE Aug 14</v>
      </c>
      <c r="D60" s="357">
        <v>182401</v>
      </c>
    </row>
    <row r="61" spans="1:6" s="278" customFormat="1" x14ac:dyDescent="0.4">
      <c r="A61" s="280">
        <v>30</v>
      </c>
      <c r="B61" s="308" t="s">
        <v>344</v>
      </c>
      <c r="C61" s="279" t="str">
        <f>+$C$4</f>
        <v>FTE Aug 14</v>
      </c>
      <c r="D61" s="357">
        <v>419504</v>
      </c>
    </row>
    <row r="62" spans="1:6" s="278" customFormat="1" x14ac:dyDescent="0.4">
      <c r="A62" s="280"/>
      <c r="B62" s="308">
        <v>3431</v>
      </c>
      <c r="C62" s="347" t="s">
        <v>462</v>
      </c>
      <c r="D62" s="356">
        <v>-2807</v>
      </c>
    </row>
    <row r="63" spans="1:6" s="278" customFormat="1" x14ac:dyDescent="0.4">
      <c r="A63" s="280">
        <v>31</v>
      </c>
      <c r="B63" s="308">
        <v>3441</v>
      </c>
      <c r="C63" s="279" t="str">
        <f>+$C$4</f>
        <v>FTE Aug 14</v>
      </c>
      <c r="D63" s="357">
        <v>42341</v>
      </c>
    </row>
    <row r="64" spans="1:6" s="278" customFormat="1" x14ac:dyDescent="0.4">
      <c r="A64" s="280">
        <v>32</v>
      </c>
      <c r="B64" s="308" t="s">
        <v>350</v>
      </c>
      <c r="C64" s="279" t="str">
        <f>+$C$4</f>
        <v>FTE Aug 14</v>
      </c>
      <c r="D64" s="357">
        <v>94279</v>
      </c>
    </row>
    <row r="65" spans="1:4" s="278" customFormat="1" x14ac:dyDescent="0.4">
      <c r="A65" s="280">
        <v>33</v>
      </c>
      <c r="B65" s="308" t="s">
        <v>353</v>
      </c>
      <c r="C65" s="279" t="str">
        <f>+$C$4</f>
        <v>FTE Aug 14</v>
      </c>
      <c r="D65" s="357">
        <v>160380</v>
      </c>
    </row>
    <row r="66" spans="1:4" s="278" customFormat="1" x14ac:dyDescent="0.4">
      <c r="A66" s="280"/>
      <c r="B66" s="308">
        <v>3941</v>
      </c>
      <c r="C66" s="348" t="s">
        <v>463</v>
      </c>
      <c r="D66" s="356">
        <v>-352</v>
      </c>
    </row>
    <row r="67" spans="1:4" s="278" customFormat="1" x14ac:dyDescent="0.4">
      <c r="A67" s="280">
        <v>34</v>
      </c>
      <c r="B67" s="308" t="s">
        <v>356</v>
      </c>
      <c r="C67" s="279" t="str">
        <f>+$C$4</f>
        <v>FTE Aug 14</v>
      </c>
      <c r="D67" s="357">
        <v>119003</v>
      </c>
    </row>
    <row r="68" spans="1:4" s="278" customFormat="1" x14ac:dyDescent="0.4">
      <c r="A68" s="280"/>
      <c r="B68" s="308">
        <v>3961</v>
      </c>
      <c r="C68" s="349" t="s">
        <v>464</v>
      </c>
      <c r="D68" s="356">
        <v>-345</v>
      </c>
    </row>
    <row r="69" spans="1:4" s="278" customFormat="1" x14ac:dyDescent="0.4">
      <c r="A69" s="280">
        <v>35</v>
      </c>
      <c r="B69" s="308" t="s">
        <v>359</v>
      </c>
      <c r="C69" s="279" t="str">
        <f>+$C$4</f>
        <v>FTE Aug 14</v>
      </c>
      <c r="D69" s="357">
        <v>261071</v>
      </c>
    </row>
    <row r="70" spans="1:4" s="278" customFormat="1" x14ac:dyDescent="0.4">
      <c r="A70" s="280">
        <v>36</v>
      </c>
      <c r="B70" s="308">
        <v>4000</v>
      </c>
      <c r="C70" s="279" t="str">
        <f>+$C$4</f>
        <v>FTE Aug 14</v>
      </c>
      <c r="D70" s="357">
        <v>377537</v>
      </c>
    </row>
    <row r="71" spans="1:4" s="278" customFormat="1" x14ac:dyDescent="0.4">
      <c r="A71" s="280"/>
      <c r="B71" s="308">
        <v>4000</v>
      </c>
      <c r="C71" s="350" t="s">
        <v>465</v>
      </c>
      <c r="D71" s="356">
        <v>-2034</v>
      </c>
    </row>
    <row r="72" spans="1:4" s="278" customFormat="1" x14ac:dyDescent="0.4">
      <c r="A72" s="280">
        <v>37</v>
      </c>
      <c r="B72" s="308" t="s">
        <v>441</v>
      </c>
      <c r="C72" s="279" t="str">
        <f>+$C$4</f>
        <v>FTE Aug 14</v>
      </c>
      <c r="D72" s="357">
        <v>269370</v>
      </c>
    </row>
    <row r="73" spans="1:4" s="278" customFormat="1" ht="19.95" customHeight="1" x14ac:dyDescent="0.4">
      <c r="A73" s="280">
        <v>38</v>
      </c>
      <c r="B73" s="308">
        <v>4002</v>
      </c>
      <c r="C73" s="279" t="str">
        <f>+$C$4</f>
        <v>FTE Aug 14</v>
      </c>
      <c r="D73" s="357">
        <v>342688</v>
      </c>
    </row>
    <row r="74" spans="1:4" s="278" customFormat="1" x14ac:dyDescent="0.4">
      <c r="A74" s="280"/>
      <c r="B74" s="308">
        <v>4002</v>
      </c>
      <c r="C74" s="351" t="s">
        <v>466</v>
      </c>
      <c r="D74" s="356">
        <v>-3038</v>
      </c>
    </row>
    <row r="75" spans="1:4" s="278" customFormat="1" x14ac:dyDescent="0.4">
      <c r="A75" s="280">
        <v>39</v>
      </c>
      <c r="B75" s="308">
        <v>4010</v>
      </c>
      <c r="C75" s="279" t="str">
        <f>+$C$4</f>
        <v>FTE Aug 14</v>
      </c>
      <c r="D75" s="357">
        <v>62206</v>
      </c>
    </row>
    <row r="76" spans="1:4" s="278" customFormat="1" x14ac:dyDescent="0.4">
      <c r="A76" s="280">
        <v>40</v>
      </c>
      <c r="B76" s="308">
        <v>4012</v>
      </c>
      <c r="C76" s="279" t="str">
        <f>+$C$4</f>
        <v>FTE Aug 14</v>
      </c>
      <c r="D76" s="357">
        <v>271142</v>
      </c>
    </row>
    <row r="77" spans="1:4" s="278" customFormat="1" x14ac:dyDescent="0.4">
      <c r="A77" s="280">
        <v>41</v>
      </c>
      <c r="B77" s="308">
        <v>4013</v>
      </c>
      <c r="C77" s="279" t="str">
        <f>+$C$4</f>
        <v>FTE Aug 14</v>
      </c>
      <c r="D77" s="357">
        <v>56234</v>
      </c>
    </row>
    <row r="78" spans="1:4" s="278" customFormat="1" x14ac:dyDescent="0.4">
      <c r="A78" s="280">
        <v>42</v>
      </c>
      <c r="B78" s="308">
        <v>4020</v>
      </c>
      <c r="C78" s="279" t="str">
        <f>+$C$4</f>
        <v>FTE Aug 14</v>
      </c>
      <c r="D78" s="357">
        <v>630508</v>
      </c>
    </row>
    <row r="79" spans="1:4" s="278" customFormat="1" x14ac:dyDescent="0.4">
      <c r="A79" s="280"/>
      <c r="B79" s="308">
        <v>4020</v>
      </c>
      <c r="C79" s="352" t="s">
        <v>467</v>
      </c>
      <c r="D79" s="356">
        <v>-1143</v>
      </c>
    </row>
    <row r="80" spans="1:4" s="278" customFormat="1" x14ac:dyDescent="0.4">
      <c r="A80" s="280">
        <v>43</v>
      </c>
      <c r="B80" s="308">
        <v>4021</v>
      </c>
      <c r="C80" s="279" t="str">
        <f>+$C$4</f>
        <v>FTE Aug 14</v>
      </c>
      <c r="D80" s="357">
        <v>323259</v>
      </c>
    </row>
    <row r="81" spans="1:227" s="278" customFormat="1" x14ac:dyDescent="0.4">
      <c r="A81" s="280">
        <v>44</v>
      </c>
      <c r="B81" s="308">
        <v>4037</v>
      </c>
      <c r="C81" s="279" t="str">
        <f>+$C$4</f>
        <v>FTE Aug 14</v>
      </c>
      <c r="D81" s="357">
        <v>101775</v>
      </c>
    </row>
    <row r="82" spans="1:227" s="278" customFormat="1" x14ac:dyDescent="0.4">
      <c r="A82" s="280"/>
      <c r="B82" s="308">
        <v>4037</v>
      </c>
      <c r="C82" s="353" t="s">
        <v>468</v>
      </c>
      <c r="D82" s="356">
        <v>-1033</v>
      </c>
    </row>
    <row r="83" spans="1:227" s="278" customFormat="1" x14ac:dyDescent="0.4">
      <c r="A83" s="280">
        <v>45</v>
      </c>
      <c r="B83" s="308" t="s">
        <v>420</v>
      </c>
      <c r="C83" s="279" t="str">
        <f>+$C$4</f>
        <v>FTE Aug 14</v>
      </c>
      <c r="D83" s="357">
        <v>22041</v>
      </c>
    </row>
    <row r="84" spans="1:227" s="278" customFormat="1" x14ac:dyDescent="0.4">
      <c r="A84" s="280">
        <v>46</v>
      </c>
      <c r="B84" s="305">
        <v>4041</v>
      </c>
      <c r="C84" s="279" t="str">
        <f>+$C$4</f>
        <v>FTE Aug 14</v>
      </c>
      <c r="D84" s="357">
        <v>11458</v>
      </c>
    </row>
    <row r="85" spans="1:227" s="278" customFormat="1" x14ac:dyDescent="0.4">
      <c r="A85" s="280">
        <v>47</v>
      </c>
      <c r="B85" s="306">
        <v>4050</v>
      </c>
      <c r="C85" s="279" t="str">
        <f>+$C$4</f>
        <v>FTE Aug 14</v>
      </c>
      <c r="D85" s="357">
        <v>313285</v>
      </c>
    </row>
    <row r="86" spans="1:227" s="278" customFormat="1" x14ac:dyDescent="0.4">
      <c r="A86" s="280">
        <v>48</v>
      </c>
      <c r="B86" s="306">
        <v>4051</v>
      </c>
      <c r="C86" s="279" t="str">
        <f>+$C$4</f>
        <v>FTE Aug 14</v>
      </c>
      <c r="D86" s="357">
        <v>264565</v>
      </c>
    </row>
    <row r="87" spans="1:227" s="278" customFormat="1" x14ac:dyDescent="0.4">
      <c r="A87" s="280">
        <v>49</v>
      </c>
      <c r="B87" s="306">
        <v>4061</v>
      </c>
      <c r="C87" s="279" t="str">
        <f t="shared" ref="C87:C89" si="0">+$C$4</f>
        <v>FTE Aug 14</v>
      </c>
      <c r="D87" s="357">
        <v>56151</v>
      </c>
    </row>
    <row r="88" spans="1:227" s="278" customFormat="1" x14ac:dyDescent="0.4">
      <c r="A88" s="280">
        <v>50</v>
      </c>
      <c r="B88" s="306">
        <v>4070</v>
      </c>
      <c r="C88" s="279" t="str">
        <f t="shared" si="0"/>
        <v>FTE Aug 14</v>
      </c>
      <c r="D88" s="357">
        <v>35341</v>
      </c>
    </row>
    <row r="89" spans="1:227" s="278" customFormat="1" x14ac:dyDescent="0.4">
      <c r="A89" s="280">
        <v>51</v>
      </c>
      <c r="B89" s="306">
        <v>4072</v>
      </c>
      <c r="C89" s="279" t="str">
        <f t="shared" si="0"/>
        <v>FTE Aug 14</v>
      </c>
      <c r="D89" s="357">
        <v>557041</v>
      </c>
    </row>
    <row r="90" spans="1:227" s="278" customFormat="1" x14ac:dyDescent="0.4">
      <c r="A90" s="281"/>
      <c r="B90" s="309"/>
      <c r="D90" s="313">
        <f>SUM(D4:D89)</f>
        <v>10864080.919999998</v>
      </c>
    </row>
    <row r="91" spans="1:227" s="278" customFormat="1" x14ac:dyDescent="0.4">
      <c r="A91" s="282"/>
      <c r="B91" s="309"/>
    </row>
    <row r="92" spans="1:227" s="278" customFormat="1" x14ac:dyDescent="0.4">
      <c r="A92" s="282"/>
      <c r="B92" s="309"/>
    </row>
    <row r="93" spans="1:227" s="278" customFormat="1" x14ac:dyDescent="0.4">
      <c r="A93" s="282"/>
      <c r="B93" s="309"/>
    </row>
    <row r="94" spans="1:227" s="278" customFormat="1" x14ac:dyDescent="0.4">
      <c r="A94" s="282"/>
      <c r="B94" s="309"/>
    </row>
    <row r="95" spans="1:227" s="278" customFormat="1" x14ac:dyDescent="0.4">
      <c r="A95" s="282"/>
      <c r="B95" s="309"/>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c r="CA95" s="282"/>
      <c r="CB95" s="282"/>
      <c r="CC95" s="282"/>
      <c r="CD95" s="282"/>
      <c r="CE95" s="282"/>
      <c r="CF95" s="282"/>
      <c r="CG95" s="282"/>
      <c r="CH95" s="282"/>
      <c r="CI95" s="282"/>
      <c r="CJ95" s="282"/>
      <c r="CK95" s="282"/>
      <c r="CL95" s="282"/>
      <c r="CM95" s="282"/>
      <c r="CN95" s="282"/>
      <c r="CO95" s="282"/>
      <c r="CP95" s="282"/>
      <c r="CQ95" s="282"/>
      <c r="CR95" s="282"/>
      <c r="CS95" s="282"/>
      <c r="CT95" s="282"/>
      <c r="CU95" s="282"/>
      <c r="CV95" s="282"/>
      <c r="CW95" s="282"/>
      <c r="CX95" s="282"/>
      <c r="CY95" s="282"/>
      <c r="CZ95" s="282"/>
      <c r="DA95" s="282"/>
      <c r="DB95" s="282"/>
      <c r="DC95" s="282"/>
      <c r="DD95" s="282"/>
      <c r="DE95" s="282"/>
      <c r="DF95" s="282"/>
      <c r="DG95" s="282"/>
      <c r="DH95" s="282"/>
      <c r="DI95" s="282"/>
      <c r="DJ95" s="282"/>
      <c r="DK95" s="282"/>
      <c r="DL95" s="282"/>
      <c r="DM95" s="282"/>
      <c r="DN95" s="282"/>
      <c r="DO95" s="282"/>
      <c r="DP95" s="282"/>
      <c r="DQ95" s="282"/>
      <c r="DR95" s="282"/>
      <c r="DS95" s="282"/>
      <c r="DT95" s="282"/>
      <c r="DU95" s="282"/>
      <c r="DV95" s="282"/>
      <c r="DW95" s="282"/>
      <c r="DX95" s="282"/>
      <c r="DY95" s="282"/>
      <c r="DZ95" s="282"/>
      <c r="EA95" s="282"/>
      <c r="EB95" s="282"/>
      <c r="EC95" s="282"/>
      <c r="ED95" s="282"/>
      <c r="EE95" s="282"/>
      <c r="EF95" s="282"/>
      <c r="EG95" s="282"/>
      <c r="EH95" s="282"/>
      <c r="EI95" s="282"/>
      <c r="EJ95" s="282"/>
      <c r="EK95" s="282"/>
      <c r="EL95" s="282"/>
      <c r="EM95" s="282"/>
      <c r="EN95" s="282"/>
      <c r="EO95" s="282"/>
      <c r="EP95" s="282"/>
      <c r="EQ95" s="282"/>
      <c r="ER95" s="282"/>
      <c r="ES95" s="282"/>
      <c r="ET95" s="282"/>
      <c r="EU95" s="282"/>
      <c r="EV95" s="282"/>
      <c r="EW95" s="282"/>
      <c r="EX95" s="282"/>
      <c r="EY95" s="282"/>
      <c r="EZ95" s="282"/>
      <c r="FA95" s="282"/>
      <c r="FB95" s="282"/>
      <c r="FC95" s="282"/>
      <c r="FD95" s="282"/>
      <c r="FE95" s="282"/>
      <c r="FF95" s="282"/>
      <c r="FG95" s="282"/>
      <c r="FH95" s="282"/>
      <c r="FI95" s="282"/>
      <c r="FJ95" s="282"/>
      <c r="FK95" s="282"/>
      <c r="FL95" s="282"/>
      <c r="FM95" s="282"/>
      <c r="FN95" s="282"/>
      <c r="FO95" s="282"/>
      <c r="FP95" s="282"/>
      <c r="FQ95" s="282"/>
      <c r="FR95" s="282"/>
      <c r="FS95" s="282"/>
      <c r="FT95" s="282"/>
      <c r="FU95" s="282"/>
      <c r="FV95" s="282"/>
      <c r="FW95" s="282"/>
      <c r="FX95" s="282"/>
      <c r="FY95" s="282"/>
      <c r="FZ95" s="282"/>
      <c r="GA95" s="282"/>
      <c r="GB95" s="282"/>
      <c r="GC95" s="282"/>
      <c r="GD95" s="282"/>
      <c r="GE95" s="282"/>
      <c r="GF95" s="282"/>
      <c r="GG95" s="282"/>
      <c r="GH95" s="282"/>
      <c r="GI95" s="282"/>
      <c r="GJ95" s="282"/>
      <c r="GK95" s="282"/>
      <c r="GL95" s="282"/>
      <c r="GM95" s="282"/>
      <c r="GN95" s="282"/>
      <c r="GO95" s="282"/>
      <c r="GP95" s="282"/>
      <c r="GQ95" s="282"/>
      <c r="GR95" s="282"/>
      <c r="GS95" s="282"/>
      <c r="GT95" s="282"/>
      <c r="GU95" s="282"/>
      <c r="GV95" s="282"/>
      <c r="GW95" s="282"/>
      <c r="GX95" s="282"/>
      <c r="GY95" s="282"/>
      <c r="GZ95" s="282"/>
      <c r="HA95" s="282"/>
      <c r="HB95" s="282"/>
      <c r="HC95" s="282"/>
      <c r="HD95" s="282"/>
      <c r="HE95" s="282"/>
      <c r="HF95" s="282"/>
      <c r="HG95" s="282"/>
      <c r="HH95" s="282"/>
      <c r="HI95" s="282"/>
      <c r="HJ95" s="282"/>
      <c r="HK95" s="282"/>
      <c r="HL95" s="282"/>
      <c r="HM95" s="282"/>
      <c r="HN95" s="282"/>
      <c r="HO95" s="282"/>
      <c r="HP95" s="282"/>
      <c r="HQ95" s="282"/>
      <c r="HR95" s="282"/>
      <c r="HS95" s="282"/>
    </row>
    <row r="96" spans="1:227" s="278" customFormat="1" x14ac:dyDescent="0.4">
      <c r="A96" s="282"/>
      <c r="B96" s="309"/>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c r="CA96" s="282"/>
      <c r="CB96" s="282"/>
      <c r="CC96" s="282"/>
      <c r="CD96" s="282"/>
      <c r="CE96" s="282"/>
      <c r="CF96" s="282"/>
      <c r="CG96" s="282"/>
      <c r="CH96" s="282"/>
      <c r="CI96" s="282"/>
      <c r="CJ96" s="282"/>
      <c r="CK96" s="282"/>
      <c r="CL96" s="282"/>
      <c r="CM96" s="282"/>
      <c r="CN96" s="282"/>
      <c r="CO96" s="282"/>
      <c r="CP96" s="282"/>
      <c r="CQ96" s="282"/>
      <c r="CR96" s="282"/>
      <c r="CS96" s="282"/>
      <c r="CT96" s="282"/>
      <c r="CU96" s="282"/>
      <c r="CV96" s="282"/>
      <c r="CW96" s="282"/>
      <c r="CX96" s="282"/>
      <c r="CY96" s="282"/>
      <c r="CZ96" s="282"/>
      <c r="DA96" s="282"/>
      <c r="DB96" s="282"/>
      <c r="DC96" s="282"/>
      <c r="DD96" s="282"/>
      <c r="DE96" s="282"/>
      <c r="DF96" s="282"/>
      <c r="DG96" s="282"/>
      <c r="DH96" s="282"/>
      <c r="DI96" s="282"/>
      <c r="DJ96" s="282"/>
      <c r="DK96" s="282"/>
      <c r="DL96" s="282"/>
      <c r="DM96" s="282"/>
      <c r="DN96" s="282"/>
      <c r="DO96" s="282"/>
      <c r="DP96" s="282"/>
      <c r="DQ96" s="282"/>
      <c r="DR96" s="282"/>
      <c r="DS96" s="282"/>
      <c r="DT96" s="282"/>
      <c r="DU96" s="282"/>
      <c r="DV96" s="282"/>
      <c r="DW96" s="282"/>
      <c r="DX96" s="282"/>
      <c r="DY96" s="282"/>
      <c r="DZ96" s="282"/>
      <c r="EA96" s="282"/>
      <c r="EB96" s="282"/>
      <c r="EC96" s="282"/>
      <c r="ED96" s="282"/>
      <c r="EE96" s="282"/>
      <c r="EF96" s="282"/>
      <c r="EG96" s="282"/>
      <c r="EH96" s="282"/>
      <c r="EI96" s="282"/>
      <c r="EJ96" s="282"/>
      <c r="EK96" s="282"/>
      <c r="EL96" s="282"/>
      <c r="EM96" s="282"/>
      <c r="EN96" s="282"/>
      <c r="EO96" s="282"/>
      <c r="EP96" s="282"/>
      <c r="EQ96" s="282"/>
      <c r="ER96" s="282"/>
      <c r="ES96" s="282"/>
      <c r="ET96" s="282"/>
      <c r="EU96" s="282"/>
      <c r="EV96" s="282"/>
      <c r="EW96" s="282"/>
      <c r="EX96" s="282"/>
      <c r="EY96" s="282"/>
      <c r="EZ96" s="282"/>
      <c r="FA96" s="282"/>
      <c r="FB96" s="282"/>
      <c r="FC96" s="282"/>
      <c r="FD96" s="282"/>
      <c r="FE96" s="282"/>
      <c r="FF96" s="282"/>
      <c r="FG96" s="282"/>
      <c r="FH96" s="282"/>
      <c r="FI96" s="282"/>
      <c r="FJ96" s="282"/>
      <c r="FK96" s="282"/>
      <c r="FL96" s="282"/>
      <c r="FM96" s="282"/>
      <c r="FN96" s="282"/>
      <c r="FO96" s="282"/>
      <c r="FP96" s="282"/>
      <c r="FQ96" s="282"/>
      <c r="FR96" s="282"/>
      <c r="FS96" s="282"/>
      <c r="FT96" s="282"/>
      <c r="FU96" s="282"/>
      <c r="FV96" s="282"/>
      <c r="FW96" s="282"/>
      <c r="FX96" s="282"/>
      <c r="FY96" s="282"/>
      <c r="FZ96" s="282"/>
      <c r="GA96" s="282"/>
      <c r="GB96" s="282"/>
      <c r="GC96" s="282"/>
      <c r="GD96" s="282"/>
      <c r="GE96" s="282"/>
      <c r="GF96" s="282"/>
      <c r="GG96" s="282"/>
      <c r="GH96" s="282"/>
      <c r="GI96" s="282"/>
      <c r="GJ96" s="282"/>
      <c r="GK96" s="282"/>
      <c r="GL96" s="282"/>
      <c r="GM96" s="282"/>
      <c r="GN96" s="282"/>
      <c r="GO96" s="282"/>
      <c r="GP96" s="282"/>
      <c r="GQ96" s="282"/>
      <c r="GR96" s="282"/>
      <c r="GS96" s="282"/>
      <c r="GT96" s="282"/>
      <c r="GU96" s="282"/>
      <c r="GV96" s="282"/>
      <c r="GW96" s="282"/>
      <c r="GX96" s="282"/>
      <c r="GY96" s="282"/>
      <c r="GZ96" s="282"/>
      <c r="HA96" s="282"/>
      <c r="HB96" s="282"/>
      <c r="HC96" s="282"/>
      <c r="HD96" s="282"/>
      <c r="HE96" s="282"/>
      <c r="HF96" s="282"/>
      <c r="HG96" s="282"/>
      <c r="HH96" s="282"/>
      <c r="HI96" s="282"/>
      <c r="HJ96" s="282"/>
      <c r="HK96" s="282"/>
      <c r="HL96" s="282"/>
      <c r="HM96" s="282"/>
      <c r="HN96" s="282"/>
      <c r="HO96" s="282"/>
      <c r="HP96" s="282"/>
      <c r="HQ96" s="282"/>
      <c r="HR96" s="282"/>
      <c r="HS96" s="282"/>
    </row>
    <row r="97" spans="1:227" s="278" customFormat="1" x14ac:dyDescent="0.4">
      <c r="A97" s="282"/>
      <c r="B97" s="309"/>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282"/>
      <c r="CX97" s="282"/>
      <c r="CY97" s="282"/>
      <c r="CZ97" s="282"/>
      <c r="DA97" s="282"/>
      <c r="DB97" s="282"/>
      <c r="DC97" s="282"/>
      <c r="DD97" s="282"/>
      <c r="DE97" s="282"/>
      <c r="DF97" s="282"/>
      <c r="DG97" s="282"/>
      <c r="DH97" s="282"/>
      <c r="DI97" s="282"/>
      <c r="DJ97" s="282"/>
      <c r="DK97" s="282"/>
      <c r="DL97" s="282"/>
      <c r="DM97" s="282"/>
      <c r="DN97" s="282"/>
      <c r="DO97" s="282"/>
      <c r="DP97" s="282"/>
      <c r="DQ97" s="282"/>
      <c r="DR97" s="282"/>
      <c r="DS97" s="282"/>
      <c r="DT97" s="282"/>
      <c r="DU97" s="282"/>
      <c r="DV97" s="282"/>
      <c r="DW97" s="282"/>
      <c r="DX97" s="282"/>
      <c r="DY97" s="282"/>
      <c r="DZ97" s="282"/>
      <c r="EA97" s="282"/>
      <c r="EB97" s="282"/>
      <c r="EC97" s="282"/>
      <c r="ED97" s="282"/>
      <c r="EE97" s="282"/>
      <c r="EF97" s="282"/>
      <c r="EG97" s="282"/>
      <c r="EH97" s="282"/>
      <c r="EI97" s="282"/>
      <c r="EJ97" s="282"/>
      <c r="EK97" s="282"/>
      <c r="EL97" s="282"/>
      <c r="EM97" s="282"/>
      <c r="EN97" s="282"/>
      <c r="EO97" s="282"/>
      <c r="EP97" s="282"/>
      <c r="EQ97" s="282"/>
      <c r="ER97" s="282"/>
      <c r="ES97" s="282"/>
      <c r="ET97" s="282"/>
      <c r="EU97" s="282"/>
      <c r="EV97" s="282"/>
      <c r="EW97" s="282"/>
      <c r="EX97" s="282"/>
      <c r="EY97" s="282"/>
      <c r="EZ97" s="282"/>
      <c r="FA97" s="282"/>
      <c r="FB97" s="282"/>
      <c r="FC97" s="282"/>
      <c r="FD97" s="282"/>
      <c r="FE97" s="282"/>
      <c r="FF97" s="282"/>
      <c r="FG97" s="282"/>
      <c r="FH97" s="282"/>
      <c r="FI97" s="282"/>
      <c r="FJ97" s="282"/>
      <c r="FK97" s="282"/>
      <c r="FL97" s="282"/>
      <c r="FM97" s="282"/>
      <c r="FN97" s="282"/>
      <c r="FO97" s="282"/>
      <c r="FP97" s="282"/>
      <c r="FQ97" s="282"/>
      <c r="FR97" s="282"/>
      <c r="FS97" s="282"/>
      <c r="FT97" s="282"/>
      <c r="FU97" s="282"/>
      <c r="FV97" s="282"/>
      <c r="FW97" s="282"/>
      <c r="FX97" s="282"/>
      <c r="FY97" s="282"/>
      <c r="FZ97" s="282"/>
      <c r="GA97" s="282"/>
      <c r="GB97" s="282"/>
      <c r="GC97" s="282"/>
      <c r="GD97" s="282"/>
      <c r="GE97" s="282"/>
      <c r="GF97" s="282"/>
      <c r="GG97" s="282"/>
      <c r="GH97" s="282"/>
      <c r="GI97" s="282"/>
      <c r="GJ97" s="282"/>
      <c r="GK97" s="282"/>
      <c r="GL97" s="282"/>
      <c r="GM97" s="282"/>
      <c r="GN97" s="282"/>
      <c r="GO97" s="282"/>
      <c r="GP97" s="282"/>
      <c r="GQ97" s="282"/>
      <c r="GR97" s="282"/>
      <c r="GS97" s="282"/>
      <c r="GT97" s="282"/>
      <c r="GU97" s="282"/>
      <c r="GV97" s="282"/>
      <c r="GW97" s="282"/>
      <c r="GX97" s="282"/>
      <c r="GY97" s="282"/>
      <c r="GZ97" s="282"/>
      <c r="HA97" s="282"/>
      <c r="HB97" s="282"/>
      <c r="HC97" s="282"/>
      <c r="HD97" s="282"/>
      <c r="HE97" s="282"/>
      <c r="HF97" s="282"/>
      <c r="HG97" s="282"/>
      <c r="HH97" s="282"/>
      <c r="HI97" s="282"/>
      <c r="HJ97" s="282"/>
      <c r="HK97" s="282"/>
      <c r="HL97" s="282"/>
      <c r="HM97" s="282"/>
      <c r="HN97" s="282"/>
      <c r="HO97" s="282"/>
      <c r="HP97" s="282"/>
      <c r="HQ97" s="282"/>
      <c r="HR97" s="282"/>
      <c r="HS97" s="282"/>
    </row>
    <row r="98" spans="1:227" s="278" customFormat="1" x14ac:dyDescent="0.4">
      <c r="A98" s="282"/>
      <c r="B98" s="309"/>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282"/>
      <c r="CX98" s="282"/>
      <c r="CY98" s="282"/>
      <c r="CZ98" s="282"/>
      <c r="DA98" s="282"/>
      <c r="DB98" s="282"/>
      <c r="DC98" s="282"/>
      <c r="DD98" s="282"/>
      <c r="DE98" s="282"/>
      <c r="DF98" s="282"/>
      <c r="DG98" s="282"/>
      <c r="DH98" s="282"/>
      <c r="DI98" s="282"/>
      <c r="DJ98" s="282"/>
      <c r="DK98" s="282"/>
      <c r="DL98" s="282"/>
      <c r="DM98" s="282"/>
      <c r="DN98" s="282"/>
      <c r="DO98" s="282"/>
      <c r="DP98" s="282"/>
      <c r="DQ98" s="282"/>
      <c r="DR98" s="282"/>
      <c r="DS98" s="282"/>
      <c r="DT98" s="282"/>
      <c r="DU98" s="282"/>
      <c r="DV98" s="282"/>
      <c r="DW98" s="282"/>
      <c r="DX98" s="282"/>
      <c r="DY98" s="282"/>
      <c r="DZ98" s="282"/>
      <c r="EA98" s="282"/>
      <c r="EB98" s="282"/>
      <c r="EC98" s="282"/>
      <c r="ED98" s="282"/>
      <c r="EE98" s="282"/>
      <c r="EF98" s="282"/>
      <c r="EG98" s="282"/>
      <c r="EH98" s="282"/>
      <c r="EI98" s="282"/>
      <c r="EJ98" s="282"/>
      <c r="EK98" s="282"/>
      <c r="EL98" s="282"/>
      <c r="EM98" s="282"/>
      <c r="EN98" s="282"/>
      <c r="EO98" s="282"/>
      <c r="EP98" s="282"/>
      <c r="EQ98" s="282"/>
      <c r="ER98" s="282"/>
      <c r="ES98" s="282"/>
      <c r="ET98" s="282"/>
      <c r="EU98" s="282"/>
      <c r="EV98" s="282"/>
      <c r="EW98" s="282"/>
      <c r="EX98" s="282"/>
      <c r="EY98" s="282"/>
      <c r="EZ98" s="282"/>
      <c r="FA98" s="282"/>
      <c r="FB98" s="282"/>
      <c r="FC98" s="282"/>
      <c r="FD98" s="282"/>
      <c r="FE98" s="282"/>
      <c r="FF98" s="282"/>
      <c r="FG98" s="282"/>
      <c r="FH98" s="282"/>
      <c r="FI98" s="282"/>
      <c r="FJ98" s="282"/>
      <c r="FK98" s="282"/>
      <c r="FL98" s="282"/>
      <c r="FM98" s="282"/>
      <c r="FN98" s="282"/>
      <c r="FO98" s="282"/>
      <c r="FP98" s="282"/>
      <c r="FQ98" s="282"/>
      <c r="FR98" s="282"/>
      <c r="FS98" s="282"/>
      <c r="FT98" s="282"/>
      <c r="FU98" s="282"/>
      <c r="FV98" s="282"/>
      <c r="FW98" s="282"/>
      <c r="FX98" s="282"/>
      <c r="FY98" s="282"/>
      <c r="FZ98" s="282"/>
      <c r="GA98" s="282"/>
      <c r="GB98" s="282"/>
      <c r="GC98" s="282"/>
      <c r="GD98" s="282"/>
      <c r="GE98" s="282"/>
      <c r="GF98" s="282"/>
      <c r="GG98" s="282"/>
      <c r="GH98" s="282"/>
      <c r="GI98" s="282"/>
      <c r="GJ98" s="282"/>
      <c r="GK98" s="282"/>
      <c r="GL98" s="282"/>
      <c r="GM98" s="282"/>
      <c r="GN98" s="282"/>
      <c r="GO98" s="282"/>
      <c r="GP98" s="282"/>
      <c r="GQ98" s="282"/>
      <c r="GR98" s="282"/>
      <c r="GS98" s="282"/>
      <c r="GT98" s="282"/>
      <c r="GU98" s="282"/>
      <c r="GV98" s="282"/>
      <c r="GW98" s="282"/>
      <c r="GX98" s="282"/>
      <c r="GY98" s="282"/>
      <c r="GZ98" s="282"/>
      <c r="HA98" s="282"/>
      <c r="HB98" s="282"/>
      <c r="HC98" s="282"/>
      <c r="HD98" s="282"/>
      <c r="HE98" s="282"/>
      <c r="HF98" s="282"/>
      <c r="HG98" s="282"/>
      <c r="HH98" s="282"/>
      <c r="HI98" s="282"/>
      <c r="HJ98" s="282"/>
      <c r="HK98" s="282"/>
      <c r="HL98" s="282"/>
      <c r="HM98" s="282"/>
      <c r="HN98" s="282"/>
      <c r="HO98" s="282"/>
      <c r="HP98" s="282"/>
      <c r="HQ98" s="282"/>
      <c r="HR98" s="282"/>
      <c r="HS98" s="282"/>
    </row>
    <row r="99" spans="1:227" s="278" customFormat="1" x14ac:dyDescent="0.4">
      <c r="A99" s="282"/>
      <c r="B99" s="309"/>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282"/>
      <c r="CX99" s="282"/>
      <c r="CY99" s="282"/>
      <c r="CZ99" s="282"/>
      <c r="DA99" s="282"/>
      <c r="DB99" s="282"/>
      <c r="DC99" s="282"/>
      <c r="DD99" s="282"/>
      <c r="DE99" s="282"/>
      <c r="DF99" s="282"/>
      <c r="DG99" s="282"/>
      <c r="DH99" s="282"/>
      <c r="DI99" s="282"/>
      <c r="DJ99" s="282"/>
      <c r="DK99" s="282"/>
      <c r="DL99" s="282"/>
      <c r="DM99" s="282"/>
      <c r="DN99" s="282"/>
      <c r="DO99" s="282"/>
      <c r="DP99" s="282"/>
      <c r="DQ99" s="282"/>
      <c r="DR99" s="282"/>
      <c r="DS99" s="282"/>
      <c r="DT99" s="282"/>
      <c r="DU99" s="282"/>
      <c r="DV99" s="282"/>
      <c r="DW99" s="282"/>
      <c r="DX99" s="282"/>
      <c r="DY99" s="282"/>
      <c r="DZ99" s="282"/>
      <c r="EA99" s="282"/>
      <c r="EB99" s="282"/>
      <c r="EC99" s="282"/>
      <c r="ED99" s="282"/>
      <c r="EE99" s="282"/>
      <c r="EF99" s="282"/>
      <c r="EG99" s="282"/>
      <c r="EH99" s="282"/>
      <c r="EI99" s="282"/>
      <c r="EJ99" s="282"/>
      <c r="EK99" s="282"/>
      <c r="EL99" s="282"/>
      <c r="EM99" s="282"/>
      <c r="EN99" s="282"/>
      <c r="EO99" s="282"/>
      <c r="EP99" s="282"/>
      <c r="EQ99" s="282"/>
      <c r="ER99" s="282"/>
      <c r="ES99" s="282"/>
      <c r="ET99" s="282"/>
      <c r="EU99" s="282"/>
      <c r="EV99" s="282"/>
      <c r="EW99" s="282"/>
      <c r="EX99" s="282"/>
      <c r="EY99" s="282"/>
      <c r="EZ99" s="282"/>
      <c r="FA99" s="282"/>
      <c r="FB99" s="282"/>
      <c r="FC99" s="282"/>
      <c r="FD99" s="282"/>
      <c r="FE99" s="282"/>
      <c r="FF99" s="282"/>
      <c r="FG99" s="282"/>
      <c r="FH99" s="282"/>
      <c r="FI99" s="282"/>
      <c r="FJ99" s="282"/>
      <c r="FK99" s="282"/>
      <c r="FL99" s="282"/>
      <c r="FM99" s="282"/>
      <c r="FN99" s="282"/>
      <c r="FO99" s="282"/>
      <c r="FP99" s="282"/>
      <c r="FQ99" s="282"/>
      <c r="FR99" s="282"/>
      <c r="FS99" s="282"/>
      <c r="FT99" s="282"/>
      <c r="FU99" s="282"/>
      <c r="FV99" s="282"/>
      <c r="FW99" s="282"/>
      <c r="FX99" s="282"/>
      <c r="FY99" s="282"/>
      <c r="FZ99" s="282"/>
      <c r="GA99" s="282"/>
      <c r="GB99" s="282"/>
      <c r="GC99" s="282"/>
      <c r="GD99" s="282"/>
      <c r="GE99" s="282"/>
      <c r="GF99" s="282"/>
      <c r="GG99" s="282"/>
      <c r="GH99" s="282"/>
      <c r="GI99" s="282"/>
      <c r="GJ99" s="282"/>
      <c r="GK99" s="282"/>
      <c r="GL99" s="282"/>
      <c r="GM99" s="282"/>
      <c r="GN99" s="282"/>
      <c r="GO99" s="282"/>
      <c r="GP99" s="282"/>
      <c r="GQ99" s="282"/>
      <c r="GR99" s="282"/>
      <c r="GS99" s="282"/>
      <c r="GT99" s="282"/>
      <c r="GU99" s="282"/>
      <c r="GV99" s="282"/>
      <c r="GW99" s="282"/>
      <c r="GX99" s="282"/>
      <c r="GY99" s="282"/>
      <c r="GZ99" s="282"/>
      <c r="HA99" s="282"/>
      <c r="HB99" s="282"/>
      <c r="HC99" s="282"/>
      <c r="HD99" s="282"/>
      <c r="HE99" s="282"/>
      <c r="HF99" s="282"/>
      <c r="HG99" s="282"/>
      <c r="HH99" s="282"/>
      <c r="HI99" s="282"/>
      <c r="HJ99" s="282"/>
      <c r="HK99" s="282"/>
      <c r="HL99" s="282"/>
      <c r="HM99" s="282"/>
      <c r="HN99" s="282"/>
      <c r="HO99" s="282"/>
      <c r="HP99" s="282"/>
      <c r="HQ99" s="282"/>
      <c r="HR99" s="282"/>
      <c r="HS99" s="282"/>
    </row>
    <row r="100" spans="1:227" s="278" customFormat="1" x14ac:dyDescent="0.4">
      <c r="A100" s="282"/>
      <c r="B100" s="309"/>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282"/>
      <c r="CX100" s="282"/>
      <c r="CY100" s="282"/>
      <c r="CZ100" s="282"/>
      <c r="DA100" s="282"/>
      <c r="DB100" s="282"/>
      <c r="DC100" s="282"/>
      <c r="DD100" s="282"/>
      <c r="DE100" s="282"/>
      <c r="DF100" s="282"/>
      <c r="DG100" s="282"/>
      <c r="DH100" s="282"/>
      <c r="DI100" s="282"/>
      <c r="DJ100" s="282"/>
      <c r="DK100" s="282"/>
      <c r="DL100" s="282"/>
      <c r="DM100" s="282"/>
      <c r="DN100" s="282"/>
      <c r="DO100" s="282"/>
      <c r="DP100" s="282"/>
      <c r="DQ100" s="282"/>
      <c r="DR100" s="282"/>
      <c r="DS100" s="282"/>
      <c r="DT100" s="282"/>
      <c r="DU100" s="282"/>
      <c r="DV100" s="282"/>
      <c r="DW100" s="282"/>
      <c r="DX100" s="282"/>
      <c r="DY100" s="282"/>
      <c r="DZ100" s="282"/>
      <c r="EA100" s="282"/>
      <c r="EB100" s="282"/>
      <c r="EC100" s="282"/>
      <c r="ED100" s="282"/>
      <c r="EE100" s="282"/>
      <c r="EF100" s="282"/>
      <c r="EG100" s="282"/>
      <c r="EH100" s="282"/>
      <c r="EI100" s="282"/>
      <c r="EJ100" s="282"/>
      <c r="EK100" s="282"/>
      <c r="EL100" s="282"/>
      <c r="EM100" s="282"/>
      <c r="EN100" s="282"/>
      <c r="EO100" s="282"/>
      <c r="EP100" s="282"/>
      <c r="EQ100" s="282"/>
      <c r="ER100" s="282"/>
      <c r="ES100" s="282"/>
      <c r="ET100" s="282"/>
      <c r="EU100" s="282"/>
      <c r="EV100" s="282"/>
      <c r="EW100" s="282"/>
      <c r="EX100" s="282"/>
      <c r="EY100" s="282"/>
      <c r="EZ100" s="282"/>
      <c r="FA100" s="282"/>
      <c r="FB100" s="282"/>
      <c r="FC100" s="282"/>
      <c r="FD100" s="282"/>
      <c r="FE100" s="282"/>
      <c r="FF100" s="282"/>
      <c r="FG100" s="282"/>
      <c r="FH100" s="282"/>
      <c r="FI100" s="282"/>
      <c r="FJ100" s="282"/>
      <c r="FK100" s="282"/>
      <c r="FL100" s="282"/>
      <c r="FM100" s="282"/>
      <c r="FN100" s="282"/>
      <c r="FO100" s="282"/>
      <c r="FP100" s="282"/>
      <c r="FQ100" s="282"/>
      <c r="FR100" s="282"/>
      <c r="FS100" s="282"/>
      <c r="FT100" s="282"/>
      <c r="FU100" s="282"/>
      <c r="FV100" s="282"/>
      <c r="FW100" s="282"/>
      <c r="FX100" s="282"/>
      <c r="FY100" s="282"/>
      <c r="FZ100" s="282"/>
      <c r="GA100" s="282"/>
      <c r="GB100" s="282"/>
      <c r="GC100" s="282"/>
      <c r="GD100" s="282"/>
      <c r="GE100" s="282"/>
      <c r="GF100" s="282"/>
      <c r="GG100" s="282"/>
      <c r="GH100" s="282"/>
      <c r="GI100" s="282"/>
      <c r="GJ100" s="282"/>
      <c r="GK100" s="282"/>
      <c r="GL100" s="282"/>
      <c r="GM100" s="282"/>
      <c r="GN100" s="282"/>
      <c r="GO100" s="282"/>
      <c r="GP100" s="282"/>
      <c r="GQ100" s="282"/>
      <c r="GR100" s="282"/>
      <c r="GS100" s="282"/>
      <c r="GT100" s="282"/>
      <c r="GU100" s="282"/>
      <c r="GV100" s="282"/>
      <c r="GW100" s="282"/>
      <c r="GX100" s="282"/>
      <c r="GY100" s="282"/>
      <c r="GZ100" s="282"/>
      <c r="HA100" s="282"/>
      <c r="HB100" s="282"/>
      <c r="HC100" s="282"/>
      <c r="HD100" s="282"/>
      <c r="HE100" s="282"/>
      <c r="HF100" s="282"/>
      <c r="HG100" s="282"/>
      <c r="HH100" s="282"/>
      <c r="HI100" s="282"/>
      <c r="HJ100" s="282"/>
      <c r="HK100" s="282"/>
      <c r="HL100" s="282"/>
      <c r="HM100" s="282"/>
      <c r="HN100" s="282"/>
      <c r="HO100" s="282"/>
      <c r="HP100" s="282"/>
      <c r="HQ100" s="282"/>
      <c r="HR100" s="282"/>
      <c r="HS100" s="282"/>
    </row>
    <row r="101" spans="1:227" s="278" customFormat="1" x14ac:dyDescent="0.4">
      <c r="A101" s="282"/>
      <c r="B101" s="309"/>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282"/>
      <c r="CX101" s="282"/>
      <c r="CY101" s="282"/>
      <c r="CZ101" s="282"/>
      <c r="DA101" s="282"/>
      <c r="DB101" s="282"/>
      <c r="DC101" s="282"/>
      <c r="DD101" s="282"/>
      <c r="DE101" s="282"/>
      <c r="DF101" s="282"/>
      <c r="DG101" s="282"/>
      <c r="DH101" s="282"/>
      <c r="DI101" s="282"/>
      <c r="DJ101" s="282"/>
      <c r="DK101" s="282"/>
      <c r="DL101" s="282"/>
      <c r="DM101" s="282"/>
      <c r="DN101" s="282"/>
      <c r="DO101" s="282"/>
      <c r="DP101" s="282"/>
      <c r="DQ101" s="282"/>
      <c r="DR101" s="282"/>
      <c r="DS101" s="282"/>
      <c r="DT101" s="282"/>
      <c r="DU101" s="282"/>
      <c r="DV101" s="282"/>
      <c r="DW101" s="282"/>
      <c r="DX101" s="282"/>
      <c r="DY101" s="282"/>
      <c r="DZ101" s="282"/>
      <c r="EA101" s="282"/>
      <c r="EB101" s="282"/>
      <c r="EC101" s="282"/>
      <c r="ED101" s="282"/>
      <c r="EE101" s="282"/>
      <c r="EF101" s="282"/>
      <c r="EG101" s="282"/>
      <c r="EH101" s="282"/>
      <c r="EI101" s="282"/>
      <c r="EJ101" s="282"/>
      <c r="EK101" s="282"/>
      <c r="EL101" s="282"/>
      <c r="EM101" s="282"/>
      <c r="EN101" s="282"/>
      <c r="EO101" s="282"/>
      <c r="EP101" s="282"/>
      <c r="EQ101" s="282"/>
      <c r="ER101" s="282"/>
      <c r="ES101" s="282"/>
      <c r="ET101" s="282"/>
      <c r="EU101" s="282"/>
      <c r="EV101" s="282"/>
      <c r="EW101" s="282"/>
      <c r="EX101" s="282"/>
      <c r="EY101" s="282"/>
      <c r="EZ101" s="282"/>
      <c r="FA101" s="282"/>
      <c r="FB101" s="282"/>
      <c r="FC101" s="282"/>
      <c r="FD101" s="282"/>
      <c r="FE101" s="282"/>
      <c r="FF101" s="282"/>
      <c r="FG101" s="282"/>
      <c r="FH101" s="282"/>
      <c r="FI101" s="282"/>
      <c r="FJ101" s="282"/>
      <c r="FK101" s="282"/>
      <c r="FL101" s="282"/>
      <c r="FM101" s="282"/>
      <c r="FN101" s="282"/>
      <c r="FO101" s="282"/>
      <c r="FP101" s="282"/>
      <c r="FQ101" s="282"/>
      <c r="FR101" s="282"/>
      <c r="FS101" s="282"/>
      <c r="FT101" s="282"/>
      <c r="FU101" s="282"/>
      <c r="FV101" s="282"/>
      <c r="FW101" s="282"/>
      <c r="FX101" s="282"/>
      <c r="FY101" s="282"/>
      <c r="FZ101" s="282"/>
      <c r="GA101" s="282"/>
      <c r="GB101" s="282"/>
      <c r="GC101" s="282"/>
      <c r="GD101" s="282"/>
      <c r="GE101" s="282"/>
      <c r="GF101" s="282"/>
      <c r="GG101" s="282"/>
      <c r="GH101" s="282"/>
      <c r="GI101" s="282"/>
      <c r="GJ101" s="282"/>
      <c r="GK101" s="282"/>
      <c r="GL101" s="282"/>
      <c r="GM101" s="282"/>
      <c r="GN101" s="282"/>
      <c r="GO101" s="282"/>
      <c r="GP101" s="282"/>
      <c r="GQ101" s="282"/>
      <c r="GR101" s="282"/>
      <c r="GS101" s="282"/>
      <c r="GT101" s="282"/>
      <c r="GU101" s="282"/>
      <c r="GV101" s="282"/>
      <c r="GW101" s="282"/>
      <c r="GX101" s="282"/>
      <c r="GY101" s="282"/>
      <c r="GZ101" s="282"/>
      <c r="HA101" s="282"/>
      <c r="HB101" s="282"/>
      <c r="HC101" s="282"/>
      <c r="HD101" s="282"/>
      <c r="HE101" s="282"/>
      <c r="HF101" s="282"/>
      <c r="HG101" s="282"/>
      <c r="HH101" s="282"/>
      <c r="HI101" s="282"/>
      <c r="HJ101" s="282"/>
      <c r="HK101" s="282"/>
      <c r="HL101" s="282"/>
      <c r="HM101" s="282"/>
      <c r="HN101" s="282"/>
      <c r="HO101" s="282"/>
      <c r="HP101" s="282"/>
      <c r="HQ101" s="282"/>
      <c r="HR101" s="282"/>
      <c r="HS101" s="282"/>
    </row>
    <row r="102" spans="1:227" s="278" customFormat="1" x14ac:dyDescent="0.4">
      <c r="A102" s="282"/>
      <c r="B102" s="309"/>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282"/>
      <c r="CX102" s="282"/>
      <c r="CY102" s="282"/>
      <c r="CZ102" s="282"/>
      <c r="DA102" s="282"/>
      <c r="DB102" s="282"/>
      <c r="DC102" s="282"/>
      <c r="DD102" s="282"/>
      <c r="DE102" s="282"/>
      <c r="DF102" s="282"/>
      <c r="DG102" s="282"/>
      <c r="DH102" s="282"/>
      <c r="DI102" s="282"/>
      <c r="DJ102" s="282"/>
      <c r="DK102" s="282"/>
      <c r="DL102" s="282"/>
      <c r="DM102" s="282"/>
      <c r="DN102" s="282"/>
      <c r="DO102" s="282"/>
      <c r="DP102" s="282"/>
      <c r="DQ102" s="282"/>
      <c r="DR102" s="282"/>
      <c r="DS102" s="282"/>
      <c r="DT102" s="282"/>
      <c r="DU102" s="282"/>
      <c r="DV102" s="282"/>
      <c r="DW102" s="282"/>
      <c r="DX102" s="282"/>
      <c r="DY102" s="282"/>
      <c r="DZ102" s="282"/>
      <c r="EA102" s="282"/>
      <c r="EB102" s="282"/>
      <c r="EC102" s="282"/>
      <c r="ED102" s="282"/>
      <c r="EE102" s="282"/>
      <c r="EF102" s="282"/>
      <c r="EG102" s="282"/>
      <c r="EH102" s="282"/>
      <c r="EI102" s="282"/>
      <c r="EJ102" s="282"/>
      <c r="EK102" s="282"/>
      <c r="EL102" s="282"/>
      <c r="EM102" s="282"/>
      <c r="EN102" s="282"/>
      <c r="EO102" s="282"/>
      <c r="EP102" s="282"/>
      <c r="EQ102" s="282"/>
      <c r="ER102" s="282"/>
      <c r="ES102" s="282"/>
      <c r="ET102" s="282"/>
      <c r="EU102" s="282"/>
      <c r="EV102" s="282"/>
      <c r="EW102" s="282"/>
      <c r="EX102" s="282"/>
      <c r="EY102" s="282"/>
      <c r="EZ102" s="282"/>
      <c r="FA102" s="282"/>
      <c r="FB102" s="282"/>
      <c r="FC102" s="282"/>
      <c r="FD102" s="282"/>
      <c r="FE102" s="282"/>
      <c r="FF102" s="282"/>
      <c r="FG102" s="282"/>
      <c r="FH102" s="282"/>
      <c r="FI102" s="282"/>
      <c r="FJ102" s="282"/>
      <c r="FK102" s="282"/>
      <c r="FL102" s="282"/>
      <c r="FM102" s="282"/>
      <c r="FN102" s="282"/>
      <c r="FO102" s="282"/>
      <c r="FP102" s="282"/>
      <c r="FQ102" s="282"/>
      <c r="FR102" s="282"/>
      <c r="FS102" s="282"/>
      <c r="FT102" s="282"/>
      <c r="FU102" s="282"/>
      <c r="FV102" s="282"/>
      <c r="FW102" s="282"/>
      <c r="FX102" s="282"/>
      <c r="FY102" s="282"/>
      <c r="FZ102" s="282"/>
      <c r="GA102" s="282"/>
      <c r="GB102" s="282"/>
      <c r="GC102" s="282"/>
      <c r="GD102" s="282"/>
      <c r="GE102" s="282"/>
      <c r="GF102" s="282"/>
      <c r="GG102" s="282"/>
      <c r="GH102" s="282"/>
      <c r="GI102" s="282"/>
      <c r="GJ102" s="282"/>
      <c r="GK102" s="282"/>
      <c r="GL102" s="282"/>
      <c r="GM102" s="282"/>
      <c r="GN102" s="282"/>
      <c r="GO102" s="282"/>
      <c r="GP102" s="282"/>
      <c r="GQ102" s="282"/>
      <c r="GR102" s="282"/>
      <c r="GS102" s="282"/>
      <c r="GT102" s="282"/>
      <c r="GU102" s="282"/>
      <c r="GV102" s="282"/>
      <c r="GW102" s="282"/>
      <c r="GX102" s="282"/>
      <c r="GY102" s="282"/>
      <c r="GZ102" s="282"/>
      <c r="HA102" s="282"/>
      <c r="HB102" s="282"/>
      <c r="HC102" s="282"/>
      <c r="HD102" s="282"/>
      <c r="HE102" s="282"/>
      <c r="HF102" s="282"/>
      <c r="HG102" s="282"/>
      <c r="HH102" s="282"/>
      <c r="HI102" s="282"/>
      <c r="HJ102" s="282"/>
      <c r="HK102" s="282"/>
      <c r="HL102" s="282"/>
      <c r="HM102" s="282"/>
      <c r="HN102" s="282"/>
      <c r="HO102" s="282"/>
      <c r="HP102" s="282"/>
      <c r="HQ102" s="282"/>
      <c r="HR102" s="282"/>
      <c r="HS102" s="282"/>
    </row>
    <row r="103" spans="1:227" s="278" customFormat="1" x14ac:dyDescent="0.4">
      <c r="A103" s="282"/>
      <c r="B103" s="309"/>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282"/>
      <c r="CX103" s="282"/>
      <c r="CY103" s="282"/>
      <c r="CZ103" s="282"/>
      <c r="DA103" s="282"/>
      <c r="DB103" s="282"/>
      <c r="DC103" s="282"/>
      <c r="DD103" s="282"/>
      <c r="DE103" s="282"/>
      <c r="DF103" s="282"/>
      <c r="DG103" s="282"/>
      <c r="DH103" s="282"/>
      <c r="DI103" s="282"/>
      <c r="DJ103" s="282"/>
      <c r="DK103" s="282"/>
      <c r="DL103" s="282"/>
      <c r="DM103" s="282"/>
      <c r="DN103" s="282"/>
      <c r="DO103" s="282"/>
      <c r="DP103" s="282"/>
      <c r="DQ103" s="282"/>
      <c r="DR103" s="282"/>
      <c r="DS103" s="282"/>
      <c r="DT103" s="282"/>
      <c r="DU103" s="282"/>
      <c r="DV103" s="282"/>
      <c r="DW103" s="282"/>
      <c r="DX103" s="282"/>
      <c r="DY103" s="282"/>
      <c r="DZ103" s="282"/>
      <c r="EA103" s="282"/>
      <c r="EB103" s="282"/>
      <c r="EC103" s="282"/>
      <c r="ED103" s="282"/>
      <c r="EE103" s="282"/>
      <c r="EF103" s="282"/>
      <c r="EG103" s="282"/>
      <c r="EH103" s="282"/>
      <c r="EI103" s="282"/>
      <c r="EJ103" s="282"/>
      <c r="EK103" s="282"/>
      <c r="EL103" s="282"/>
      <c r="EM103" s="282"/>
      <c r="EN103" s="282"/>
      <c r="EO103" s="282"/>
      <c r="EP103" s="282"/>
      <c r="EQ103" s="282"/>
      <c r="ER103" s="282"/>
      <c r="ES103" s="282"/>
      <c r="ET103" s="282"/>
      <c r="EU103" s="282"/>
      <c r="EV103" s="282"/>
      <c r="EW103" s="282"/>
      <c r="EX103" s="282"/>
      <c r="EY103" s="282"/>
      <c r="EZ103" s="282"/>
      <c r="FA103" s="282"/>
      <c r="FB103" s="282"/>
      <c r="FC103" s="282"/>
      <c r="FD103" s="282"/>
      <c r="FE103" s="282"/>
      <c r="FF103" s="282"/>
      <c r="FG103" s="282"/>
      <c r="FH103" s="282"/>
      <c r="FI103" s="282"/>
      <c r="FJ103" s="282"/>
      <c r="FK103" s="282"/>
      <c r="FL103" s="282"/>
      <c r="FM103" s="282"/>
      <c r="FN103" s="282"/>
      <c r="FO103" s="282"/>
      <c r="FP103" s="282"/>
      <c r="FQ103" s="282"/>
      <c r="FR103" s="282"/>
      <c r="FS103" s="282"/>
      <c r="FT103" s="282"/>
      <c r="FU103" s="282"/>
      <c r="FV103" s="282"/>
      <c r="FW103" s="282"/>
      <c r="FX103" s="282"/>
      <c r="FY103" s="282"/>
      <c r="FZ103" s="282"/>
      <c r="GA103" s="282"/>
      <c r="GB103" s="282"/>
      <c r="GC103" s="282"/>
      <c r="GD103" s="282"/>
      <c r="GE103" s="282"/>
      <c r="GF103" s="282"/>
      <c r="GG103" s="282"/>
      <c r="GH103" s="282"/>
      <c r="GI103" s="282"/>
      <c r="GJ103" s="282"/>
      <c r="GK103" s="282"/>
      <c r="GL103" s="282"/>
      <c r="GM103" s="282"/>
      <c r="GN103" s="282"/>
      <c r="GO103" s="282"/>
      <c r="GP103" s="282"/>
      <c r="GQ103" s="282"/>
      <c r="GR103" s="282"/>
      <c r="GS103" s="282"/>
      <c r="GT103" s="282"/>
      <c r="GU103" s="282"/>
      <c r="GV103" s="282"/>
      <c r="GW103" s="282"/>
      <c r="GX103" s="282"/>
      <c r="GY103" s="282"/>
      <c r="GZ103" s="282"/>
      <c r="HA103" s="282"/>
      <c r="HB103" s="282"/>
      <c r="HC103" s="282"/>
      <c r="HD103" s="282"/>
      <c r="HE103" s="282"/>
      <c r="HF103" s="282"/>
      <c r="HG103" s="282"/>
      <c r="HH103" s="282"/>
      <c r="HI103" s="282"/>
      <c r="HJ103" s="282"/>
      <c r="HK103" s="282"/>
      <c r="HL103" s="282"/>
      <c r="HM103" s="282"/>
      <c r="HN103" s="282"/>
      <c r="HO103" s="282"/>
      <c r="HP103" s="282"/>
      <c r="HQ103" s="282"/>
      <c r="HR103" s="282"/>
      <c r="HS103" s="282"/>
    </row>
    <row r="104" spans="1:227" s="278" customFormat="1" x14ac:dyDescent="0.4">
      <c r="A104" s="282"/>
      <c r="B104" s="309"/>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c r="CA104" s="282"/>
      <c r="CB104" s="282"/>
      <c r="CC104" s="282"/>
      <c r="CD104" s="282"/>
      <c r="CE104" s="282"/>
      <c r="CF104" s="282"/>
      <c r="CG104" s="282"/>
      <c r="CH104" s="282"/>
      <c r="CI104" s="282"/>
      <c r="CJ104" s="282"/>
      <c r="CK104" s="282"/>
      <c r="CL104" s="282"/>
      <c r="CM104" s="282"/>
      <c r="CN104" s="282"/>
      <c r="CO104" s="282"/>
      <c r="CP104" s="282"/>
      <c r="CQ104" s="282"/>
      <c r="CR104" s="282"/>
      <c r="CS104" s="282"/>
      <c r="CT104" s="282"/>
      <c r="CU104" s="282"/>
      <c r="CV104" s="282"/>
      <c r="CW104" s="282"/>
      <c r="CX104" s="282"/>
      <c r="CY104" s="282"/>
      <c r="CZ104" s="282"/>
      <c r="DA104" s="282"/>
      <c r="DB104" s="282"/>
      <c r="DC104" s="282"/>
      <c r="DD104" s="282"/>
      <c r="DE104" s="282"/>
      <c r="DF104" s="282"/>
      <c r="DG104" s="282"/>
      <c r="DH104" s="282"/>
      <c r="DI104" s="282"/>
      <c r="DJ104" s="282"/>
      <c r="DK104" s="282"/>
      <c r="DL104" s="282"/>
      <c r="DM104" s="282"/>
      <c r="DN104" s="282"/>
      <c r="DO104" s="282"/>
      <c r="DP104" s="282"/>
      <c r="DQ104" s="282"/>
      <c r="DR104" s="282"/>
      <c r="DS104" s="282"/>
      <c r="DT104" s="282"/>
      <c r="DU104" s="282"/>
      <c r="DV104" s="282"/>
      <c r="DW104" s="282"/>
      <c r="DX104" s="282"/>
      <c r="DY104" s="282"/>
      <c r="DZ104" s="282"/>
      <c r="EA104" s="282"/>
      <c r="EB104" s="282"/>
      <c r="EC104" s="282"/>
      <c r="ED104" s="282"/>
      <c r="EE104" s="282"/>
      <c r="EF104" s="282"/>
      <c r="EG104" s="282"/>
      <c r="EH104" s="282"/>
      <c r="EI104" s="282"/>
      <c r="EJ104" s="282"/>
      <c r="EK104" s="282"/>
      <c r="EL104" s="282"/>
      <c r="EM104" s="282"/>
      <c r="EN104" s="282"/>
      <c r="EO104" s="282"/>
      <c r="EP104" s="282"/>
      <c r="EQ104" s="282"/>
      <c r="ER104" s="282"/>
      <c r="ES104" s="282"/>
      <c r="ET104" s="282"/>
      <c r="EU104" s="282"/>
      <c r="EV104" s="282"/>
      <c r="EW104" s="282"/>
      <c r="EX104" s="282"/>
      <c r="EY104" s="282"/>
      <c r="EZ104" s="282"/>
      <c r="FA104" s="282"/>
      <c r="FB104" s="282"/>
      <c r="FC104" s="282"/>
      <c r="FD104" s="282"/>
      <c r="FE104" s="282"/>
      <c r="FF104" s="282"/>
      <c r="FG104" s="282"/>
      <c r="FH104" s="282"/>
      <c r="FI104" s="282"/>
      <c r="FJ104" s="282"/>
      <c r="FK104" s="282"/>
      <c r="FL104" s="282"/>
      <c r="FM104" s="282"/>
      <c r="FN104" s="282"/>
      <c r="FO104" s="282"/>
      <c r="FP104" s="282"/>
      <c r="FQ104" s="282"/>
      <c r="FR104" s="282"/>
      <c r="FS104" s="282"/>
      <c r="FT104" s="282"/>
      <c r="FU104" s="282"/>
      <c r="FV104" s="282"/>
      <c r="FW104" s="282"/>
      <c r="FX104" s="282"/>
      <c r="FY104" s="282"/>
      <c r="FZ104" s="282"/>
      <c r="GA104" s="282"/>
      <c r="GB104" s="282"/>
      <c r="GC104" s="282"/>
      <c r="GD104" s="282"/>
      <c r="GE104" s="282"/>
      <c r="GF104" s="282"/>
      <c r="GG104" s="282"/>
      <c r="GH104" s="282"/>
      <c r="GI104" s="282"/>
      <c r="GJ104" s="282"/>
      <c r="GK104" s="282"/>
      <c r="GL104" s="282"/>
      <c r="GM104" s="282"/>
      <c r="GN104" s="282"/>
      <c r="GO104" s="282"/>
      <c r="GP104" s="282"/>
      <c r="GQ104" s="282"/>
      <c r="GR104" s="282"/>
      <c r="GS104" s="282"/>
      <c r="GT104" s="282"/>
      <c r="GU104" s="282"/>
      <c r="GV104" s="282"/>
      <c r="GW104" s="282"/>
      <c r="GX104" s="282"/>
      <c r="GY104" s="282"/>
      <c r="GZ104" s="282"/>
      <c r="HA104" s="282"/>
      <c r="HB104" s="282"/>
      <c r="HC104" s="282"/>
      <c r="HD104" s="282"/>
      <c r="HE104" s="282"/>
      <c r="HF104" s="282"/>
      <c r="HG104" s="282"/>
      <c r="HH104" s="282"/>
      <c r="HI104" s="282"/>
      <c r="HJ104" s="282"/>
      <c r="HK104" s="282"/>
      <c r="HL104" s="282"/>
      <c r="HM104" s="282"/>
      <c r="HN104" s="282"/>
      <c r="HO104" s="282"/>
      <c r="HP104" s="282"/>
      <c r="HQ104" s="282"/>
      <c r="HR104" s="282"/>
      <c r="HS104" s="282"/>
    </row>
    <row r="105" spans="1:227" s="278" customFormat="1" x14ac:dyDescent="0.4">
      <c r="A105" s="282"/>
      <c r="B105" s="309"/>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c r="CA105" s="282"/>
      <c r="CB105" s="282"/>
      <c r="CC105" s="282"/>
      <c r="CD105" s="282"/>
      <c r="CE105" s="282"/>
      <c r="CF105" s="282"/>
      <c r="CG105" s="282"/>
      <c r="CH105" s="282"/>
      <c r="CI105" s="282"/>
      <c r="CJ105" s="282"/>
      <c r="CK105" s="282"/>
      <c r="CL105" s="282"/>
      <c r="CM105" s="282"/>
      <c r="CN105" s="282"/>
      <c r="CO105" s="282"/>
      <c r="CP105" s="282"/>
      <c r="CQ105" s="282"/>
      <c r="CR105" s="282"/>
      <c r="CS105" s="282"/>
      <c r="CT105" s="282"/>
      <c r="CU105" s="282"/>
      <c r="CV105" s="282"/>
      <c r="CW105" s="282"/>
      <c r="CX105" s="282"/>
      <c r="CY105" s="282"/>
      <c r="CZ105" s="282"/>
      <c r="DA105" s="282"/>
      <c r="DB105" s="282"/>
      <c r="DC105" s="282"/>
      <c r="DD105" s="282"/>
      <c r="DE105" s="282"/>
      <c r="DF105" s="282"/>
      <c r="DG105" s="282"/>
      <c r="DH105" s="282"/>
      <c r="DI105" s="282"/>
      <c r="DJ105" s="282"/>
      <c r="DK105" s="282"/>
      <c r="DL105" s="282"/>
      <c r="DM105" s="282"/>
      <c r="DN105" s="282"/>
      <c r="DO105" s="282"/>
      <c r="DP105" s="282"/>
      <c r="DQ105" s="282"/>
      <c r="DR105" s="282"/>
      <c r="DS105" s="282"/>
      <c r="DT105" s="282"/>
      <c r="DU105" s="282"/>
      <c r="DV105" s="282"/>
      <c r="DW105" s="282"/>
      <c r="DX105" s="282"/>
      <c r="DY105" s="282"/>
      <c r="DZ105" s="282"/>
      <c r="EA105" s="282"/>
      <c r="EB105" s="282"/>
      <c r="EC105" s="282"/>
      <c r="ED105" s="282"/>
      <c r="EE105" s="282"/>
      <c r="EF105" s="282"/>
      <c r="EG105" s="282"/>
      <c r="EH105" s="282"/>
      <c r="EI105" s="282"/>
      <c r="EJ105" s="282"/>
      <c r="EK105" s="282"/>
      <c r="EL105" s="282"/>
      <c r="EM105" s="282"/>
      <c r="EN105" s="282"/>
      <c r="EO105" s="282"/>
      <c r="EP105" s="282"/>
      <c r="EQ105" s="282"/>
      <c r="ER105" s="282"/>
      <c r="ES105" s="282"/>
      <c r="ET105" s="282"/>
      <c r="EU105" s="282"/>
      <c r="EV105" s="282"/>
      <c r="EW105" s="282"/>
      <c r="EX105" s="282"/>
      <c r="EY105" s="282"/>
      <c r="EZ105" s="282"/>
      <c r="FA105" s="282"/>
      <c r="FB105" s="282"/>
      <c r="FC105" s="282"/>
      <c r="FD105" s="282"/>
      <c r="FE105" s="282"/>
      <c r="FF105" s="282"/>
      <c r="FG105" s="282"/>
      <c r="FH105" s="282"/>
      <c r="FI105" s="282"/>
      <c r="FJ105" s="282"/>
      <c r="FK105" s="282"/>
      <c r="FL105" s="282"/>
      <c r="FM105" s="282"/>
      <c r="FN105" s="282"/>
      <c r="FO105" s="282"/>
      <c r="FP105" s="282"/>
      <c r="FQ105" s="282"/>
      <c r="FR105" s="282"/>
      <c r="FS105" s="282"/>
      <c r="FT105" s="282"/>
      <c r="FU105" s="282"/>
      <c r="FV105" s="282"/>
      <c r="FW105" s="282"/>
      <c r="FX105" s="282"/>
      <c r="FY105" s="282"/>
      <c r="FZ105" s="282"/>
      <c r="GA105" s="282"/>
      <c r="GB105" s="282"/>
      <c r="GC105" s="282"/>
      <c r="GD105" s="282"/>
      <c r="GE105" s="282"/>
      <c r="GF105" s="282"/>
      <c r="GG105" s="282"/>
      <c r="GH105" s="282"/>
      <c r="GI105" s="282"/>
      <c r="GJ105" s="282"/>
      <c r="GK105" s="282"/>
      <c r="GL105" s="282"/>
      <c r="GM105" s="282"/>
      <c r="GN105" s="282"/>
      <c r="GO105" s="282"/>
      <c r="GP105" s="282"/>
      <c r="GQ105" s="282"/>
      <c r="GR105" s="282"/>
      <c r="GS105" s="282"/>
      <c r="GT105" s="282"/>
      <c r="GU105" s="282"/>
      <c r="GV105" s="282"/>
      <c r="GW105" s="282"/>
      <c r="GX105" s="282"/>
      <c r="GY105" s="282"/>
      <c r="GZ105" s="282"/>
      <c r="HA105" s="282"/>
      <c r="HB105" s="282"/>
      <c r="HC105" s="282"/>
      <c r="HD105" s="282"/>
      <c r="HE105" s="282"/>
      <c r="HF105" s="282"/>
      <c r="HG105" s="282"/>
      <c r="HH105" s="282"/>
      <c r="HI105" s="282"/>
      <c r="HJ105" s="282"/>
      <c r="HK105" s="282"/>
      <c r="HL105" s="282"/>
      <c r="HM105" s="282"/>
      <c r="HN105" s="282"/>
      <c r="HO105" s="282"/>
      <c r="HP105" s="282"/>
      <c r="HQ105" s="282"/>
      <c r="HR105" s="282"/>
      <c r="HS105" s="282"/>
    </row>
    <row r="106" spans="1:227" s="278" customFormat="1" x14ac:dyDescent="0.4">
      <c r="A106" s="282"/>
      <c r="B106" s="311"/>
      <c r="C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2"/>
      <c r="AQ106" s="282"/>
      <c r="AR106" s="282"/>
      <c r="AS106" s="282"/>
      <c r="AT106" s="282"/>
      <c r="AU106" s="282"/>
      <c r="AV106" s="282"/>
      <c r="AW106" s="282"/>
      <c r="AX106" s="282"/>
      <c r="AY106" s="282"/>
      <c r="AZ106" s="282"/>
      <c r="BA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c r="CA106" s="282"/>
      <c r="CB106" s="282"/>
      <c r="CC106" s="282"/>
      <c r="CD106" s="282"/>
      <c r="CE106" s="282"/>
      <c r="CF106" s="282"/>
      <c r="CG106" s="282"/>
      <c r="CH106" s="282"/>
      <c r="CI106" s="282"/>
      <c r="CJ106" s="282"/>
      <c r="CK106" s="282"/>
      <c r="CL106" s="282"/>
      <c r="CM106" s="282"/>
      <c r="CN106" s="282"/>
      <c r="CO106" s="282"/>
      <c r="CP106" s="282"/>
      <c r="CQ106" s="282"/>
      <c r="CR106" s="282"/>
      <c r="CS106" s="282"/>
      <c r="CT106" s="282"/>
      <c r="CU106" s="282"/>
      <c r="CV106" s="282"/>
      <c r="CW106" s="282"/>
      <c r="CX106" s="282"/>
      <c r="CY106" s="282"/>
      <c r="CZ106" s="282"/>
      <c r="DA106" s="282"/>
      <c r="DB106" s="282"/>
      <c r="DC106" s="282"/>
      <c r="DD106" s="282"/>
      <c r="DE106" s="282"/>
      <c r="DF106" s="282"/>
      <c r="DG106" s="282"/>
      <c r="DH106" s="282"/>
      <c r="DI106" s="282"/>
      <c r="DJ106" s="282"/>
      <c r="DK106" s="282"/>
      <c r="DL106" s="282"/>
      <c r="DM106" s="282"/>
      <c r="DN106" s="282"/>
      <c r="DO106" s="282"/>
      <c r="DP106" s="282"/>
      <c r="DQ106" s="282"/>
      <c r="DR106" s="282"/>
      <c r="DS106" s="282"/>
      <c r="DT106" s="282"/>
      <c r="DU106" s="282"/>
      <c r="DV106" s="282"/>
      <c r="DW106" s="282"/>
      <c r="DX106" s="282"/>
      <c r="DY106" s="282"/>
      <c r="DZ106" s="282"/>
      <c r="EA106" s="282"/>
      <c r="EB106" s="282"/>
      <c r="EC106" s="282"/>
      <c r="ED106" s="282"/>
      <c r="EE106" s="282"/>
      <c r="EF106" s="282"/>
      <c r="EG106" s="282"/>
      <c r="EH106" s="282"/>
      <c r="EI106" s="282"/>
      <c r="EJ106" s="282"/>
      <c r="EK106" s="282"/>
      <c r="EL106" s="282"/>
      <c r="EM106" s="282"/>
      <c r="EN106" s="282"/>
      <c r="EO106" s="282"/>
      <c r="EP106" s="282"/>
      <c r="EQ106" s="282"/>
      <c r="ER106" s="282"/>
      <c r="ES106" s="282"/>
      <c r="ET106" s="282"/>
      <c r="EU106" s="282"/>
      <c r="EV106" s="282"/>
      <c r="EW106" s="282"/>
      <c r="EX106" s="282"/>
      <c r="EY106" s="282"/>
      <c r="EZ106" s="282"/>
      <c r="FA106" s="282"/>
      <c r="FB106" s="282"/>
      <c r="FC106" s="282"/>
      <c r="FD106" s="282"/>
      <c r="FE106" s="282"/>
      <c r="FF106" s="282"/>
      <c r="FG106" s="282"/>
      <c r="FH106" s="282"/>
      <c r="FI106" s="282"/>
      <c r="FJ106" s="282"/>
      <c r="FK106" s="282"/>
      <c r="FL106" s="282"/>
      <c r="FM106" s="282"/>
      <c r="FN106" s="282"/>
      <c r="FO106" s="282"/>
      <c r="FP106" s="282"/>
      <c r="FQ106" s="282"/>
      <c r="FR106" s="282"/>
      <c r="FS106" s="282"/>
      <c r="FT106" s="282"/>
      <c r="FU106" s="282"/>
      <c r="FV106" s="282"/>
      <c r="FW106" s="282"/>
      <c r="FX106" s="282"/>
      <c r="FY106" s="282"/>
      <c r="FZ106" s="282"/>
      <c r="GA106" s="282"/>
      <c r="GB106" s="282"/>
      <c r="GC106" s="282"/>
      <c r="GD106" s="282"/>
      <c r="GE106" s="282"/>
      <c r="GF106" s="282"/>
      <c r="GG106" s="282"/>
      <c r="GH106" s="282"/>
      <c r="GI106" s="282"/>
      <c r="GJ106" s="282"/>
      <c r="GK106" s="282"/>
      <c r="GL106" s="282"/>
      <c r="GM106" s="282"/>
      <c r="GN106" s="282"/>
      <c r="GO106" s="282"/>
      <c r="GP106" s="282"/>
      <c r="GQ106" s="282"/>
      <c r="GR106" s="282"/>
      <c r="GS106" s="282"/>
      <c r="GT106" s="282"/>
      <c r="GU106" s="282"/>
      <c r="GV106" s="282"/>
      <c r="GW106" s="282"/>
      <c r="GX106" s="282"/>
      <c r="GY106" s="282"/>
      <c r="GZ106" s="282"/>
      <c r="HA106" s="282"/>
      <c r="HB106" s="282"/>
      <c r="HC106" s="282"/>
      <c r="HD106" s="282"/>
      <c r="HE106" s="282"/>
      <c r="HF106" s="282"/>
      <c r="HG106" s="282"/>
      <c r="HH106" s="282"/>
      <c r="HI106" s="282"/>
      <c r="HJ106" s="282"/>
      <c r="HK106" s="282"/>
      <c r="HL106" s="282"/>
      <c r="HM106" s="282"/>
      <c r="HN106" s="282"/>
      <c r="HO106" s="282"/>
      <c r="HP106" s="282"/>
      <c r="HQ106" s="282"/>
      <c r="HR106" s="282"/>
      <c r="HS106" s="282"/>
    </row>
    <row r="107" spans="1:227" s="278" customFormat="1" x14ac:dyDescent="0.4">
      <c r="A107" s="282"/>
      <c r="B107" s="311"/>
      <c r="C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c r="AL107" s="282"/>
      <c r="AM107" s="282"/>
      <c r="AN107" s="282"/>
      <c r="AO107" s="282"/>
      <c r="AP107" s="282"/>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c r="CA107" s="282"/>
      <c r="CB107" s="282"/>
      <c r="CC107" s="282"/>
      <c r="CD107" s="282"/>
      <c r="CE107" s="282"/>
      <c r="CF107" s="282"/>
      <c r="CG107" s="282"/>
      <c r="CH107" s="282"/>
      <c r="CI107" s="282"/>
      <c r="CJ107" s="282"/>
      <c r="CK107" s="282"/>
      <c r="CL107" s="282"/>
      <c r="CM107" s="282"/>
      <c r="CN107" s="282"/>
      <c r="CO107" s="282"/>
      <c r="CP107" s="282"/>
      <c r="CQ107" s="282"/>
      <c r="CR107" s="282"/>
      <c r="CS107" s="282"/>
      <c r="CT107" s="282"/>
      <c r="CU107" s="282"/>
      <c r="CV107" s="282"/>
      <c r="CW107" s="282"/>
      <c r="CX107" s="282"/>
      <c r="CY107" s="282"/>
      <c r="CZ107" s="282"/>
      <c r="DA107" s="282"/>
      <c r="DB107" s="282"/>
      <c r="DC107" s="282"/>
      <c r="DD107" s="282"/>
      <c r="DE107" s="282"/>
      <c r="DF107" s="282"/>
      <c r="DG107" s="282"/>
      <c r="DH107" s="282"/>
      <c r="DI107" s="282"/>
      <c r="DJ107" s="282"/>
      <c r="DK107" s="282"/>
      <c r="DL107" s="282"/>
      <c r="DM107" s="282"/>
      <c r="DN107" s="282"/>
      <c r="DO107" s="282"/>
      <c r="DP107" s="282"/>
      <c r="DQ107" s="282"/>
      <c r="DR107" s="282"/>
      <c r="DS107" s="282"/>
      <c r="DT107" s="282"/>
      <c r="DU107" s="282"/>
      <c r="DV107" s="282"/>
      <c r="DW107" s="282"/>
      <c r="DX107" s="282"/>
      <c r="DY107" s="282"/>
      <c r="DZ107" s="282"/>
      <c r="EA107" s="282"/>
      <c r="EB107" s="282"/>
      <c r="EC107" s="282"/>
      <c r="ED107" s="282"/>
      <c r="EE107" s="282"/>
      <c r="EF107" s="282"/>
      <c r="EG107" s="282"/>
      <c r="EH107" s="282"/>
      <c r="EI107" s="282"/>
      <c r="EJ107" s="282"/>
      <c r="EK107" s="282"/>
      <c r="EL107" s="282"/>
      <c r="EM107" s="282"/>
      <c r="EN107" s="282"/>
      <c r="EO107" s="282"/>
      <c r="EP107" s="282"/>
      <c r="EQ107" s="282"/>
      <c r="ER107" s="282"/>
      <c r="ES107" s="282"/>
      <c r="ET107" s="282"/>
      <c r="EU107" s="282"/>
      <c r="EV107" s="282"/>
      <c r="EW107" s="282"/>
      <c r="EX107" s="282"/>
      <c r="EY107" s="282"/>
      <c r="EZ107" s="282"/>
      <c r="FA107" s="282"/>
      <c r="FB107" s="282"/>
      <c r="FC107" s="282"/>
      <c r="FD107" s="282"/>
      <c r="FE107" s="282"/>
      <c r="FF107" s="282"/>
      <c r="FG107" s="282"/>
      <c r="FH107" s="282"/>
      <c r="FI107" s="282"/>
      <c r="FJ107" s="282"/>
      <c r="FK107" s="282"/>
      <c r="FL107" s="282"/>
      <c r="FM107" s="282"/>
      <c r="FN107" s="282"/>
      <c r="FO107" s="282"/>
      <c r="FP107" s="282"/>
      <c r="FQ107" s="282"/>
      <c r="FR107" s="282"/>
      <c r="FS107" s="282"/>
      <c r="FT107" s="282"/>
      <c r="FU107" s="282"/>
      <c r="FV107" s="282"/>
      <c r="FW107" s="282"/>
      <c r="FX107" s="282"/>
      <c r="FY107" s="282"/>
      <c r="FZ107" s="282"/>
      <c r="GA107" s="282"/>
      <c r="GB107" s="282"/>
      <c r="GC107" s="282"/>
      <c r="GD107" s="282"/>
      <c r="GE107" s="282"/>
      <c r="GF107" s="282"/>
      <c r="GG107" s="282"/>
      <c r="GH107" s="282"/>
      <c r="GI107" s="282"/>
      <c r="GJ107" s="282"/>
      <c r="GK107" s="282"/>
      <c r="GL107" s="282"/>
      <c r="GM107" s="282"/>
      <c r="GN107" s="282"/>
      <c r="GO107" s="282"/>
      <c r="GP107" s="282"/>
      <c r="GQ107" s="282"/>
      <c r="GR107" s="282"/>
      <c r="GS107" s="282"/>
      <c r="GT107" s="282"/>
      <c r="GU107" s="282"/>
      <c r="GV107" s="282"/>
      <c r="GW107" s="282"/>
      <c r="GX107" s="282"/>
      <c r="GY107" s="282"/>
      <c r="GZ107" s="282"/>
      <c r="HA107" s="282"/>
      <c r="HB107" s="282"/>
      <c r="HC107" s="282"/>
      <c r="HD107" s="282"/>
      <c r="HE107" s="282"/>
      <c r="HF107" s="282"/>
      <c r="HG107" s="282"/>
      <c r="HH107" s="282"/>
      <c r="HI107" s="282"/>
      <c r="HJ107" s="282"/>
      <c r="HK107" s="282"/>
      <c r="HL107" s="282"/>
      <c r="HM107" s="282"/>
      <c r="HN107" s="282"/>
      <c r="HO107" s="282"/>
      <c r="HP107" s="282"/>
      <c r="HQ107" s="282"/>
      <c r="HR107" s="282"/>
      <c r="HS107" s="282"/>
    </row>
    <row r="108" spans="1:227" s="278" customFormat="1" x14ac:dyDescent="0.4">
      <c r="A108" s="282"/>
      <c r="B108" s="311"/>
      <c r="C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c r="CA108" s="282"/>
      <c r="CB108" s="282"/>
      <c r="CC108" s="282"/>
      <c r="CD108" s="282"/>
      <c r="CE108" s="282"/>
      <c r="CF108" s="282"/>
      <c r="CG108" s="282"/>
      <c r="CH108" s="282"/>
      <c r="CI108" s="282"/>
      <c r="CJ108" s="282"/>
      <c r="CK108" s="282"/>
      <c r="CL108" s="282"/>
      <c r="CM108" s="282"/>
      <c r="CN108" s="282"/>
      <c r="CO108" s="282"/>
      <c r="CP108" s="282"/>
      <c r="CQ108" s="282"/>
      <c r="CR108" s="282"/>
      <c r="CS108" s="282"/>
      <c r="CT108" s="282"/>
      <c r="CU108" s="282"/>
      <c r="CV108" s="282"/>
      <c r="CW108" s="282"/>
      <c r="CX108" s="282"/>
      <c r="CY108" s="282"/>
      <c r="CZ108" s="282"/>
      <c r="DA108" s="282"/>
      <c r="DB108" s="282"/>
      <c r="DC108" s="282"/>
      <c r="DD108" s="282"/>
      <c r="DE108" s="282"/>
      <c r="DF108" s="282"/>
      <c r="DG108" s="282"/>
      <c r="DH108" s="282"/>
      <c r="DI108" s="282"/>
      <c r="DJ108" s="282"/>
      <c r="DK108" s="282"/>
      <c r="DL108" s="282"/>
      <c r="DM108" s="282"/>
      <c r="DN108" s="282"/>
      <c r="DO108" s="282"/>
      <c r="DP108" s="282"/>
      <c r="DQ108" s="282"/>
      <c r="DR108" s="282"/>
      <c r="DS108" s="282"/>
      <c r="DT108" s="282"/>
      <c r="DU108" s="282"/>
      <c r="DV108" s="282"/>
      <c r="DW108" s="282"/>
      <c r="DX108" s="282"/>
      <c r="DY108" s="282"/>
      <c r="DZ108" s="282"/>
      <c r="EA108" s="282"/>
      <c r="EB108" s="282"/>
      <c r="EC108" s="282"/>
      <c r="ED108" s="282"/>
      <c r="EE108" s="282"/>
      <c r="EF108" s="282"/>
      <c r="EG108" s="282"/>
      <c r="EH108" s="282"/>
      <c r="EI108" s="282"/>
      <c r="EJ108" s="282"/>
      <c r="EK108" s="282"/>
      <c r="EL108" s="282"/>
      <c r="EM108" s="282"/>
      <c r="EN108" s="282"/>
      <c r="EO108" s="282"/>
      <c r="EP108" s="282"/>
      <c r="EQ108" s="282"/>
      <c r="ER108" s="282"/>
      <c r="ES108" s="282"/>
      <c r="ET108" s="282"/>
      <c r="EU108" s="282"/>
      <c r="EV108" s="282"/>
      <c r="EW108" s="282"/>
      <c r="EX108" s="282"/>
      <c r="EY108" s="282"/>
      <c r="EZ108" s="282"/>
      <c r="FA108" s="282"/>
      <c r="FB108" s="282"/>
      <c r="FC108" s="282"/>
      <c r="FD108" s="282"/>
      <c r="FE108" s="282"/>
      <c r="FF108" s="282"/>
      <c r="FG108" s="282"/>
      <c r="FH108" s="282"/>
      <c r="FI108" s="282"/>
      <c r="FJ108" s="282"/>
      <c r="FK108" s="282"/>
      <c r="FL108" s="282"/>
      <c r="FM108" s="282"/>
      <c r="FN108" s="282"/>
      <c r="FO108" s="282"/>
      <c r="FP108" s="282"/>
      <c r="FQ108" s="282"/>
      <c r="FR108" s="282"/>
      <c r="FS108" s="282"/>
      <c r="FT108" s="282"/>
      <c r="FU108" s="282"/>
      <c r="FV108" s="282"/>
      <c r="FW108" s="282"/>
      <c r="FX108" s="282"/>
      <c r="FY108" s="282"/>
      <c r="FZ108" s="282"/>
      <c r="GA108" s="282"/>
      <c r="GB108" s="282"/>
      <c r="GC108" s="282"/>
      <c r="GD108" s="282"/>
      <c r="GE108" s="282"/>
      <c r="GF108" s="282"/>
      <c r="GG108" s="282"/>
      <c r="GH108" s="282"/>
      <c r="GI108" s="282"/>
      <c r="GJ108" s="282"/>
      <c r="GK108" s="282"/>
      <c r="GL108" s="282"/>
      <c r="GM108" s="282"/>
      <c r="GN108" s="282"/>
      <c r="GO108" s="282"/>
      <c r="GP108" s="282"/>
      <c r="GQ108" s="282"/>
      <c r="GR108" s="282"/>
      <c r="GS108" s="282"/>
      <c r="GT108" s="282"/>
      <c r="GU108" s="282"/>
      <c r="GV108" s="282"/>
      <c r="GW108" s="282"/>
      <c r="GX108" s="282"/>
      <c r="GY108" s="282"/>
      <c r="GZ108" s="282"/>
      <c r="HA108" s="282"/>
      <c r="HB108" s="282"/>
      <c r="HC108" s="282"/>
      <c r="HD108" s="282"/>
      <c r="HE108" s="282"/>
      <c r="HF108" s="282"/>
      <c r="HG108" s="282"/>
      <c r="HH108" s="282"/>
      <c r="HI108" s="282"/>
      <c r="HJ108" s="282"/>
      <c r="HK108" s="282"/>
      <c r="HL108" s="282"/>
      <c r="HM108" s="282"/>
      <c r="HN108" s="282"/>
      <c r="HO108" s="282"/>
      <c r="HP108" s="282"/>
      <c r="HQ108" s="282"/>
      <c r="HR108" s="282"/>
      <c r="HS108" s="282"/>
    </row>
    <row r="109" spans="1:227" s="278" customFormat="1" x14ac:dyDescent="0.4">
      <c r="A109" s="282"/>
      <c r="B109" s="311"/>
      <c r="C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282"/>
      <c r="BN109" s="282"/>
      <c r="BO109" s="282"/>
      <c r="BP109" s="282"/>
      <c r="BQ109" s="282"/>
      <c r="BR109" s="282"/>
      <c r="BS109" s="282"/>
      <c r="BT109" s="282"/>
      <c r="BU109" s="282"/>
      <c r="BV109" s="282"/>
      <c r="BW109" s="282"/>
      <c r="BX109" s="282"/>
      <c r="BY109" s="282"/>
      <c r="BZ109" s="282"/>
      <c r="CA109" s="282"/>
      <c r="CB109" s="282"/>
      <c r="CC109" s="282"/>
      <c r="CD109" s="282"/>
      <c r="CE109" s="282"/>
      <c r="CF109" s="282"/>
      <c r="CG109" s="282"/>
      <c r="CH109" s="282"/>
      <c r="CI109" s="282"/>
      <c r="CJ109" s="282"/>
      <c r="CK109" s="282"/>
      <c r="CL109" s="282"/>
      <c r="CM109" s="282"/>
      <c r="CN109" s="282"/>
      <c r="CO109" s="282"/>
      <c r="CP109" s="282"/>
      <c r="CQ109" s="282"/>
      <c r="CR109" s="282"/>
      <c r="CS109" s="282"/>
      <c r="CT109" s="282"/>
      <c r="CU109" s="282"/>
      <c r="CV109" s="282"/>
      <c r="CW109" s="282"/>
      <c r="CX109" s="282"/>
      <c r="CY109" s="282"/>
      <c r="CZ109" s="282"/>
      <c r="DA109" s="282"/>
      <c r="DB109" s="282"/>
      <c r="DC109" s="282"/>
      <c r="DD109" s="282"/>
      <c r="DE109" s="282"/>
      <c r="DF109" s="282"/>
      <c r="DG109" s="282"/>
      <c r="DH109" s="282"/>
      <c r="DI109" s="282"/>
      <c r="DJ109" s="282"/>
      <c r="DK109" s="282"/>
      <c r="DL109" s="282"/>
      <c r="DM109" s="282"/>
      <c r="DN109" s="282"/>
      <c r="DO109" s="282"/>
      <c r="DP109" s="282"/>
      <c r="DQ109" s="282"/>
      <c r="DR109" s="282"/>
      <c r="DS109" s="282"/>
      <c r="DT109" s="282"/>
      <c r="DU109" s="282"/>
      <c r="DV109" s="282"/>
      <c r="DW109" s="282"/>
      <c r="DX109" s="282"/>
      <c r="DY109" s="282"/>
      <c r="DZ109" s="282"/>
      <c r="EA109" s="282"/>
      <c r="EB109" s="282"/>
      <c r="EC109" s="282"/>
      <c r="ED109" s="282"/>
      <c r="EE109" s="282"/>
      <c r="EF109" s="282"/>
      <c r="EG109" s="282"/>
      <c r="EH109" s="282"/>
      <c r="EI109" s="282"/>
      <c r="EJ109" s="282"/>
      <c r="EK109" s="282"/>
      <c r="EL109" s="282"/>
      <c r="EM109" s="282"/>
      <c r="EN109" s="282"/>
      <c r="EO109" s="282"/>
      <c r="EP109" s="282"/>
      <c r="EQ109" s="282"/>
      <c r="ER109" s="282"/>
      <c r="ES109" s="282"/>
      <c r="ET109" s="282"/>
      <c r="EU109" s="282"/>
      <c r="EV109" s="282"/>
      <c r="EW109" s="282"/>
      <c r="EX109" s="282"/>
      <c r="EY109" s="282"/>
      <c r="EZ109" s="282"/>
      <c r="FA109" s="282"/>
      <c r="FB109" s="282"/>
      <c r="FC109" s="282"/>
      <c r="FD109" s="282"/>
      <c r="FE109" s="282"/>
      <c r="FF109" s="282"/>
      <c r="FG109" s="282"/>
      <c r="FH109" s="282"/>
      <c r="FI109" s="282"/>
      <c r="FJ109" s="282"/>
      <c r="FK109" s="282"/>
      <c r="FL109" s="282"/>
      <c r="FM109" s="282"/>
      <c r="FN109" s="282"/>
      <c r="FO109" s="282"/>
      <c r="FP109" s="282"/>
      <c r="FQ109" s="282"/>
      <c r="FR109" s="282"/>
      <c r="FS109" s="282"/>
      <c r="FT109" s="282"/>
      <c r="FU109" s="282"/>
      <c r="FV109" s="282"/>
      <c r="FW109" s="282"/>
      <c r="FX109" s="282"/>
      <c r="FY109" s="282"/>
      <c r="FZ109" s="282"/>
      <c r="GA109" s="282"/>
      <c r="GB109" s="282"/>
      <c r="GC109" s="282"/>
      <c r="GD109" s="282"/>
      <c r="GE109" s="282"/>
      <c r="GF109" s="282"/>
      <c r="GG109" s="282"/>
      <c r="GH109" s="282"/>
      <c r="GI109" s="282"/>
      <c r="GJ109" s="282"/>
      <c r="GK109" s="282"/>
      <c r="GL109" s="282"/>
      <c r="GM109" s="282"/>
      <c r="GN109" s="282"/>
      <c r="GO109" s="282"/>
      <c r="GP109" s="282"/>
      <c r="GQ109" s="282"/>
      <c r="GR109" s="282"/>
      <c r="GS109" s="282"/>
      <c r="GT109" s="282"/>
      <c r="GU109" s="282"/>
      <c r="GV109" s="282"/>
      <c r="GW109" s="282"/>
      <c r="GX109" s="282"/>
      <c r="GY109" s="282"/>
      <c r="GZ109" s="282"/>
      <c r="HA109" s="282"/>
      <c r="HB109" s="282"/>
      <c r="HC109" s="282"/>
      <c r="HD109" s="282"/>
      <c r="HE109" s="282"/>
      <c r="HF109" s="282"/>
      <c r="HG109" s="282"/>
      <c r="HH109" s="282"/>
      <c r="HI109" s="282"/>
      <c r="HJ109" s="282"/>
      <c r="HK109" s="282"/>
      <c r="HL109" s="282"/>
      <c r="HM109" s="282"/>
      <c r="HN109" s="282"/>
      <c r="HO109" s="282"/>
      <c r="HP109" s="282"/>
      <c r="HQ109" s="282"/>
      <c r="HR109" s="282"/>
      <c r="HS109" s="282"/>
    </row>
    <row r="110" spans="1:227" s="278" customFormat="1" x14ac:dyDescent="0.4">
      <c r="A110" s="282"/>
      <c r="B110" s="311"/>
      <c r="C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c r="AL110" s="282"/>
      <c r="AM110" s="282"/>
      <c r="AN110" s="282"/>
      <c r="AO110" s="282"/>
      <c r="AP110" s="282"/>
      <c r="AQ110" s="282"/>
      <c r="AR110" s="282"/>
      <c r="AS110" s="282"/>
      <c r="AT110" s="282"/>
      <c r="AU110" s="282"/>
      <c r="AV110" s="282"/>
      <c r="AW110" s="282"/>
      <c r="AX110" s="282"/>
      <c r="AY110" s="282"/>
      <c r="AZ110" s="282"/>
      <c r="BA110" s="282"/>
      <c r="BB110" s="282"/>
      <c r="BC110" s="282"/>
      <c r="BD110" s="282"/>
      <c r="BE110" s="282"/>
      <c r="BF110" s="282"/>
      <c r="BG110" s="282"/>
      <c r="BH110" s="282"/>
      <c r="BI110" s="282"/>
      <c r="BJ110" s="282"/>
      <c r="BK110" s="282"/>
      <c r="BL110" s="282"/>
      <c r="BM110" s="282"/>
      <c r="BN110" s="282"/>
      <c r="BO110" s="282"/>
      <c r="BP110" s="282"/>
      <c r="BQ110" s="282"/>
      <c r="BR110" s="282"/>
      <c r="BS110" s="282"/>
      <c r="BT110" s="282"/>
      <c r="BU110" s="282"/>
      <c r="BV110" s="282"/>
      <c r="BW110" s="282"/>
      <c r="BX110" s="282"/>
      <c r="BY110" s="282"/>
      <c r="BZ110" s="282"/>
      <c r="CA110" s="282"/>
      <c r="CB110" s="282"/>
      <c r="CC110" s="282"/>
      <c r="CD110" s="282"/>
      <c r="CE110" s="282"/>
      <c r="CF110" s="282"/>
      <c r="CG110" s="282"/>
      <c r="CH110" s="282"/>
      <c r="CI110" s="282"/>
      <c r="CJ110" s="282"/>
      <c r="CK110" s="282"/>
      <c r="CL110" s="282"/>
      <c r="CM110" s="282"/>
      <c r="CN110" s="282"/>
      <c r="CO110" s="282"/>
      <c r="CP110" s="282"/>
      <c r="CQ110" s="282"/>
      <c r="CR110" s="282"/>
      <c r="CS110" s="282"/>
      <c r="CT110" s="282"/>
      <c r="CU110" s="282"/>
      <c r="CV110" s="282"/>
      <c r="CW110" s="282"/>
      <c r="CX110" s="282"/>
      <c r="CY110" s="282"/>
      <c r="CZ110" s="282"/>
      <c r="DA110" s="282"/>
      <c r="DB110" s="282"/>
      <c r="DC110" s="282"/>
      <c r="DD110" s="282"/>
      <c r="DE110" s="282"/>
      <c r="DF110" s="282"/>
      <c r="DG110" s="282"/>
      <c r="DH110" s="282"/>
      <c r="DI110" s="282"/>
      <c r="DJ110" s="282"/>
      <c r="DK110" s="282"/>
      <c r="DL110" s="282"/>
      <c r="DM110" s="282"/>
      <c r="DN110" s="282"/>
      <c r="DO110" s="282"/>
      <c r="DP110" s="282"/>
      <c r="DQ110" s="282"/>
      <c r="DR110" s="282"/>
      <c r="DS110" s="282"/>
      <c r="DT110" s="282"/>
      <c r="DU110" s="282"/>
      <c r="DV110" s="282"/>
      <c r="DW110" s="282"/>
      <c r="DX110" s="282"/>
      <c r="DY110" s="282"/>
      <c r="DZ110" s="282"/>
      <c r="EA110" s="282"/>
      <c r="EB110" s="282"/>
      <c r="EC110" s="282"/>
      <c r="ED110" s="282"/>
      <c r="EE110" s="282"/>
      <c r="EF110" s="282"/>
      <c r="EG110" s="282"/>
      <c r="EH110" s="282"/>
      <c r="EI110" s="282"/>
      <c r="EJ110" s="282"/>
      <c r="EK110" s="282"/>
      <c r="EL110" s="282"/>
      <c r="EM110" s="282"/>
      <c r="EN110" s="282"/>
      <c r="EO110" s="282"/>
      <c r="EP110" s="282"/>
      <c r="EQ110" s="282"/>
      <c r="ER110" s="282"/>
      <c r="ES110" s="282"/>
      <c r="ET110" s="282"/>
      <c r="EU110" s="282"/>
      <c r="EV110" s="282"/>
      <c r="EW110" s="282"/>
      <c r="EX110" s="282"/>
      <c r="EY110" s="282"/>
      <c r="EZ110" s="282"/>
      <c r="FA110" s="282"/>
      <c r="FB110" s="282"/>
      <c r="FC110" s="282"/>
      <c r="FD110" s="282"/>
      <c r="FE110" s="282"/>
      <c r="FF110" s="282"/>
      <c r="FG110" s="282"/>
      <c r="FH110" s="282"/>
      <c r="FI110" s="282"/>
      <c r="FJ110" s="282"/>
      <c r="FK110" s="282"/>
      <c r="FL110" s="282"/>
      <c r="FM110" s="282"/>
      <c r="FN110" s="282"/>
      <c r="FO110" s="282"/>
      <c r="FP110" s="282"/>
      <c r="FQ110" s="282"/>
      <c r="FR110" s="282"/>
      <c r="FS110" s="282"/>
      <c r="FT110" s="282"/>
      <c r="FU110" s="282"/>
      <c r="FV110" s="282"/>
      <c r="FW110" s="282"/>
      <c r="FX110" s="282"/>
      <c r="FY110" s="282"/>
      <c r="FZ110" s="282"/>
      <c r="GA110" s="282"/>
      <c r="GB110" s="282"/>
      <c r="GC110" s="282"/>
      <c r="GD110" s="282"/>
      <c r="GE110" s="282"/>
      <c r="GF110" s="282"/>
      <c r="GG110" s="282"/>
      <c r="GH110" s="282"/>
      <c r="GI110" s="282"/>
      <c r="GJ110" s="282"/>
      <c r="GK110" s="282"/>
      <c r="GL110" s="282"/>
      <c r="GM110" s="282"/>
      <c r="GN110" s="282"/>
      <c r="GO110" s="282"/>
      <c r="GP110" s="282"/>
      <c r="GQ110" s="282"/>
      <c r="GR110" s="282"/>
      <c r="GS110" s="282"/>
      <c r="GT110" s="282"/>
      <c r="GU110" s="282"/>
      <c r="GV110" s="282"/>
      <c r="GW110" s="282"/>
      <c r="GX110" s="282"/>
      <c r="GY110" s="282"/>
      <c r="GZ110" s="282"/>
      <c r="HA110" s="282"/>
      <c r="HB110" s="282"/>
      <c r="HC110" s="282"/>
      <c r="HD110" s="282"/>
      <c r="HE110" s="282"/>
      <c r="HF110" s="282"/>
      <c r="HG110" s="282"/>
      <c r="HH110" s="282"/>
      <c r="HI110" s="282"/>
      <c r="HJ110" s="282"/>
      <c r="HK110" s="282"/>
      <c r="HL110" s="282"/>
      <c r="HM110" s="282"/>
      <c r="HN110" s="282"/>
      <c r="HO110" s="282"/>
      <c r="HP110" s="282"/>
      <c r="HQ110" s="282"/>
      <c r="HR110" s="282"/>
      <c r="HS110" s="282"/>
    </row>
    <row r="111" spans="1:227" s="278" customFormat="1" x14ac:dyDescent="0.4">
      <c r="A111" s="282"/>
      <c r="B111" s="372"/>
      <c r="C111" s="37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c r="AL111" s="282"/>
      <c r="AM111" s="282"/>
      <c r="AN111" s="282"/>
      <c r="AO111" s="282"/>
      <c r="AP111" s="282"/>
      <c r="AQ111" s="282"/>
      <c r="AR111" s="282"/>
      <c r="AS111" s="282"/>
      <c r="AT111" s="282"/>
      <c r="AU111" s="282"/>
      <c r="AV111" s="282"/>
      <c r="AW111" s="282"/>
      <c r="AX111" s="282"/>
      <c r="AY111" s="282"/>
      <c r="AZ111" s="282"/>
      <c r="BA111" s="282"/>
      <c r="BB111" s="282"/>
      <c r="BC111" s="282"/>
      <c r="BD111" s="282"/>
      <c r="BE111" s="282"/>
      <c r="BF111" s="282"/>
      <c r="BG111" s="282"/>
      <c r="BH111" s="282"/>
      <c r="BI111" s="282"/>
      <c r="BJ111" s="282"/>
      <c r="BK111" s="282"/>
      <c r="BL111" s="282"/>
      <c r="BM111" s="282"/>
      <c r="BN111" s="282"/>
      <c r="BO111" s="282"/>
      <c r="BP111" s="282"/>
      <c r="BQ111" s="282"/>
      <c r="BR111" s="282"/>
      <c r="BS111" s="282"/>
      <c r="BT111" s="282"/>
      <c r="BU111" s="282"/>
      <c r="BV111" s="282"/>
      <c r="BW111" s="282"/>
      <c r="BX111" s="282"/>
      <c r="BY111" s="282"/>
      <c r="BZ111" s="282"/>
      <c r="CA111" s="282"/>
      <c r="CB111" s="282"/>
      <c r="CC111" s="282"/>
      <c r="CD111" s="282"/>
      <c r="CE111" s="282"/>
      <c r="CF111" s="282"/>
      <c r="CG111" s="282"/>
      <c r="CH111" s="282"/>
      <c r="CI111" s="282"/>
      <c r="CJ111" s="282"/>
      <c r="CK111" s="282"/>
      <c r="CL111" s="282"/>
      <c r="CM111" s="282"/>
      <c r="CN111" s="282"/>
      <c r="CO111" s="282"/>
      <c r="CP111" s="282"/>
      <c r="CQ111" s="282"/>
      <c r="CR111" s="282"/>
      <c r="CS111" s="282"/>
      <c r="CT111" s="282"/>
      <c r="CU111" s="282"/>
      <c r="CV111" s="282"/>
      <c r="CW111" s="282"/>
      <c r="CX111" s="282"/>
      <c r="CY111" s="282"/>
      <c r="CZ111" s="282"/>
      <c r="DA111" s="282"/>
      <c r="DB111" s="282"/>
      <c r="DC111" s="282"/>
      <c r="DD111" s="282"/>
      <c r="DE111" s="282"/>
      <c r="DF111" s="282"/>
      <c r="DG111" s="282"/>
      <c r="DH111" s="282"/>
      <c r="DI111" s="282"/>
      <c r="DJ111" s="282"/>
      <c r="DK111" s="282"/>
      <c r="DL111" s="282"/>
      <c r="DM111" s="282"/>
      <c r="DN111" s="282"/>
      <c r="DO111" s="282"/>
      <c r="DP111" s="282"/>
      <c r="DQ111" s="282"/>
      <c r="DR111" s="282"/>
      <c r="DS111" s="282"/>
      <c r="DT111" s="282"/>
      <c r="DU111" s="282"/>
      <c r="DV111" s="282"/>
      <c r="DW111" s="282"/>
      <c r="DX111" s="282"/>
      <c r="DY111" s="282"/>
      <c r="DZ111" s="282"/>
      <c r="EA111" s="282"/>
      <c r="EB111" s="282"/>
      <c r="EC111" s="282"/>
      <c r="ED111" s="282"/>
      <c r="EE111" s="282"/>
      <c r="EF111" s="282"/>
      <c r="EG111" s="282"/>
      <c r="EH111" s="282"/>
      <c r="EI111" s="282"/>
      <c r="EJ111" s="282"/>
      <c r="EK111" s="282"/>
      <c r="EL111" s="282"/>
      <c r="EM111" s="282"/>
      <c r="EN111" s="282"/>
      <c r="EO111" s="282"/>
      <c r="EP111" s="282"/>
      <c r="EQ111" s="282"/>
      <c r="ER111" s="282"/>
      <c r="ES111" s="282"/>
      <c r="ET111" s="282"/>
      <c r="EU111" s="282"/>
      <c r="EV111" s="282"/>
      <c r="EW111" s="282"/>
      <c r="EX111" s="282"/>
      <c r="EY111" s="282"/>
      <c r="EZ111" s="282"/>
      <c r="FA111" s="282"/>
      <c r="FB111" s="282"/>
      <c r="FC111" s="282"/>
      <c r="FD111" s="282"/>
      <c r="FE111" s="282"/>
      <c r="FF111" s="282"/>
      <c r="FG111" s="282"/>
      <c r="FH111" s="282"/>
      <c r="FI111" s="282"/>
      <c r="FJ111" s="282"/>
      <c r="FK111" s="282"/>
      <c r="FL111" s="282"/>
      <c r="FM111" s="282"/>
      <c r="FN111" s="282"/>
      <c r="FO111" s="282"/>
      <c r="FP111" s="282"/>
      <c r="FQ111" s="282"/>
      <c r="FR111" s="282"/>
      <c r="FS111" s="282"/>
      <c r="FT111" s="282"/>
      <c r="FU111" s="282"/>
      <c r="FV111" s="282"/>
      <c r="FW111" s="282"/>
      <c r="FX111" s="282"/>
      <c r="FY111" s="282"/>
      <c r="FZ111" s="282"/>
      <c r="GA111" s="282"/>
      <c r="GB111" s="282"/>
      <c r="GC111" s="282"/>
      <c r="GD111" s="282"/>
      <c r="GE111" s="282"/>
      <c r="GF111" s="282"/>
      <c r="GG111" s="282"/>
      <c r="GH111" s="282"/>
      <c r="GI111" s="282"/>
      <c r="GJ111" s="282"/>
      <c r="GK111" s="282"/>
      <c r="GL111" s="282"/>
      <c r="GM111" s="282"/>
      <c r="GN111" s="282"/>
      <c r="GO111" s="282"/>
      <c r="GP111" s="282"/>
      <c r="GQ111" s="282"/>
      <c r="GR111" s="282"/>
      <c r="GS111" s="282"/>
      <c r="GT111" s="282"/>
      <c r="GU111" s="282"/>
      <c r="GV111" s="282"/>
      <c r="GW111" s="282"/>
      <c r="GX111" s="282"/>
      <c r="GY111" s="282"/>
      <c r="GZ111" s="282"/>
      <c r="HA111" s="282"/>
      <c r="HB111" s="282"/>
      <c r="HC111" s="282"/>
      <c r="HD111" s="282"/>
      <c r="HE111" s="282"/>
      <c r="HF111" s="282"/>
      <c r="HG111" s="282"/>
      <c r="HH111" s="282"/>
      <c r="HI111" s="282"/>
      <c r="HJ111" s="282"/>
      <c r="HK111" s="282"/>
      <c r="HL111" s="282"/>
      <c r="HM111" s="282"/>
      <c r="HN111" s="282"/>
      <c r="HO111" s="282"/>
      <c r="HP111" s="282"/>
      <c r="HQ111" s="282"/>
      <c r="HR111" s="282"/>
      <c r="HS111" s="282"/>
    </row>
    <row r="112" spans="1:227" s="278" customFormat="1" x14ac:dyDescent="0.4">
      <c r="A112" s="282"/>
      <c r="B112" s="311"/>
      <c r="C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c r="AL112" s="282"/>
      <c r="AM112" s="282"/>
      <c r="AN112" s="282"/>
      <c r="AO112" s="282"/>
      <c r="AP112" s="282"/>
      <c r="AQ112" s="282"/>
      <c r="AR112" s="282"/>
      <c r="AS112" s="282"/>
      <c r="AT112" s="282"/>
      <c r="AU112" s="282"/>
      <c r="AV112" s="282"/>
      <c r="AW112" s="282"/>
      <c r="AX112" s="282"/>
      <c r="AY112" s="282"/>
      <c r="AZ112" s="282"/>
      <c r="BA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282"/>
      <c r="BV112" s="282"/>
      <c r="BW112" s="282"/>
      <c r="BX112" s="282"/>
      <c r="BY112" s="282"/>
      <c r="BZ112" s="282"/>
      <c r="CA112" s="282"/>
      <c r="CB112" s="282"/>
      <c r="CC112" s="282"/>
      <c r="CD112" s="282"/>
      <c r="CE112" s="282"/>
      <c r="CF112" s="282"/>
      <c r="CG112" s="282"/>
      <c r="CH112" s="282"/>
      <c r="CI112" s="282"/>
      <c r="CJ112" s="282"/>
      <c r="CK112" s="282"/>
      <c r="CL112" s="282"/>
      <c r="CM112" s="282"/>
      <c r="CN112" s="282"/>
      <c r="CO112" s="282"/>
      <c r="CP112" s="282"/>
      <c r="CQ112" s="282"/>
      <c r="CR112" s="282"/>
      <c r="CS112" s="282"/>
      <c r="CT112" s="282"/>
      <c r="CU112" s="282"/>
      <c r="CV112" s="282"/>
      <c r="CW112" s="282"/>
      <c r="CX112" s="282"/>
      <c r="CY112" s="282"/>
      <c r="CZ112" s="282"/>
      <c r="DA112" s="282"/>
      <c r="DB112" s="282"/>
      <c r="DC112" s="282"/>
      <c r="DD112" s="282"/>
      <c r="DE112" s="282"/>
      <c r="DF112" s="282"/>
      <c r="DG112" s="282"/>
      <c r="DH112" s="282"/>
      <c r="DI112" s="282"/>
      <c r="DJ112" s="282"/>
      <c r="DK112" s="282"/>
      <c r="DL112" s="282"/>
      <c r="DM112" s="282"/>
      <c r="DN112" s="282"/>
      <c r="DO112" s="282"/>
      <c r="DP112" s="282"/>
      <c r="DQ112" s="282"/>
      <c r="DR112" s="282"/>
      <c r="DS112" s="282"/>
      <c r="DT112" s="282"/>
      <c r="DU112" s="282"/>
      <c r="DV112" s="282"/>
      <c r="DW112" s="282"/>
      <c r="DX112" s="282"/>
      <c r="DY112" s="282"/>
      <c r="DZ112" s="282"/>
      <c r="EA112" s="282"/>
      <c r="EB112" s="282"/>
      <c r="EC112" s="282"/>
      <c r="ED112" s="282"/>
      <c r="EE112" s="282"/>
      <c r="EF112" s="282"/>
      <c r="EG112" s="282"/>
      <c r="EH112" s="282"/>
      <c r="EI112" s="282"/>
      <c r="EJ112" s="282"/>
      <c r="EK112" s="282"/>
      <c r="EL112" s="282"/>
      <c r="EM112" s="282"/>
      <c r="EN112" s="282"/>
      <c r="EO112" s="282"/>
      <c r="EP112" s="282"/>
      <c r="EQ112" s="282"/>
      <c r="ER112" s="282"/>
      <c r="ES112" s="282"/>
      <c r="ET112" s="282"/>
      <c r="EU112" s="282"/>
      <c r="EV112" s="282"/>
      <c r="EW112" s="282"/>
      <c r="EX112" s="282"/>
      <c r="EY112" s="282"/>
      <c r="EZ112" s="282"/>
      <c r="FA112" s="282"/>
      <c r="FB112" s="282"/>
      <c r="FC112" s="282"/>
      <c r="FD112" s="282"/>
      <c r="FE112" s="282"/>
      <c r="FF112" s="282"/>
      <c r="FG112" s="282"/>
      <c r="FH112" s="282"/>
      <c r="FI112" s="282"/>
      <c r="FJ112" s="282"/>
      <c r="FK112" s="282"/>
      <c r="FL112" s="282"/>
      <c r="FM112" s="282"/>
      <c r="FN112" s="282"/>
      <c r="FO112" s="282"/>
      <c r="FP112" s="282"/>
      <c r="FQ112" s="282"/>
      <c r="FR112" s="282"/>
      <c r="FS112" s="282"/>
      <c r="FT112" s="282"/>
      <c r="FU112" s="282"/>
      <c r="FV112" s="282"/>
      <c r="FW112" s="282"/>
      <c r="FX112" s="282"/>
      <c r="FY112" s="282"/>
      <c r="FZ112" s="282"/>
      <c r="GA112" s="282"/>
      <c r="GB112" s="282"/>
      <c r="GC112" s="282"/>
      <c r="GD112" s="282"/>
      <c r="GE112" s="282"/>
      <c r="GF112" s="282"/>
      <c r="GG112" s="282"/>
      <c r="GH112" s="282"/>
      <c r="GI112" s="282"/>
      <c r="GJ112" s="282"/>
      <c r="GK112" s="282"/>
      <c r="GL112" s="282"/>
      <c r="GM112" s="282"/>
      <c r="GN112" s="282"/>
      <c r="GO112" s="282"/>
      <c r="GP112" s="282"/>
      <c r="GQ112" s="282"/>
      <c r="GR112" s="282"/>
      <c r="GS112" s="282"/>
      <c r="GT112" s="282"/>
      <c r="GU112" s="282"/>
      <c r="GV112" s="282"/>
      <c r="GW112" s="282"/>
      <c r="GX112" s="282"/>
      <c r="GY112" s="282"/>
      <c r="GZ112" s="282"/>
      <c r="HA112" s="282"/>
      <c r="HB112" s="282"/>
      <c r="HC112" s="282"/>
      <c r="HD112" s="282"/>
      <c r="HE112" s="282"/>
      <c r="HF112" s="282"/>
      <c r="HG112" s="282"/>
      <c r="HH112" s="282"/>
      <c r="HI112" s="282"/>
      <c r="HJ112" s="282"/>
      <c r="HK112" s="282"/>
      <c r="HL112" s="282"/>
      <c r="HM112" s="282"/>
      <c r="HN112" s="282"/>
      <c r="HO112" s="282"/>
      <c r="HP112" s="282"/>
      <c r="HQ112" s="282"/>
      <c r="HR112" s="282"/>
      <c r="HS112" s="282"/>
    </row>
    <row r="113" spans="1:227" s="278" customFormat="1" x14ac:dyDescent="0.4">
      <c r="A113" s="282"/>
      <c r="B113" s="311"/>
      <c r="C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c r="CA113" s="282"/>
      <c r="CB113" s="282"/>
      <c r="CC113" s="282"/>
      <c r="CD113" s="282"/>
      <c r="CE113" s="282"/>
      <c r="CF113" s="282"/>
      <c r="CG113" s="282"/>
      <c r="CH113" s="282"/>
      <c r="CI113" s="282"/>
      <c r="CJ113" s="282"/>
      <c r="CK113" s="282"/>
      <c r="CL113" s="282"/>
      <c r="CM113" s="282"/>
      <c r="CN113" s="282"/>
      <c r="CO113" s="282"/>
      <c r="CP113" s="282"/>
      <c r="CQ113" s="282"/>
      <c r="CR113" s="282"/>
      <c r="CS113" s="282"/>
      <c r="CT113" s="282"/>
      <c r="CU113" s="282"/>
      <c r="CV113" s="282"/>
      <c r="CW113" s="282"/>
      <c r="CX113" s="282"/>
      <c r="CY113" s="282"/>
      <c r="CZ113" s="282"/>
      <c r="DA113" s="282"/>
      <c r="DB113" s="282"/>
      <c r="DC113" s="282"/>
      <c r="DD113" s="282"/>
      <c r="DE113" s="282"/>
      <c r="DF113" s="282"/>
      <c r="DG113" s="282"/>
      <c r="DH113" s="282"/>
      <c r="DI113" s="282"/>
      <c r="DJ113" s="282"/>
      <c r="DK113" s="282"/>
      <c r="DL113" s="282"/>
      <c r="DM113" s="282"/>
      <c r="DN113" s="282"/>
      <c r="DO113" s="282"/>
      <c r="DP113" s="282"/>
      <c r="DQ113" s="282"/>
      <c r="DR113" s="282"/>
      <c r="DS113" s="282"/>
      <c r="DT113" s="282"/>
      <c r="DU113" s="282"/>
      <c r="DV113" s="282"/>
      <c r="DW113" s="282"/>
      <c r="DX113" s="282"/>
      <c r="DY113" s="282"/>
      <c r="DZ113" s="282"/>
      <c r="EA113" s="282"/>
      <c r="EB113" s="282"/>
      <c r="EC113" s="282"/>
      <c r="ED113" s="282"/>
      <c r="EE113" s="282"/>
      <c r="EF113" s="282"/>
      <c r="EG113" s="282"/>
      <c r="EH113" s="282"/>
      <c r="EI113" s="282"/>
      <c r="EJ113" s="282"/>
      <c r="EK113" s="282"/>
      <c r="EL113" s="282"/>
      <c r="EM113" s="282"/>
      <c r="EN113" s="282"/>
      <c r="EO113" s="282"/>
      <c r="EP113" s="282"/>
      <c r="EQ113" s="282"/>
      <c r="ER113" s="282"/>
      <c r="ES113" s="282"/>
      <c r="ET113" s="282"/>
      <c r="EU113" s="282"/>
      <c r="EV113" s="282"/>
      <c r="EW113" s="282"/>
      <c r="EX113" s="282"/>
      <c r="EY113" s="282"/>
      <c r="EZ113" s="282"/>
      <c r="FA113" s="282"/>
      <c r="FB113" s="282"/>
      <c r="FC113" s="282"/>
      <c r="FD113" s="282"/>
      <c r="FE113" s="282"/>
      <c r="FF113" s="282"/>
      <c r="FG113" s="282"/>
      <c r="FH113" s="282"/>
      <c r="FI113" s="282"/>
      <c r="FJ113" s="282"/>
      <c r="FK113" s="282"/>
      <c r="FL113" s="282"/>
      <c r="FM113" s="282"/>
      <c r="FN113" s="282"/>
      <c r="FO113" s="282"/>
      <c r="FP113" s="282"/>
      <c r="FQ113" s="282"/>
      <c r="FR113" s="282"/>
      <c r="FS113" s="282"/>
      <c r="FT113" s="282"/>
      <c r="FU113" s="282"/>
      <c r="FV113" s="282"/>
      <c r="FW113" s="282"/>
      <c r="FX113" s="282"/>
      <c r="FY113" s="282"/>
      <c r="FZ113" s="282"/>
      <c r="GA113" s="282"/>
      <c r="GB113" s="282"/>
      <c r="GC113" s="282"/>
      <c r="GD113" s="282"/>
      <c r="GE113" s="282"/>
      <c r="GF113" s="282"/>
      <c r="GG113" s="282"/>
      <c r="GH113" s="282"/>
      <c r="GI113" s="282"/>
      <c r="GJ113" s="282"/>
      <c r="GK113" s="282"/>
      <c r="GL113" s="282"/>
      <c r="GM113" s="282"/>
      <c r="GN113" s="282"/>
      <c r="GO113" s="282"/>
      <c r="GP113" s="282"/>
      <c r="GQ113" s="282"/>
      <c r="GR113" s="282"/>
      <c r="GS113" s="282"/>
      <c r="GT113" s="282"/>
      <c r="GU113" s="282"/>
      <c r="GV113" s="282"/>
      <c r="GW113" s="282"/>
      <c r="GX113" s="282"/>
      <c r="GY113" s="282"/>
      <c r="GZ113" s="282"/>
      <c r="HA113" s="282"/>
      <c r="HB113" s="282"/>
      <c r="HC113" s="282"/>
      <c r="HD113" s="282"/>
      <c r="HE113" s="282"/>
      <c r="HF113" s="282"/>
      <c r="HG113" s="282"/>
      <c r="HH113" s="282"/>
      <c r="HI113" s="282"/>
      <c r="HJ113" s="282"/>
      <c r="HK113" s="282"/>
      <c r="HL113" s="282"/>
      <c r="HM113" s="282"/>
      <c r="HN113" s="282"/>
      <c r="HO113" s="282"/>
      <c r="HP113" s="282"/>
      <c r="HQ113" s="282"/>
      <c r="HR113" s="282"/>
      <c r="HS113" s="282"/>
    </row>
    <row r="114" spans="1:227" s="278" customFormat="1" x14ac:dyDescent="0.4">
      <c r="A114" s="282"/>
      <c r="B114" s="311"/>
      <c r="C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c r="AL114" s="282"/>
      <c r="AM114" s="282"/>
      <c r="AN114" s="282"/>
      <c r="AO114" s="282"/>
      <c r="AP114" s="282"/>
      <c r="AQ114" s="282"/>
      <c r="AR114" s="282"/>
      <c r="AS114" s="282"/>
      <c r="AT114" s="282"/>
      <c r="AU114" s="282"/>
      <c r="AV114" s="282"/>
      <c r="AW114" s="282"/>
      <c r="AX114" s="282"/>
      <c r="AY114" s="282"/>
      <c r="AZ114" s="282"/>
      <c r="BA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c r="CA114" s="282"/>
      <c r="CB114" s="282"/>
      <c r="CC114" s="282"/>
      <c r="CD114" s="282"/>
      <c r="CE114" s="282"/>
      <c r="CF114" s="282"/>
      <c r="CG114" s="282"/>
      <c r="CH114" s="282"/>
      <c r="CI114" s="282"/>
      <c r="CJ114" s="282"/>
      <c r="CK114" s="282"/>
      <c r="CL114" s="282"/>
      <c r="CM114" s="282"/>
      <c r="CN114" s="282"/>
      <c r="CO114" s="282"/>
      <c r="CP114" s="282"/>
      <c r="CQ114" s="282"/>
      <c r="CR114" s="282"/>
      <c r="CS114" s="282"/>
      <c r="CT114" s="282"/>
      <c r="CU114" s="282"/>
      <c r="CV114" s="282"/>
      <c r="CW114" s="282"/>
      <c r="CX114" s="282"/>
      <c r="CY114" s="282"/>
      <c r="CZ114" s="282"/>
      <c r="DA114" s="282"/>
      <c r="DB114" s="282"/>
      <c r="DC114" s="282"/>
      <c r="DD114" s="282"/>
      <c r="DE114" s="282"/>
      <c r="DF114" s="282"/>
      <c r="DG114" s="282"/>
      <c r="DH114" s="282"/>
      <c r="DI114" s="282"/>
      <c r="DJ114" s="282"/>
      <c r="DK114" s="282"/>
      <c r="DL114" s="282"/>
      <c r="DM114" s="282"/>
      <c r="DN114" s="282"/>
      <c r="DO114" s="282"/>
      <c r="DP114" s="282"/>
      <c r="DQ114" s="282"/>
      <c r="DR114" s="282"/>
      <c r="DS114" s="282"/>
      <c r="DT114" s="282"/>
      <c r="DU114" s="282"/>
      <c r="DV114" s="282"/>
      <c r="DW114" s="282"/>
      <c r="DX114" s="282"/>
      <c r="DY114" s="282"/>
      <c r="DZ114" s="282"/>
      <c r="EA114" s="282"/>
      <c r="EB114" s="282"/>
      <c r="EC114" s="282"/>
      <c r="ED114" s="282"/>
      <c r="EE114" s="282"/>
      <c r="EF114" s="282"/>
      <c r="EG114" s="282"/>
      <c r="EH114" s="282"/>
      <c r="EI114" s="282"/>
      <c r="EJ114" s="282"/>
      <c r="EK114" s="282"/>
      <c r="EL114" s="282"/>
      <c r="EM114" s="282"/>
      <c r="EN114" s="282"/>
      <c r="EO114" s="282"/>
      <c r="EP114" s="282"/>
      <c r="EQ114" s="282"/>
      <c r="ER114" s="282"/>
      <c r="ES114" s="282"/>
      <c r="ET114" s="282"/>
      <c r="EU114" s="282"/>
      <c r="EV114" s="282"/>
      <c r="EW114" s="282"/>
      <c r="EX114" s="282"/>
      <c r="EY114" s="282"/>
      <c r="EZ114" s="282"/>
      <c r="FA114" s="282"/>
      <c r="FB114" s="282"/>
      <c r="FC114" s="282"/>
      <c r="FD114" s="282"/>
      <c r="FE114" s="282"/>
      <c r="FF114" s="282"/>
      <c r="FG114" s="282"/>
      <c r="FH114" s="282"/>
      <c r="FI114" s="282"/>
      <c r="FJ114" s="282"/>
      <c r="FK114" s="282"/>
      <c r="FL114" s="282"/>
      <c r="FM114" s="282"/>
      <c r="FN114" s="282"/>
      <c r="FO114" s="282"/>
      <c r="FP114" s="282"/>
      <c r="FQ114" s="282"/>
      <c r="FR114" s="282"/>
      <c r="FS114" s="282"/>
      <c r="FT114" s="282"/>
      <c r="FU114" s="282"/>
      <c r="FV114" s="282"/>
      <c r="FW114" s="282"/>
      <c r="FX114" s="282"/>
      <c r="FY114" s="282"/>
      <c r="FZ114" s="282"/>
      <c r="GA114" s="282"/>
      <c r="GB114" s="282"/>
      <c r="GC114" s="282"/>
      <c r="GD114" s="282"/>
      <c r="GE114" s="282"/>
      <c r="GF114" s="282"/>
      <c r="GG114" s="282"/>
      <c r="GH114" s="282"/>
      <c r="GI114" s="282"/>
      <c r="GJ114" s="282"/>
      <c r="GK114" s="282"/>
      <c r="GL114" s="282"/>
      <c r="GM114" s="282"/>
      <c r="GN114" s="282"/>
      <c r="GO114" s="282"/>
      <c r="GP114" s="282"/>
      <c r="GQ114" s="282"/>
      <c r="GR114" s="282"/>
      <c r="GS114" s="282"/>
      <c r="GT114" s="282"/>
      <c r="GU114" s="282"/>
      <c r="GV114" s="282"/>
      <c r="GW114" s="282"/>
      <c r="GX114" s="282"/>
      <c r="GY114" s="282"/>
      <c r="GZ114" s="282"/>
      <c r="HA114" s="282"/>
      <c r="HB114" s="282"/>
      <c r="HC114" s="282"/>
      <c r="HD114" s="282"/>
      <c r="HE114" s="282"/>
      <c r="HF114" s="282"/>
      <c r="HG114" s="282"/>
      <c r="HH114" s="282"/>
      <c r="HI114" s="282"/>
      <c r="HJ114" s="282"/>
      <c r="HK114" s="282"/>
      <c r="HL114" s="282"/>
      <c r="HM114" s="282"/>
      <c r="HN114" s="282"/>
      <c r="HO114" s="282"/>
      <c r="HP114" s="282"/>
      <c r="HQ114" s="282"/>
      <c r="HR114" s="282"/>
      <c r="HS114" s="282"/>
    </row>
  </sheetData>
  <mergeCells count="1">
    <mergeCell ref="B111:C111"/>
  </mergeCells>
  <pageMargins left="0" right="0" top="0" bottom="0" header="0" footer="0"/>
  <pageSetup scale="4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'2531'!B2</f>
        <v>50</v>
      </c>
      <c r="W2" s="380" t="s">
        <v>4</v>
      </c>
      <c r="X2" s="381"/>
      <c r="Y2" s="382"/>
      <c r="Z2" s="382"/>
      <c r="AA2" s="382"/>
      <c r="AB2" s="382"/>
      <c r="AC2" s="382"/>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'2531'!G7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IF('2531'!K$84=1,'2531'!G10,0)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IF('2531'!K$84=1,'2531'!G11,0)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IF('2531'!K$84=1,'2531'!G12,0)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IF('2531'!K$84=1,'2531'!G13,0)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IF('2531'!K$84=1,'2531'!G14,0)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IF('2531'!K$84=1,'2531'!G15,0)</f>
        <v>0</v>
      </c>
      <c r="Y15" s="392"/>
      <c r="Z15" s="403">
        <v>1</v>
      </c>
      <c r="AA15" s="403"/>
      <c r="AB15" s="57">
        <f t="shared" si="0"/>
        <v>0</v>
      </c>
      <c r="AC15" s="62">
        <f t="shared" si="1"/>
        <v>0</v>
      </c>
      <c r="AD15" s="9"/>
    </row>
    <row r="16" spans="1:30" ht="16.2" x14ac:dyDescent="0.35">
      <c r="A16" s="1" t="s">
        <v>41</v>
      </c>
      <c r="B16" s="14" t="s">
        <v>42</v>
      </c>
      <c r="C16" s="14"/>
      <c r="D16" s="14">
        <v>2</v>
      </c>
      <c r="E16" s="14">
        <v>3.04</v>
      </c>
      <c r="F16" s="14">
        <v>0</v>
      </c>
      <c r="G16" s="49">
        <f t="shared" si="2"/>
        <v>5.04</v>
      </c>
      <c r="H16" s="50"/>
      <c r="I16" s="59">
        <v>3.548</v>
      </c>
      <c r="J16" s="59"/>
      <c r="K16" s="52">
        <f t="shared" si="3"/>
        <v>17.881900000000002</v>
      </c>
      <c r="L16" s="53">
        <f t="shared" si="4"/>
        <v>74186</v>
      </c>
      <c r="N16" s="54">
        <v>5101</v>
      </c>
      <c r="O16" s="1">
        <v>254</v>
      </c>
      <c r="Q16" s="56"/>
      <c r="V16" s="402" t="s">
        <v>42</v>
      </c>
      <c r="W16" s="402"/>
      <c r="X16" s="392">
        <f>IF('2531'!K$84=1,'2531'!G16,0)</f>
        <v>5.04</v>
      </c>
      <c r="Y16" s="392"/>
      <c r="Z16" s="403">
        <v>1</v>
      </c>
      <c r="AA16" s="403"/>
      <c r="AB16" s="57">
        <f t="shared" si="0"/>
        <v>5.04</v>
      </c>
      <c r="AC16" s="58">
        <f t="shared" si="1"/>
        <v>20909</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IF('2531'!K$84=1,'2531'!G17,0)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IF('2531'!K$84=1,'2531'!G18,0)</f>
        <v>0</v>
      </c>
      <c r="Y18" s="392"/>
      <c r="Z18" s="403">
        <v>1</v>
      </c>
      <c r="AA18" s="403"/>
      <c r="AB18" s="57">
        <f t="shared" si="0"/>
        <v>0</v>
      </c>
      <c r="AC18" s="58">
        <f t="shared" si="1"/>
        <v>0</v>
      </c>
      <c r="AD18" s="9"/>
    </row>
    <row r="19" spans="1:30" ht="15" customHeight="1" x14ac:dyDescent="0.35">
      <c r="A19" s="1" t="s">
        <v>47</v>
      </c>
      <c r="B19" s="14" t="s">
        <v>48</v>
      </c>
      <c r="C19" s="14"/>
      <c r="D19" s="14">
        <v>8</v>
      </c>
      <c r="E19" s="14">
        <v>8.5</v>
      </c>
      <c r="F19" s="14">
        <v>0</v>
      </c>
      <c r="G19" s="49">
        <f t="shared" si="2"/>
        <v>16.5</v>
      </c>
      <c r="H19" s="50"/>
      <c r="I19" s="59">
        <v>5.1040000000000001</v>
      </c>
      <c r="J19" s="59"/>
      <c r="K19" s="52">
        <f t="shared" si="3"/>
        <v>84.215999999999994</v>
      </c>
      <c r="L19" s="53">
        <f t="shared" si="4"/>
        <v>349386</v>
      </c>
      <c r="N19" s="54">
        <v>5101</v>
      </c>
      <c r="O19" s="1">
        <v>255</v>
      </c>
      <c r="Q19" s="56"/>
      <c r="V19" s="402" t="s">
        <v>48</v>
      </c>
      <c r="W19" s="402"/>
      <c r="X19" s="392">
        <f>IF('2531'!K$84=1,'2531'!G19,0)</f>
        <v>16.5</v>
      </c>
      <c r="Y19" s="392"/>
      <c r="Z19" s="403">
        <v>1</v>
      </c>
      <c r="AA19" s="403"/>
      <c r="AB19" s="57">
        <f t="shared" si="0"/>
        <v>16.5</v>
      </c>
      <c r="AC19" s="58">
        <f t="shared" si="1"/>
        <v>68453</v>
      </c>
      <c r="AD19" s="9"/>
    </row>
    <row r="20" spans="1:30" ht="15" customHeight="1" x14ac:dyDescent="0.35">
      <c r="A20" s="1" t="s">
        <v>49</v>
      </c>
      <c r="B20" s="14" t="s">
        <v>50</v>
      </c>
      <c r="C20" s="14"/>
      <c r="D20" s="14">
        <v>2.5</v>
      </c>
      <c r="E20" s="14">
        <v>2.5</v>
      </c>
      <c r="F20" s="14">
        <v>0</v>
      </c>
      <c r="G20" s="49">
        <f t="shared" si="2"/>
        <v>5</v>
      </c>
      <c r="H20" s="50"/>
      <c r="I20" s="59">
        <f>I19</f>
        <v>5.1040000000000001</v>
      </c>
      <c r="J20" s="59"/>
      <c r="K20" s="52">
        <f t="shared" si="3"/>
        <v>25.52</v>
      </c>
      <c r="L20" s="53">
        <f t="shared" si="4"/>
        <v>105875</v>
      </c>
      <c r="N20" s="54">
        <v>5102</v>
      </c>
      <c r="O20" s="56">
        <v>255</v>
      </c>
      <c r="Q20" s="56"/>
      <c r="V20" s="402" t="s">
        <v>50</v>
      </c>
      <c r="W20" s="402"/>
      <c r="X20" s="392">
        <f>IF('2531'!K$84=1,'2531'!G20,0)</f>
        <v>5</v>
      </c>
      <c r="Y20" s="392"/>
      <c r="Z20" s="403">
        <v>1</v>
      </c>
      <c r="AA20" s="403"/>
      <c r="AB20" s="57">
        <f t="shared" si="0"/>
        <v>5</v>
      </c>
      <c r="AC20" s="58">
        <f t="shared" si="1"/>
        <v>20743</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IF('2531'!K$84=1,'2531'!G21,0)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IF('2531'!K$84=1,'2531'!G22,0)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IF('2531'!K$84=1,'2531'!G23,0)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IF('2531'!K$84=1,'2531'!G24,0)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IF('2531'!K$84=1,'2531'!G25,0)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12.5</v>
      </c>
      <c r="E26" s="64">
        <f t="shared" si="5"/>
        <v>14.04</v>
      </c>
      <c r="F26" s="64"/>
      <c r="G26" s="64">
        <f>SUM(G10:G25)</f>
        <v>26.54</v>
      </c>
      <c r="H26" s="65"/>
      <c r="I26" s="65"/>
      <c r="J26" s="66"/>
      <c r="K26" s="67">
        <f>SUM(K10:K25)</f>
        <v>127.61789999999999</v>
      </c>
      <c r="L26" s="68">
        <f>SUM(L10:L25)</f>
        <v>529447</v>
      </c>
      <c r="N26" s="56"/>
      <c r="O26" s="69"/>
      <c r="P26" s="56"/>
      <c r="Q26" s="56"/>
      <c r="V26" s="404" t="s">
        <v>61</v>
      </c>
      <c r="W26" s="404"/>
      <c r="X26" s="405">
        <f>SUM(X10:X25)</f>
        <v>26.54</v>
      </c>
      <c r="Y26" s="405"/>
      <c r="Z26" s="406"/>
      <c r="AA26" s="407"/>
      <c r="AB26" s="70">
        <f>SUM(AB10:AB25)</f>
        <v>26.54</v>
      </c>
      <c r="AC26" s="71">
        <f>SUM(AC10:AC25)</f>
        <v>110105</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5069</v>
      </c>
      <c r="N40" s="104"/>
      <c r="O40" s="104"/>
      <c r="P40" s="104"/>
      <c r="Q40" s="104"/>
      <c r="V40" s="422" t="s">
        <v>85</v>
      </c>
      <c r="W40" s="422"/>
      <c r="X40" s="423">
        <f>+G40</f>
        <v>181379.8</v>
      </c>
      <c r="Y40" s="423"/>
      <c r="Z40" s="423"/>
      <c r="AA40" s="423"/>
      <c r="AB40" s="58">
        <f>ROUND(X39/X40,0)</f>
        <v>191</v>
      </c>
      <c r="AC40" s="58">
        <f>ROUND(AB40*$X$26,0)</f>
        <v>5069</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534516</v>
      </c>
      <c r="O44" s="1"/>
      <c r="V44" s="433" t="s">
        <v>89</v>
      </c>
      <c r="W44" s="433"/>
      <c r="X44" s="433"/>
      <c r="Y44" s="433"/>
      <c r="Z44" s="433"/>
      <c r="AA44" s="433"/>
      <c r="AB44" s="433"/>
      <c r="AC44" s="112">
        <f>SUM(AC26,AC37,AC40)</f>
        <v>115174</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102.0979</v>
      </c>
      <c r="D47" s="123"/>
      <c r="E47" s="123"/>
      <c r="F47" s="123"/>
      <c r="G47" s="124">
        <f>K7</f>
        <v>1.0289999999999999</v>
      </c>
      <c r="H47" s="124"/>
      <c r="I47" s="125">
        <v>1325.01</v>
      </c>
      <c r="J47" s="126" t="s">
        <v>96</v>
      </c>
      <c r="K47" s="127">
        <f>ROUND(C47*G47*I47,0)</f>
        <v>139204</v>
      </c>
      <c r="L47" s="128"/>
      <c r="O47" s="1"/>
      <c r="V47" s="107" t="s">
        <v>95</v>
      </c>
      <c r="W47" s="129">
        <f>AB10+AB11+AB16+AB19+AB22</f>
        <v>21.54</v>
      </c>
      <c r="X47" s="426">
        <f>AB7</f>
        <v>1.0289999999999999</v>
      </c>
      <c r="Y47" s="426"/>
      <c r="Z47" s="130">
        <f>+I47</f>
        <v>1325.01</v>
      </c>
      <c r="AA47" s="131" t="s">
        <v>96</v>
      </c>
      <c r="AB47" s="132">
        <f>ROUND(W47*X47*Z47,0)</f>
        <v>29368</v>
      </c>
      <c r="AC47" s="133"/>
      <c r="AD47" s="9"/>
    </row>
    <row r="48" spans="1:30" ht="18" customHeight="1" x14ac:dyDescent="0.3">
      <c r="B48" s="134" t="s">
        <v>73</v>
      </c>
      <c r="C48" s="123">
        <f>K12+K13+K17+K20+K23</f>
        <v>25.52</v>
      </c>
      <c r="D48" s="123"/>
      <c r="E48" s="123"/>
      <c r="F48" s="123"/>
      <c r="G48" s="124">
        <f>K7</f>
        <v>1.0289999999999999</v>
      </c>
      <c r="H48" s="124"/>
      <c r="I48" s="125">
        <v>903.8</v>
      </c>
      <c r="J48" s="126" t="s">
        <v>96</v>
      </c>
      <c r="K48" s="127">
        <f>ROUND(C48*G48*I48,0)</f>
        <v>23734</v>
      </c>
      <c r="L48" s="63"/>
      <c r="O48" s="1"/>
      <c r="V48" s="135" t="s">
        <v>73</v>
      </c>
      <c r="W48" s="129">
        <f>AB12+AB13+AB17+AB20+AB23</f>
        <v>5</v>
      </c>
      <c r="X48" s="426">
        <f>AB7</f>
        <v>1.0289999999999999</v>
      </c>
      <c r="Y48" s="426"/>
      <c r="Z48" s="130">
        <f>+I48</f>
        <v>903.8</v>
      </c>
      <c r="AA48" s="131" t="s">
        <v>96</v>
      </c>
      <c r="AB48" s="132">
        <f>ROUND(W48*X48*Z48,0)</f>
        <v>4650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127.61789999999999</v>
      </c>
      <c r="D50" s="146"/>
      <c r="E50" s="147"/>
      <c r="F50" s="147"/>
      <c r="G50" s="148" t="s">
        <v>98</v>
      </c>
      <c r="H50" s="148"/>
      <c r="I50" s="148"/>
      <c r="J50" s="148"/>
      <c r="K50" s="148"/>
      <c r="L50" s="53">
        <f>IF(B2=75,0,K49+K48+K47)</f>
        <v>162938</v>
      </c>
      <c r="N50" s="3"/>
      <c r="O50" s="1"/>
      <c r="V50" s="149" t="s">
        <v>97</v>
      </c>
      <c r="W50" s="150">
        <f>SUM(W47:W49)</f>
        <v>26.54</v>
      </c>
      <c r="X50" s="427" t="s">
        <v>98</v>
      </c>
      <c r="Y50" s="428"/>
      <c r="Z50" s="428"/>
      <c r="AA50" s="428"/>
      <c r="AB50" s="428"/>
      <c r="AC50" s="58">
        <f>IF(V2=75,0,AB49+AB48+AB47)</f>
        <v>34018</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127.61789999999999</v>
      </c>
      <c r="H53" s="59" t="s">
        <v>102</v>
      </c>
      <c r="I53" s="59"/>
      <c r="J53" s="155">
        <v>198050.23</v>
      </c>
      <c r="K53" s="155"/>
      <c r="L53" s="155"/>
      <c r="N53" s="3"/>
      <c r="O53" s="1"/>
      <c r="V53" s="436" t="s">
        <v>101</v>
      </c>
      <c r="W53" s="436"/>
      <c r="X53" s="156">
        <f>AB26</f>
        <v>26.54</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6.4400000000000004E-4</v>
      </c>
      <c r="L54" s="157"/>
      <c r="N54" s="69"/>
      <c r="O54" s="1"/>
      <c r="V54" s="436" t="s">
        <v>103</v>
      </c>
      <c r="W54" s="436"/>
      <c r="X54" s="436"/>
      <c r="Y54" s="436"/>
      <c r="Z54" s="436"/>
      <c r="AA54" s="436"/>
      <c r="AB54" s="439">
        <f>ROUND(X53/AA53,6)</f>
        <v>1.34E-4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26.54</v>
      </c>
      <c r="H56" s="59" t="s">
        <v>106</v>
      </c>
      <c r="I56" s="59"/>
      <c r="J56" s="155">
        <f>+G40</f>
        <v>181379.8</v>
      </c>
      <c r="K56" s="155"/>
      <c r="L56" s="155"/>
      <c r="O56" s="1"/>
      <c r="V56" s="436" t="s">
        <v>105</v>
      </c>
      <c r="W56" s="436"/>
      <c r="X56" s="159">
        <f>X26</f>
        <v>26.54</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1.46E-4</v>
      </c>
      <c r="L57" s="157"/>
      <c r="O57" s="1"/>
      <c r="V57" s="436" t="s">
        <v>107</v>
      </c>
      <c r="W57" s="436"/>
      <c r="X57" s="436"/>
      <c r="Y57" s="436"/>
      <c r="Z57" s="436"/>
      <c r="AA57" s="436"/>
      <c r="AB57" s="439">
        <f>ROUND(X56/AA56,6)</f>
        <v>1.46E-4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1.34E-4</v>
      </c>
      <c r="AC58" s="58">
        <f>ROUND(Y58*AB58,0)</f>
        <v>567</v>
      </c>
      <c r="AD58" s="9"/>
    </row>
    <row r="59" spans="2:30" x14ac:dyDescent="0.3">
      <c r="B59" s="63" t="s">
        <v>109</v>
      </c>
      <c r="C59" s="63"/>
      <c r="D59" s="63"/>
      <c r="E59" s="63"/>
      <c r="F59" s="63"/>
      <c r="G59" s="63"/>
      <c r="H59" s="163" t="s">
        <v>21</v>
      </c>
      <c r="I59" s="127">
        <v>4230917</v>
      </c>
      <c r="J59" s="164" t="s">
        <v>110</v>
      </c>
      <c r="K59" s="165">
        <f>K54</f>
        <v>6.4400000000000004E-4</v>
      </c>
      <c r="L59" s="53">
        <f>ROUND(I59*K59,0)</f>
        <v>2725</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1.34E-4</v>
      </c>
      <c r="AC66" s="58">
        <f>ROUND(Y66*AB66,0)</f>
        <v>13896</v>
      </c>
      <c r="AD66" s="9"/>
    </row>
    <row r="67" spans="1:30" ht="20.25" customHeight="1" x14ac:dyDescent="0.3">
      <c r="B67" s="14" t="s">
        <v>118</v>
      </c>
      <c r="C67" s="14"/>
      <c r="D67" s="14"/>
      <c r="E67" s="14"/>
      <c r="F67" s="14"/>
      <c r="H67" s="163" t="s">
        <v>23</v>
      </c>
      <c r="I67" s="127">
        <v>103698709</v>
      </c>
      <c r="J67" s="164" t="s">
        <v>110</v>
      </c>
      <c r="K67" s="165">
        <f>K54</f>
        <v>6.4400000000000004E-4</v>
      </c>
      <c r="L67" s="53">
        <f>ROUND(I67*K67,0)</f>
        <v>66782</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1.46E-4</v>
      </c>
      <c r="AC68" s="58">
        <f>ROUND(Y68*AB68,0)</f>
        <v>0</v>
      </c>
      <c r="AD68" s="9"/>
    </row>
    <row r="69" spans="1:30" ht="15" customHeight="1" x14ac:dyDescent="0.3">
      <c r="B69" s="169" t="s">
        <v>120</v>
      </c>
      <c r="C69" s="14"/>
      <c r="D69" s="14"/>
      <c r="E69" s="14"/>
      <c r="F69" s="14"/>
      <c r="H69" s="163" t="s">
        <v>22</v>
      </c>
      <c r="I69" s="127">
        <v>0</v>
      </c>
      <c r="J69" s="164" t="s">
        <v>110</v>
      </c>
      <c r="K69" s="165">
        <f>K57</f>
        <v>1.46E-4</v>
      </c>
      <c r="L69" s="53">
        <f>ROUND(I69*K69,0)</f>
        <v>0</v>
      </c>
      <c r="O69" s="1"/>
      <c r="V69" s="430" t="s">
        <v>121</v>
      </c>
      <c r="W69" s="430"/>
      <c r="X69" s="430"/>
      <c r="Y69" s="447">
        <f>+I70</f>
        <v>0</v>
      </c>
      <c r="Z69" s="447"/>
      <c r="AA69" s="161" t="s">
        <v>110</v>
      </c>
      <c r="AB69" s="162">
        <f>AB54</f>
        <v>1.34E-4</v>
      </c>
      <c r="AC69" s="58">
        <f>ROUND(Y69*AB69,0)</f>
        <v>0</v>
      </c>
      <c r="AD69" s="9"/>
    </row>
    <row r="70" spans="1:30" ht="20.25" customHeight="1" x14ac:dyDescent="0.3">
      <c r="B70" s="14" t="s">
        <v>121</v>
      </c>
      <c r="C70" s="14"/>
      <c r="D70" s="14"/>
      <c r="E70" s="14"/>
      <c r="F70" s="14"/>
      <c r="H70" s="163" t="s">
        <v>21</v>
      </c>
      <c r="I70" s="127">
        <v>0</v>
      </c>
      <c r="J70" s="164" t="s">
        <v>110</v>
      </c>
      <c r="K70" s="165">
        <f>K54</f>
        <v>6.4400000000000004E-4</v>
      </c>
      <c r="L70" s="53">
        <f>ROUND(I70*K70,0)</f>
        <v>0</v>
      </c>
      <c r="O70" s="1"/>
      <c r="V70" s="430" t="s">
        <v>122</v>
      </c>
      <c r="W70" s="430"/>
      <c r="X70" s="430"/>
      <c r="Y70" s="444">
        <f>+I71</f>
        <v>1865769</v>
      </c>
      <c r="Z70" s="444"/>
      <c r="AA70" s="161" t="s">
        <v>110</v>
      </c>
      <c r="AB70" s="162">
        <f>AB54</f>
        <v>1.34E-4</v>
      </c>
      <c r="AC70" s="58">
        <f>ROUND(Y70*AB70,0)</f>
        <v>250</v>
      </c>
      <c r="AD70" s="9"/>
    </row>
    <row r="71" spans="1:30" ht="20.25" customHeight="1" x14ac:dyDescent="0.3">
      <c r="B71" s="14" t="s">
        <v>122</v>
      </c>
      <c r="C71" s="14"/>
      <c r="D71" s="14"/>
      <c r="E71" s="14"/>
      <c r="F71" s="14"/>
      <c r="H71" s="163" t="s">
        <v>21</v>
      </c>
      <c r="I71" s="127">
        <v>1865769</v>
      </c>
      <c r="J71" s="164" t="s">
        <v>110</v>
      </c>
      <c r="K71" s="165">
        <f>K54</f>
        <v>6.4400000000000004E-4</v>
      </c>
      <c r="L71" s="53">
        <f>ROUND(I71*K71,0)</f>
        <v>1202</v>
      </c>
      <c r="O71" s="1"/>
      <c r="V71" s="430" t="s">
        <v>123</v>
      </c>
      <c r="W71" s="430"/>
      <c r="X71" s="430"/>
      <c r="Y71" s="444">
        <f>+I72</f>
        <v>13963927</v>
      </c>
      <c r="Z71" s="444"/>
      <c r="AA71" s="161" t="s">
        <v>110</v>
      </c>
      <c r="AB71" s="162">
        <f>AB57</f>
        <v>1.46E-4</v>
      </c>
      <c r="AC71" s="58">
        <f>ROUND(Y71*AB71,0)</f>
        <v>2039</v>
      </c>
      <c r="AD71" s="9"/>
    </row>
    <row r="72" spans="1:30" ht="21" customHeight="1" x14ac:dyDescent="0.35">
      <c r="B72" s="14" t="s">
        <v>123</v>
      </c>
      <c r="C72" s="14"/>
      <c r="D72" s="14"/>
      <c r="E72" s="14"/>
      <c r="F72" s="14"/>
      <c r="H72" s="163" t="s">
        <v>22</v>
      </c>
      <c r="I72" s="127">
        <v>13963927</v>
      </c>
      <c r="J72" s="164" t="s">
        <v>110</v>
      </c>
      <c r="K72" s="165">
        <f>K57</f>
        <v>1.46E-4</v>
      </c>
      <c r="L72" s="53">
        <f>ROUND(I72*K72,0)</f>
        <v>2039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15</v>
      </c>
      <c r="AA74" s="173" t="s">
        <v>130</v>
      </c>
      <c r="AB74" s="174">
        <f>+K75</f>
        <v>361</v>
      </c>
      <c r="AC74" s="58">
        <f>ROUND(AB74*Z74,0)</f>
        <v>5415</v>
      </c>
      <c r="AD74" s="9"/>
    </row>
    <row r="75" spans="1:30" ht="19.5" customHeight="1" x14ac:dyDescent="0.3">
      <c r="A75" s="1" t="s">
        <v>131</v>
      </c>
      <c r="B75" s="175" t="s">
        <v>128</v>
      </c>
      <c r="C75" s="176" t="s">
        <v>129</v>
      </c>
      <c r="D75" s="175">
        <v>14</v>
      </c>
      <c r="E75" s="175">
        <v>16</v>
      </c>
      <c r="F75" s="175">
        <v>0</v>
      </c>
      <c r="G75" s="177">
        <f>IF($B$154&lt;8,D75,E75)</f>
        <v>16</v>
      </c>
      <c r="H75" s="178"/>
      <c r="I75" s="179">
        <f>AVERAGE(G75,D75)</f>
        <v>15</v>
      </c>
      <c r="J75" s="180" t="s">
        <v>130</v>
      </c>
      <c r="K75" s="181">
        <v>361</v>
      </c>
      <c r="L75" s="53">
        <f>ROUND(K75*I75,0)</f>
        <v>5415</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1.46E-4</v>
      </c>
      <c r="AC76" s="58">
        <f>ROUND(Y76*AB76,0)</f>
        <v>251</v>
      </c>
      <c r="AD76" s="9"/>
    </row>
    <row r="77" spans="1:30" ht="26.25" customHeight="1" x14ac:dyDescent="0.3">
      <c r="B77" s="14" t="s">
        <v>134</v>
      </c>
      <c r="C77" s="14"/>
      <c r="D77" s="14"/>
      <c r="E77" s="14"/>
      <c r="F77" s="14"/>
      <c r="H77" s="163" t="s">
        <v>25</v>
      </c>
      <c r="I77" s="186">
        <v>1716988</v>
      </c>
      <c r="J77" s="164" t="s">
        <v>110</v>
      </c>
      <c r="K77" s="165">
        <f>K57</f>
        <v>1.46E-4</v>
      </c>
      <c r="L77" s="53">
        <f>ROUND(I77*K77,0)</f>
        <v>251</v>
      </c>
      <c r="O77" s="1"/>
      <c r="V77" s="430" t="str">
        <f>+B78</f>
        <v>15.  Florida Teachers Classroom Supply Assistance Program</v>
      </c>
      <c r="W77" s="430"/>
      <c r="X77" s="430"/>
      <c r="Y77" s="440">
        <f>+I78</f>
        <v>0</v>
      </c>
      <c r="Z77" s="440"/>
      <c r="AA77" s="173" t="s">
        <v>130</v>
      </c>
      <c r="AB77" s="162">
        <f>AB54</f>
        <v>1.34E-4</v>
      </c>
      <c r="AC77" s="58">
        <f>ROUND(Y77*AB77,0)</f>
        <v>0</v>
      </c>
      <c r="AD77" s="9"/>
    </row>
    <row r="78" spans="1:30" ht="26.25" customHeight="1" x14ac:dyDescent="0.3">
      <c r="B78" s="384" t="s">
        <v>135</v>
      </c>
      <c r="C78" s="384"/>
      <c r="D78" s="384"/>
      <c r="E78" s="14"/>
      <c r="F78" s="14"/>
      <c r="H78" s="163" t="s">
        <v>136</v>
      </c>
      <c r="I78" s="187">
        <v>0</v>
      </c>
      <c r="J78" s="164" t="s">
        <v>110</v>
      </c>
      <c r="K78" s="165">
        <f>K54</f>
        <v>6.4400000000000004E-4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171610</v>
      </c>
      <c r="AD81" s="197"/>
    </row>
    <row r="82" spans="1:30" ht="22.5" customHeight="1" thickTop="1" thickBot="1" x14ac:dyDescent="0.35">
      <c r="B82" s="14" t="s">
        <v>140</v>
      </c>
      <c r="C82" s="14"/>
      <c r="D82" s="14"/>
      <c r="E82" s="14"/>
      <c r="F82" s="14"/>
      <c r="G82" s="14"/>
      <c r="H82" s="14"/>
      <c r="I82" s="14"/>
      <c r="J82" s="14"/>
      <c r="K82" s="14"/>
      <c r="L82" s="198">
        <f>SUM(L44:L81)</f>
        <v>775868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'2531'!AC81</f>
        <v>171610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171610</v>
      </c>
      <c r="L86" s="83">
        <f>IF(G26=0,0,IF(G26&gt;250,-(((250/G26)*K86)*IF(M86="H",0.02,0.05)),IF(M86="H",-0.02*K86,-0.05*K86)))</f>
        <v>-8580.5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767287.5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v>-63941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703346.5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63940.590909090912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277</v>
      </c>
      <c r="C123" s="221" t="s">
        <v>199</v>
      </c>
    </row>
    <row r="124" spans="2:3" hidden="1" x14ac:dyDescent="0.3">
      <c r="B124" s="225" t="s">
        <v>278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41808.602361111101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277</v>
      </c>
      <c r="C164" s="235" t="s">
        <v>244</v>
      </c>
      <c r="D164" s="231"/>
    </row>
    <row r="165" spans="1:4" hidden="1" x14ac:dyDescent="0.3">
      <c r="A165" s="230" t="s">
        <v>245</v>
      </c>
      <c r="B165" s="234" t="s">
        <v>278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41808.602361111101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'2641'!B2</f>
        <v>50</v>
      </c>
      <c r="W2" s="380" t="s">
        <v>4</v>
      </c>
      <c r="X2" s="381"/>
      <c r="Y2" s="382"/>
      <c r="Z2" s="382"/>
      <c r="AA2" s="382"/>
      <c r="AB2" s="382"/>
      <c r="AC2" s="382"/>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'2641'!G7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21.81</v>
      </c>
      <c r="E10" s="48">
        <v>22.73</v>
      </c>
      <c r="F10" s="48">
        <v>0</v>
      </c>
      <c r="G10" s="49">
        <f>IF($B$154&lt;8,D10*2,D10+E10)</f>
        <v>44.54</v>
      </c>
      <c r="H10" s="50"/>
      <c r="I10" s="51">
        <v>1.1259999999999999</v>
      </c>
      <c r="J10" s="51"/>
      <c r="K10" s="52">
        <f>ROUND(G10*I10,4)</f>
        <v>50.152000000000001</v>
      </c>
      <c r="L10" s="53">
        <f>ROUND(ROUND(K10*$G$7,4)*($K$7),0)</f>
        <v>208065</v>
      </c>
      <c r="N10" s="54">
        <v>5101</v>
      </c>
      <c r="O10" s="55">
        <v>101</v>
      </c>
      <c r="Q10" s="56"/>
      <c r="V10" s="391" t="s">
        <v>27</v>
      </c>
      <c r="W10" s="391"/>
      <c r="X10" s="392">
        <f>IF('2641'!K$84=1,'2641'!G10,0)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3.97</v>
      </c>
      <c r="E11" s="14">
        <v>3.5</v>
      </c>
      <c r="F11" s="14">
        <v>0</v>
      </c>
      <c r="G11" s="49">
        <f t="shared" ref="G11:G25" si="2">IF($B$154&lt;8,D11*2,D11+E11)</f>
        <v>7.4700000000000006</v>
      </c>
      <c r="H11" s="50"/>
      <c r="I11" s="59">
        <f>I10</f>
        <v>1.1259999999999999</v>
      </c>
      <c r="J11" s="59"/>
      <c r="K11" s="52">
        <f t="shared" ref="K11:K25" si="3">ROUND(G11*I11,4)</f>
        <v>8.4111999999999991</v>
      </c>
      <c r="L11" s="53">
        <f t="shared" ref="L11:L25" si="4">ROUND(ROUND(K11*$G$7,4)*($K$7),0)</f>
        <v>34895</v>
      </c>
      <c r="M11" s="1" t="str">
        <f>IF(ROUND(G11,2)=ROUND(SUM(G28:G30),2)," ","CHECK 2. PK-3 Lines Below")</f>
        <v xml:space="preserve"> </v>
      </c>
      <c r="N11" s="54">
        <v>5101</v>
      </c>
      <c r="O11" s="60" t="s">
        <v>30</v>
      </c>
      <c r="Q11" s="56"/>
      <c r="V11" s="402" t="s">
        <v>29</v>
      </c>
      <c r="W11" s="402"/>
      <c r="X11" s="392">
        <f>IF('2641'!K$84=1,'2641'!G11,0)</f>
        <v>0</v>
      </c>
      <c r="Y11" s="392"/>
      <c r="Z11" s="403">
        <v>1</v>
      </c>
      <c r="AA11" s="403"/>
      <c r="AB11" s="57">
        <f t="shared" si="0"/>
        <v>0</v>
      </c>
      <c r="AC11" s="58">
        <f t="shared" si="1"/>
        <v>0</v>
      </c>
      <c r="AD11" s="9"/>
    </row>
    <row r="12" spans="1:30" x14ac:dyDescent="0.3">
      <c r="A12" s="1" t="s">
        <v>31</v>
      </c>
      <c r="B12" s="14" t="s">
        <v>32</v>
      </c>
      <c r="C12" s="14"/>
      <c r="D12" s="14">
        <v>12.04</v>
      </c>
      <c r="E12" s="14">
        <v>14.04</v>
      </c>
      <c r="F12" s="14">
        <v>0</v>
      </c>
      <c r="G12" s="49">
        <f t="shared" si="2"/>
        <v>26.08</v>
      </c>
      <c r="H12" s="50"/>
      <c r="I12" s="59">
        <v>1</v>
      </c>
      <c r="J12" s="59"/>
      <c r="K12" s="52">
        <f t="shared" si="3"/>
        <v>26.08</v>
      </c>
      <c r="L12" s="53">
        <f t="shared" si="4"/>
        <v>108198</v>
      </c>
      <c r="N12" s="54">
        <v>5102</v>
      </c>
      <c r="O12" s="55">
        <v>102</v>
      </c>
      <c r="Q12" s="56"/>
      <c r="V12" s="402" t="s">
        <v>32</v>
      </c>
      <c r="W12" s="402"/>
      <c r="X12" s="392">
        <f>IF('2641'!K$84=1,'2641'!G12,0)</f>
        <v>0</v>
      </c>
      <c r="Y12" s="392"/>
      <c r="Z12" s="403">
        <v>1</v>
      </c>
      <c r="AA12" s="403"/>
      <c r="AB12" s="57">
        <f t="shared" si="0"/>
        <v>0</v>
      </c>
      <c r="AC12" s="58">
        <f t="shared" si="1"/>
        <v>0</v>
      </c>
      <c r="AD12" s="9"/>
    </row>
    <row r="13" spans="1:30" x14ac:dyDescent="0.3">
      <c r="A13" s="1" t="s">
        <v>33</v>
      </c>
      <c r="B13" s="14" t="s">
        <v>34</v>
      </c>
      <c r="C13" s="14"/>
      <c r="D13" s="14">
        <v>6.02</v>
      </c>
      <c r="E13" s="14">
        <v>6</v>
      </c>
      <c r="F13" s="14">
        <v>0</v>
      </c>
      <c r="G13" s="49">
        <f t="shared" si="2"/>
        <v>12.02</v>
      </c>
      <c r="H13" s="50"/>
      <c r="I13" s="59">
        <f>I12</f>
        <v>1</v>
      </c>
      <c r="J13" s="59"/>
      <c r="K13" s="52">
        <f t="shared" si="3"/>
        <v>12.02</v>
      </c>
      <c r="L13" s="53">
        <f t="shared" si="4"/>
        <v>49867</v>
      </c>
      <c r="M13" s="1" t="str">
        <f>IF(ROUND(G13,2)=ROUND(SUM(G31:G33),2)," ","CHECK 2. 4-8 Lines Below")</f>
        <v xml:space="preserve"> </v>
      </c>
      <c r="N13" s="54">
        <v>5102</v>
      </c>
      <c r="O13" s="60" t="s">
        <v>35</v>
      </c>
      <c r="Q13" s="56"/>
      <c r="V13" s="402" t="s">
        <v>34</v>
      </c>
      <c r="W13" s="402"/>
      <c r="X13" s="392">
        <f>IF('2641'!K$84=1,'2641'!G13,0)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IF('2641'!K$84=1,'2641'!G14,0)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IF('2641'!K$84=1,'2641'!G15,0)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IF('2641'!K$84=1,'2641'!G16,0)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IF('2641'!K$84=1,'2641'!G17,0)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IF('2641'!K$84=1,'2641'!G18,0)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IF('2641'!K$84=1,'2641'!G19,0)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IF('2641'!K$84=1,'2641'!G20,0)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IF('2641'!K$84=1,'2641'!G21,0)</f>
        <v>0</v>
      </c>
      <c r="Y21" s="392"/>
      <c r="Z21" s="403">
        <v>1</v>
      </c>
      <c r="AA21" s="403"/>
      <c r="AB21" s="57">
        <f t="shared" si="0"/>
        <v>0</v>
      </c>
      <c r="AC21" s="58">
        <f t="shared" si="1"/>
        <v>0</v>
      </c>
      <c r="AD21" s="9"/>
    </row>
    <row r="22" spans="1:30" ht="16.2" x14ac:dyDescent="0.35">
      <c r="A22" s="1" t="s">
        <v>53</v>
      </c>
      <c r="B22" s="14" t="s">
        <v>54</v>
      </c>
      <c r="C22" s="14"/>
      <c r="D22" s="14">
        <v>3.2</v>
      </c>
      <c r="E22" s="14">
        <v>3.2</v>
      </c>
      <c r="F22" s="14">
        <v>0</v>
      </c>
      <c r="G22" s="49">
        <f t="shared" si="2"/>
        <v>6.4</v>
      </c>
      <c r="H22" s="50"/>
      <c r="I22" s="59">
        <v>1.147</v>
      </c>
      <c r="J22" s="59"/>
      <c r="K22" s="52">
        <f t="shared" si="3"/>
        <v>7.3407999999999998</v>
      </c>
      <c r="L22" s="53">
        <f t="shared" si="4"/>
        <v>30455</v>
      </c>
      <c r="N22" s="54">
        <v>5101</v>
      </c>
      <c r="O22" s="55">
        <v>130</v>
      </c>
      <c r="Q22" s="56"/>
      <c r="V22" s="402" t="s">
        <v>54</v>
      </c>
      <c r="W22" s="402"/>
      <c r="X22" s="392">
        <f>IF('2641'!K$84=1,'2641'!G22,0)</f>
        <v>0</v>
      </c>
      <c r="Y22" s="392"/>
      <c r="Z22" s="403">
        <v>1</v>
      </c>
      <c r="AA22" s="403"/>
      <c r="AB22" s="57">
        <f t="shared" si="0"/>
        <v>0</v>
      </c>
      <c r="AC22" s="58">
        <f t="shared" si="1"/>
        <v>0</v>
      </c>
      <c r="AD22" s="9"/>
    </row>
    <row r="23" spans="1:30" ht="16.2" x14ac:dyDescent="0.35">
      <c r="A23" s="1" t="s">
        <v>55</v>
      </c>
      <c r="B23" s="14" t="s">
        <v>56</v>
      </c>
      <c r="C23" s="14"/>
      <c r="D23" s="14">
        <v>0.46</v>
      </c>
      <c r="E23" s="14">
        <v>0.46</v>
      </c>
      <c r="F23" s="14">
        <v>0</v>
      </c>
      <c r="G23" s="49">
        <f t="shared" si="2"/>
        <v>0.92</v>
      </c>
      <c r="H23" s="50"/>
      <c r="I23" s="59">
        <f>I22</f>
        <v>1.147</v>
      </c>
      <c r="J23" s="59"/>
      <c r="K23" s="52">
        <f t="shared" si="3"/>
        <v>1.0551999999999999</v>
      </c>
      <c r="L23" s="53">
        <f t="shared" si="4"/>
        <v>4378</v>
      </c>
      <c r="N23" s="54">
        <v>5102</v>
      </c>
      <c r="O23" s="55">
        <v>130</v>
      </c>
      <c r="Q23" s="56"/>
      <c r="V23" s="402" t="s">
        <v>56</v>
      </c>
      <c r="W23" s="402"/>
      <c r="X23" s="392">
        <f>IF('2641'!K$84=1,'2641'!G23,0)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IF('2641'!K$84=1,'2641'!G24,0)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IF('2641'!K$84=1,'2641'!G25,0)</f>
        <v>0</v>
      </c>
      <c r="Y25" s="392"/>
      <c r="Z25" s="403">
        <v>1</v>
      </c>
      <c r="AA25" s="403"/>
      <c r="AB25" s="57">
        <f t="shared" si="0"/>
        <v>0</v>
      </c>
      <c r="AC25" s="58">
        <f t="shared" si="1"/>
        <v>0</v>
      </c>
      <c r="AD25" s="9"/>
    </row>
    <row r="26" spans="1:30" ht="20.25" customHeight="1" thickBot="1" x14ac:dyDescent="0.35">
      <c r="B26" s="63" t="s">
        <v>61</v>
      </c>
      <c r="C26" s="63"/>
      <c r="D26" s="64">
        <f t="shared" ref="D26:E26" si="5">SUM(D10:D25)</f>
        <v>47.499999999999993</v>
      </c>
      <c r="E26" s="64">
        <f t="shared" si="5"/>
        <v>49.93</v>
      </c>
      <c r="F26" s="64"/>
      <c r="G26" s="64">
        <f>SUM(G10:G25)</f>
        <v>97.43</v>
      </c>
      <c r="H26" s="65"/>
      <c r="I26" s="65"/>
      <c r="J26" s="66"/>
      <c r="K26" s="67">
        <f>SUM(K10:K25)</f>
        <v>105.0592</v>
      </c>
      <c r="L26" s="68">
        <f>SUM(L10:L25)</f>
        <v>435858</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3.97</v>
      </c>
      <c r="E28" s="14">
        <v>3.5</v>
      </c>
      <c r="F28" s="79">
        <v>0</v>
      </c>
      <c r="G28" s="49">
        <f t="shared" ref="G28:G36" si="6">IF($B$154&lt;8,D28*2,D28+E28)</f>
        <v>7.4700000000000006</v>
      </c>
      <c r="H28" s="80"/>
      <c r="I28" s="81" t="s">
        <v>69</v>
      </c>
      <c r="J28" s="54">
        <v>251</v>
      </c>
      <c r="K28" s="82">
        <v>1047</v>
      </c>
      <c r="L28" s="83">
        <f>ROUND(G28*K28,0)</f>
        <v>7821</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5.5</v>
      </c>
      <c r="E31" s="14">
        <v>5.52</v>
      </c>
      <c r="F31" s="90">
        <v>0</v>
      </c>
      <c r="G31" s="49">
        <f t="shared" si="6"/>
        <v>11.02</v>
      </c>
      <c r="H31" s="80"/>
      <c r="I31" s="91" t="s">
        <v>73</v>
      </c>
      <c r="J31" s="54">
        <v>251</v>
      </c>
      <c r="K31" s="82">
        <v>1173</v>
      </c>
      <c r="L31" s="83">
        <f t="shared" si="8"/>
        <v>12926</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0.52</v>
      </c>
      <c r="E32" s="14">
        <v>0.48</v>
      </c>
      <c r="F32" s="90">
        <v>0</v>
      </c>
      <c r="G32" s="49">
        <f t="shared" si="6"/>
        <v>1</v>
      </c>
      <c r="H32" s="80"/>
      <c r="I32" s="91" t="s">
        <v>73</v>
      </c>
      <c r="J32" s="54">
        <v>252</v>
      </c>
      <c r="K32" s="82">
        <v>3506</v>
      </c>
      <c r="L32" s="83">
        <f t="shared" si="8"/>
        <v>3506</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9.99</v>
      </c>
      <c r="E37" s="64">
        <f t="shared" si="10"/>
        <v>9.5</v>
      </c>
      <c r="F37" s="64"/>
      <c r="G37" s="64">
        <f>SUM(G28:G36)</f>
        <v>19.490000000000002</v>
      </c>
      <c r="H37" s="65"/>
      <c r="I37" s="14" t="s">
        <v>81</v>
      </c>
      <c r="J37" s="14"/>
      <c r="K37" s="14"/>
      <c r="L37" s="53">
        <f>SUM(L28:L36)</f>
        <v>24253</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18609</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478720</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65.903999999999996</v>
      </c>
      <c r="D47" s="123"/>
      <c r="E47" s="123"/>
      <c r="F47" s="123"/>
      <c r="G47" s="124">
        <f>K7</f>
        <v>1.0289999999999999</v>
      </c>
      <c r="H47" s="124"/>
      <c r="I47" s="125">
        <v>1325.01</v>
      </c>
      <c r="J47" s="126" t="s">
        <v>96</v>
      </c>
      <c r="K47" s="127">
        <f>ROUND(C47*G47*I47,0)</f>
        <v>89856</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39.155199999999994</v>
      </c>
      <c r="D48" s="123"/>
      <c r="E48" s="123"/>
      <c r="F48" s="123"/>
      <c r="G48" s="124">
        <f>K7</f>
        <v>1.0289999999999999</v>
      </c>
      <c r="H48" s="124"/>
      <c r="I48" s="125">
        <v>903.8</v>
      </c>
      <c r="J48" s="126" t="s">
        <v>96</v>
      </c>
      <c r="K48" s="127">
        <f>ROUND(C48*G48*I48,0)</f>
        <v>36415</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105.05919999999999</v>
      </c>
      <c r="D50" s="146"/>
      <c r="E50" s="147"/>
      <c r="F50" s="147"/>
      <c r="G50" s="148" t="s">
        <v>98</v>
      </c>
      <c r="H50" s="148"/>
      <c r="I50" s="148"/>
      <c r="J50" s="148"/>
      <c r="K50" s="148"/>
      <c r="L50" s="53">
        <f>IF(B2=75,0,K49+K48+K47)</f>
        <v>126271</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105.0592</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5.2999999999999998E-4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97.43</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5.3700000000000004E-4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5.2999999999999998E-4</v>
      </c>
      <c r="L59" s="53">
        <f>ROUND(I59*K59,0)</f>
        <v>2242</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5.2999999999999998E-4</v>
      </c>
      <c r="L67" s="53">
        <f>ROUND(I67*K67,0)</f>
        <v>54960</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5.3700000000000004E-4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5.2999999999999998E-4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5.2999999999999998E-4</v>
      </c>
      <c r="L71" s="53">
        <f>ROUND(I71*K71,0)</f>
        <v>989</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5.3700000000000004E-4</v>
      </c>
      <c r="L72" s="53">
        <f>ROUND(I72*K72,0)</f>
        <v>7499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5.3700000000000004E-4</v>
      </c>
      <c r="L77" s="53">
        <f>ROUND(I77*K77,0)</f>
        <v>922</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5.2999999999999998E-4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671603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'2641'!AC81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671603</v>
      </c>
      <c r="L86" s="83">
        <f>IF(G26=0,0,IF(G26&gt;250,-(((250/G26)*K86)*IF(M86="H",0.02,0.05)),IF(M86="H",-0.02*K86,-0.05*K86)))</f>
        <v>-33580.15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638022.85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-53169</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584853.85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53168.531818181815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280</v>
      </c>
      <c r="C123" s="221" t="s">
        <v>199</v>
      </c>
    </row>
    <row r="124" spans="2:3" hidden="1" x14ac:dyDescent="0.3">
      <c r="B124" s="225" t="s">
        <v>281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41808.602384259299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280</v>
      </c>
      <c r="C164" s="235" t="s">
        <v>244</v>
      </c>
      <c r="D164" s="231"/>
    </row>
    <row r="165" spans="1:4" hidden="1" x14ac:dyDescent="0.3">
      <c r="A165" s="230" t="s">
        <v>245</v>
      </c>
      <c r="B165" s="234" t="s">
        <v>281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41808.602384259299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C83"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21875" style="1" bestFit="1" customWidth="1"/>
    <col min="10" max="10" width="12.77734375" style="1" customWidth="1"/>
    <col min="11" max="11" width="15.777343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'2791'!B2</f>
        <v>50</v>
      </c>
      <c r="W2" s="380" t="s">
        <v>4</v>
      </c>
      <c r="X2" s="381"/>
      <c r="Y2" s="382"/>
      <c r="Z2" s="382"/>
      <c r="AA2" s="382"/>
      <c r="AB2" s="382"/>
      <c r="AC2" s="382"/>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'2791'!G7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IF('2791'!K$84=1,'2791'!G10,0)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v>
      </c>
      <c r="E11" s="14">
        <v>1</v>
      </c>
      <c r="F11" s="14">
        <v>0</v>
      </c>
      <c r="G11" s="49">
        <f t="shared" ref="G11:G25" si="2">IF($B$154&lt;8,D11*2,D11+E11)</f>
        <v>2</v>
      </c>
      <c r="H11" s="50"/>
      <c r="I11" s="59">
        <f>I10</f>
        <v>1.1259999999999999</v>
      </c>
      <c r="J11" s="59"/>
      <c r="K11" s="52">
        <f t="shared" ref="K11:K25" si="3">ROUND(G11*I11,4)</f>
        <v>2.2519999999999998</v>
      </c>
      <c r="L11" s="53">
        <f t="shared" ref="L11:L25" si="4">ROUND(ROUND(K11*$G$7,4)*($K$7),0)</f>
        <v>9343</v>
      </c>
      <c r="M11" s="1" t="str">
        <f>IF(ROUND(G11,2)=ROUND(SUM(G28:G30),2)," ","CHECK 2. PK-3 Lines Below")</f>
        <v xml:space="preserve"> </v>
      </c>
      <c r="N11" s="54">
        <v>5101</v>
      </c>
      <c r="O11" s="60" t="s">
        <v>30</v>
      </c>
      <c r="Q11" s="56"/>
      <c r="V11" s="402" t="s">
        <v>29</v>
      </c>
      <c r="W11" s="402"/>
      <c r="X11" s="392">
        <f>IF('2791'!K$84=1,'2791'!G11,0)</f>
        <v>2</v>
      </c>
      <c r="Y11" s="392"/>
      <c r="Z11" s="403">
        <v>1</v>
      </c>
      <c r="AA11" s="403"/>
      <c r="AB11" s="57">
        <f t="shared" si="0"/>
        <v>2</v>
      </c>
      <c r="AC11" s="58">
        <f t="shared" si="1"/>
        <v>8297</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IF('2791'!K$84=1,'2791'!G12,0)</f>
        <v>0</v>
      </c>
      <c r="Y12" s="392"/>
      <c r="Z12" s="403">
        <v>1</v>
      </c>
      <c r="AA12" s="403"/>
      <c r="AB12" s="57">
        <f t="shared" si="0"/>
        <v>0</v>
      </c>
      <c r="AC12" s="58">
        <f t="shared" si="1"/>
        <v>0</v>
      </c>
      <c r="AD12" s="9"/>
    </row>
    <row r="13" spans="1:30" x14ac:dyDescent="0.3">
      <c r="A13" s="1" t="s">
        <v>33</v>
      </c>
      <c r="B13" s="14" t="s">
        <v>34</v>
      </c>
      <c r="C13" s="14"/>
      <c r="D13" s="14">
        <v>0.96</v>
      </c>
      <c r="E13" s="14">
        <v>0.96</v>
      </c>
      <c r="F13" s="14">
        <v>0</v>
      </c>
      <c r="G13" s="49">
        <f t="shared" si="2"/>
        <v>1.92</v>
      </c>
      <c r="H13" s="50"/>
      <c r="I13" s="59">
        <f>I12</f>
        <v>1</v>
      </c>
      <c r="J13" s="59"/>
      <c r="K13" s="52">
        <f t="shared" si="3"/>
        <v>1.92</v>
      </c>
      <c r="L13" s="53">
        <f t="shared" si="4"/>
        <v>7965</v>
      </c>
      <c r="M13" s="1" t="str">
        <f>IF(ROUND(G13,2)=ROUND(SUM(G31:G33),2)," ","CHECK 2. 4-8 Lines Below")</f>
        <v xml:space="preserve"> </v>
      </c>
      <c r="N13" s="54">
        <v>5102</v>
      </c>
      <c r="O13" s="60" t="s">
        <v>35</v>
      </c>
      <c r="Q13" s="56"/>
      <c r="V13" s="402" t="s">
        <v>34</v>
      </c>
      <c r="W13" s="402"/>
      <c r="X13" s="392">
        <f>IF('2791'!K$84=1,'2791'!G13,0)</f>
        <v>1.92</v>
      </c>
      <c r="Y13" s="392"/>
      <c r="Z13" s="403">
        <v>1</v>
      </c>
      <c r="AA13" s="403"/>
      <c r="AB13" s="57">
        <f t="shared" si="0"/>
        <v>1.92</v>
      </c>
      <c r="AC13" s="58">
        <f t="shared" si="1"/>
        <v>7965</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IF('2791'!K$84=1,'2791'!G14,0)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IF('2791'!K$84=1,'2791'!G15,0)</f>
        <v>0</v>
      </c>
      <c r="Y15" s="392"/>
      <c r="Z15" s="403">
        <v>1</v>
      </c>
      <c r="AA15" s="403"/>
      <c r="AB15" s="57">
        <f t="shared" si="0"/>
        <v>0</v>
      </c>
      <c r="AC15" s="62">
        <f t="shared" si="1"/>
        <v>0</v>
      </c>
      <c r="AD15" s="9"/>
    </row>
    <row r="16" spans="1:30" ht="16.2" x14ac:dyDescent="0.35">
      <c r="A16" s="1" t="s">
        <v>41</v>
      </c>
      <c r="B16" s="14" t="s">
        <v>42</v>
      </c>
      <c r="C16" s="14"/>
      <c r="D16" s="14">
        <v>22.26</v>
      </c>
      <c r="E16" s="14">
        <v>24.5</v>
      </c>
      <c r="F16" s="14">
        <v>0</v>
      </c>
      <c r="G16" s="49">
        <f t="shared" si="2"/>
        <v>46.760000000000005</v>
      </c>
      <c r="H16" s="50"/>
      <c r="I16" s="59">
        <v>3.548</v>
      </c>
      <c r="J16" s="59"/>
      <c r="K16" s="52">
        <f t="shared" si="3"/>
        <v>165.90450000000001</v>
      </c>
      <c r="L16" s="53">
        <f t="shared" si="4"/>
        <v>688287</v>
      </c>
      <c r="N16" s="54">
        <v>5101</v>
      </c>
      <c r="O16" s="1">
        <v>254</v>
      </c>
      <c r="Q16" s="56"/>
      <c r="V16" s="402" t="s">
        <v>42</v>
      </c>
      <c r="W16" s="402"/>
      <c r="X16" s="392">
        <f>IF('2791'!K$84=1,'2791'!G16,0)</f>
        <v>46.760000000000005</v>
      </c>
      <c r="Y16" s="392"/>
      <c r="Z16" s="403">
        <v>1</v>
      </c>
      <c r="AA16" s="403"/>
      <c r="AB16" s="57">
        <f t="shared" si="0"/>
        <v>46.76</v>
      </c>
      <c r="AC16" s="58">
        <f t="shared" si="1"/>
        <v>193993</v>
      </c>
      <c r="AD16" s="9"/>
    </row>
    <row r="17" spans="1:30" ht="16.2" x14ac:dyDescent="0.35">
      <c r="A17" s="1" t="s">
        <v>43</v>
      </c>
      <c r="B17" s="14" t="s">
        <v>44</v>
      </c>
      <c r="C17" s="14"/>
      <c r="D17" s="14">
        <v>13.74</v>
      </c>
      <c r="E17" s="14">
        <v>13.52</v>
      </c>
      <c r="F17" s="14">
        <v>0</v>
      </c>
      <c r="G17" s="49">
        <f t="shared" si="2"/>
        <v>27.259999999999998</v>
      </c>
      <c r="H17" s="50"/>
      <c r="I17" s="59">
        <f>I16</f>
        <v>3.548</v>
      </c>
      <c r="J17" s="59"/>
      <c r="K17" s="52">
        <f t="shared" si="3"/>
        <v>96.718500000000006</v>
      </c>
      <c r="L17" s="53">
        <f t="shared" si="4"/>
        <v>401255</v>
      </c>
      <c r="N17" s="54">
        <v>5102</v>
      </c>
      <c r="O17" s="56">
        <v>254</v>
      </c>
      <c r="Q17" s="56"/>
      <c r="V17" s="402" t="s">
        <v>44</v>
      </c>
      <c r="W17" s="402"/>
      <c r="X17" s="392">
        <f>IF('2791'!K$84=1,'2791'!G17,0)</f>
        <v>27.259999999999998</v>
      </c>
      <c r="Y17" s="392"/>
      <c r="Z17" s="403">
        <v>1</v>
      </c>
      <c r="AA17" s="403"/>
      <c r="AB17" s="57">
        <f t="shared" si="0"/>
        <v>27.26</v>
      </c>
      <c r="AC17" s="58">
        <f t="shared" si="1"/>
        <v>113093</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IF('2791'!K$84=1,'2791'!G18,0)</f>
        <v>0</v>
      </c>
      <c r="Y18" s="392"/>
      <c r="Z18" s="403">
        <v>1</v>
      </c>
      <c r="AA18" s="403"/>
      <c r="AB18" s="57">
        <f t="shared" si="0"/>
        <v>0</v>
      </c>
      <c r="AC18" s="58">
        <f t="shared" si="1"/>
        <v>0</v>
      </c>
      <c r="AD18" s="9"/>
    </row>
    <row r="19" spans="1:30" ht="15" customHeight="1" x14ac:dyDescent="0.35">
      <c r="A19" s="1" t="s">
        <v>47</v>
      </c>
      <c r="B19" s="14" t="s">
        <v>48</v>
      </c>
      <c r="C19" s="14"/>
      <c r="D19" s="14">
        <v>7.5</v>
      </c>
      <c r="E19" s="14">
        <v>7.5</v>
      </c>
      <c r="F19" s="14">
        <v>0</v>
      </c>
      <c r="G19" s="49">
        <f t="shared" si="2"/>
        <v>15</v>
      </c>
      <c r="H19" s="50"/>
      <c r="I19" s="59">
        <v>5.1040000000000001</v>
      </c>
      <c r="J19" s="59"/>
      <c r="K19" s="52">
        <f t="shared" si="3"/>
        <v>76.56</v>
      </c>
      <c r="L19" s="53">
        <f t="shared" si="4"/>
        <v>317624</v>
      </c>
      <c r="N19" s="54">
        <v>5101</v>
      </c>
      <c r="O19" s="1">
        <v>255</v>
      </c>
      <c r="Q19" s="56"/>
      <c r="V19" s="402" t="s">
        <v>48</v>
      </c>
      <c r="W19" s="402"/>
      <c r="X19" s="392">
        <f>IF('2791'!K$84=1,'2791'!G19,0)</f>
        <v>15</v>
      </c>
      <c r="Y19" s="392"/>
      <c r="Z19" s="403">
        <v>1</v>
      </c>
      <c r="AA19" s="403"/>
      <c r="AB19" s="57">
        <f t="shared" si="0"/>
        <v>15</v>
      </c>
      <c r="AC19" s="58">
        <f t="shared" si="1"/>
        <v>62230</v>
      </c>
      <c r="AD19" s="9"/>
    </row>
    <row r="20" spans="1:30" ht="15" customHeight="1" x14ac:dyDescent="0.35">
      <c r="A20" s="1" t="s">
        <v>49</v>
      </c>
      <c r="B20" s="14" t="s">
        <v>50</v>
      </c>
      <c r="C20" s="14"/>
      <c r="D20" s="14">
        <v>8.5</v>
      </c>
      <c r="E20" s="14">
        <v>9.5</v>
      </c>
      <c r="F20" s="14">
        <v>0</v>
      </c>
      <c r="G20" s="49">
        <f t="shared" si="2"/>
        <v>18</v>
      </c>
      <c r="H20" s="50"/>
      <c r="I20" s="59">
        <f>I19</f>
        <v>5.1040000000000001</v>
      </c>
      <c r="J20" s="59"/>
      <c r="K20" s="52">
        <f t="shared" si="3"/>
        <v>91.872</v>
      </c>
      <c r="L20" s="53">
        <f t="shared" si="4"/>
        <v>381149</v>
      </c>
      <c r="N20" s="54">
        <v>5102</v>
      </c>
      <c r="O20" s="56">
        <v>255</v>
      </c>
      <c r="Q20" s="56"/>
      <c r="V20" s="402" t="s">
        <v>50</v>
      </c>
      <c r="W20" s="402"/>
      <c r="X20" s="392">
        <f>IF('2791'!K$84=1,'2791'!G20,0)</f>
        <v>18</v>
      </c>
      <c r="Y20" s="392"/>
      <c r="Z20" s="403">
        <v>1</v>
      </c>
      <c r="AA20" s="403"/>
      <c r="AB20" s="57">
        <f t="shared" si="0"/>
        <v>18</v>
      </c>
      <c r="AC20" s="58">
        <f t="shared" si="1"/>
        <v>74676</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IF('2791'!K$84=1,'2791'!G21,0)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IF('2791'!K$84=1,'2791'!G22,0)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IF('2791'!K$84=1,'2791'!G23,0)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IF('2791'!K$84=1,'2791'!G24,0)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IF('2791'!K$84=1,'2791'!G25,0)</f>
        <v>0</v>
      </c>
      <c r="Y25" s="392"/>
      <c r="Z25" s="403">
        <v>1</v>
      </c>
      <c r="AA25" s="403"/>
      <c r="AB25" s="57">
        <f t="shared" si="0"/>
        <v>0</v>
      </c>
      <c r="AC25" s="58">
        <f t="shared" si="1"/>
        <v>0</v>
      </c>
      <c r="AD25" s="9"/>
    </row>
    <row r="26" spans="1:30" ht="20.25" customHeight="1" thickBot="1" x14ac:dyDescent="0.35">
      <c r="B26" s="63" t="s">
        <v>61</v>
      </c>
      <c r="C26" s="63"/>
      <c r="D26" s="64">
        <f t="shared" ref="D26:E26" si="5">SUM(D10:D25)</f>
        <v>53.96</v>
      </c>
      <c r="E26" s="64">
        <f t="shared" si="5"/>
        <v>56.980000000000004</v>
      </c>
      <c r="F26" s="64"/>
      <c r="G26" s="64">
        <f>SUM(G10:G25)</f>
        <v>110.94</v>
      </c>
      <c r="H26" s="65"/>
      <c r="I26" s="65"/>
      <c r="J26" s="66"/>
      <c r="K26" s="67">
        <f>SUM(K10:K25)</f>
        <v>435.22700000000003</v>
      </c>
      <c r="L26" s="68">
        <f>SUM(L10:L25)</f>
        <v>1805623</v>
      </c>
      <c r="N26" s="56"/>
      <c r="O26" s="69"/>
      <c r="P26" s="56"/>
      <c r="Q26" s="56"/>
      <c r="V26" s="404" t="s">
        <v>61</v>
      </c>
      <c r="W26" s="404"/>
      <c r="X26" s="405">
        <f>SUM(X10:X25)</f>
        <v>110.94</v>
      </c>
      <c r="Y26" s="405"/>
      <c r="Z26" s="406"/>
      <c r="AA26" s="407"/>
      <c r="AB26" s="70">
        <f>SUM(AB10:AB25)</f>
        <v>110.94</v>
      </c>
      <c r="AC26" s="71">
        <f>SUM(AC10:AC25)</f>
        <v>460254</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1</v>
      </c>
      <c r="F28" s="79">
        <v>0</v>
      </c>
      <c r="G28" s="49">
        <f t="shared" ref="G28:G36" si="6">IF($B$154&lt;8,D28*2,D28+E28)</f>
        <v>1</v>
      </c>
      <c r="H28" s="80"/>
      <c r="I28" s="81" t="s">
        <v>69</v>
      </c>
      <c r="J28" s="54">
        <v>251</v>
      </c>
      <c r="K28" s="82">
        <v>1047</v>
      </c>
      <c r="L28" s="83">
        <f>ROUND(G28*K28,0)</f>
        <v>1047</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1</v>
      </c>
      <c r="E30" s="14">
        <v>0</v>
      </c>
      <c r="F30" s="90">
        <v>0</v>
      </c>
      <c r="G30" s="49">
        <f t="shared" si="6"/>
        <v>1</v>
      </c>
      <c r="H30" s="80"/>
      <c r="I30" s="54" t="s">
        <v>69</v>
      </c>
      <c r="J30" s="54">
        <v>253</v>
      </c>
      <c r="K30" s="82">
        <v>6896</v>
      </c>
      <c r="L30" s="83">
        <f t="shared" si="8"/>
        <v>6896</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0.46</v>
      </c>
      <c r="E32" s="14">
        <v>0.46</v>
      </c>
      <c r="F32" s="90">
        <v>0</v>
      </c>
      <c r="G32" s="49">
        <f t="shared" si="6"/>
        <v>0.92</v>
      </c>
      <c r="H32" s="80"/>
      <c r="I32" s="91" t="s">
        <v>73</v>
      </c>
      <c r="J32" s="54">
        <v>252</v>
      </c>
      <c r="K32" s="82">
        <v>3506</v>
      </c>
      <c r="L32" s="83">
        <f t="shared" si="8"/>
        <v>3226</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0.5</v>
      </c>
      <c r="E33" s="14">
        <v>0.5</v>
      </c>
      <c r="F33" s="90">
        <v>0</v>
      </c>
      <c r="G33" s="49">
        <f t="shared" si="6"/>
        <v>1</v>
      </c>
      <c r="H33" s="80"/>
      <c r="I33" s="91" t="s">
        <v>73</v>
      </c>
      <c r="J33" s="54">
        <v>253</v>
      </c>
      <c r="K33" s="82">
        <v>7023</v>
      </c>
      <c r="L33" s="83">
        <f t="shared" si="8"/>
        <v>7023</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1.96</v>
      </c>
      <c r="E37" s="64">
        <f t="shared" si="10"/>
        <v>1.96</v>
      </c>
      <c r="F37" s="64"/>
      <c r="G37" s="64">
        <f>SUM(G28:G36)</f>
        <v>3.92</v>
      </c>
      <c r="H37" s="65"/>
      <c r="I37" s="14" t="s">
        <v>81</v>
      </c>
      <c r="J37" s="14"/>
      <c r="K37" s="14"/>
      <c r="L37" s="53">
        <f>SUM(L28:L36)</f>
        <v>18192</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21190</v>
      </c>
      <c r="N40" s="104"/>
      <c r="O40" s="104"/>
      <c r="P40" s="104"/>
      <c r="Q40" s="104"/>
      <c r="V40" s="422" t="s">
        <v>85</v>
      </c>
      <c r="W40" s="422"/>
      <c r="X40" s="423">
        <f>+G40</f>
        <v>181379.8</v>
      </c>
      <c r="Y40" s="423"/>
      <c r="Z40" s="423"/>
      <c r="AA40" s="423"/>
      <c r="AB40" s="58">
        <f>ROUND(X39/X40,0)</f>
        <v>191</v>
      </c>
      <c r="AC40" s="58">
        <f>ROUND(AB40*$X$26,0)</f>
        <v>21190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1845005</v>
      </c>
      <c r="O44" s="1"/>
      <c r="V44" s="433" t="s">
        <v>89</v>
      </c>
      <c r="W44" s="433"/>
      <c r="X44" s="433"/>
      <c r="Y44" s="433"/>
      <c r="Z44" s="433"/>
      <c r="AA44" s="433"/>
      <c r="AB44" s="433"/>
      <c r="AC44" s="112">
        <f>SUM(AC26,AC37,AC40)</f>
        <v>481444</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244.71650000000002</v>
      </c>
      <c r="D47" s="123"/>
      <c r="E47" s="123"/>
      <c r="F47" s="123"/>
      <c r="G47" s="124">
        <f>K7</f>
        <v>1.0289999999999999</v>
      </c>
      <c r="H47" s="124"/>
      <c r="I47" s="125">
        <v>1325.01</v>
      </c>
      <c r="J47" s="126" t="s">
        <v>96</v>
      </c>
      <c r="K47" s="127">
        <f>ROUND(C47*G47*I47,0)</f>
        <v>333655</v>
      </c>
      <c r="L47" s="128"/>
      <c r="O47" s="1"/>
      <c r="V47" s="107" t="s">
        <v>95</v>
      </c>
      <c r="W47" s="129">
        <f>AB10+AB11+AB16+AB19+AB22</f>
        <v>63.76</v>
      </c>
      <c r="X47" s="426">
        <f>AB7</f>
        <v>1.0289999999999999</v>
      </c>
      <c r="Y47" s="426"/>
      <c r="Z47" s="130">
        <f>+I47</f>
        <v>1325.01</v>
      </c>
      <c r="AA47" s="131" t="s">
        <v>96</v>
      </c>
      <c r="AB47" s="132">
        <f>ROUND(W47*X47*Z47,0)</f>
        <v>86933</v>
      </c>
      <c r="AC47" s="133"/>
      <c r="AD47" s="9"/>
    </row>
    <row r="48" spans="1:30" ht="18" customHeight="1" x14ac:dyDescent="0.3">
      <c r="B48" s="134" t="s">
        <v>73</v>
      </c>
      <c r="C48" s="123">
        <f>K12+K13+K17+K20+K23</f>
        <v>190.51050000000001</v>
      </c>
      <c r="D48" s="123"/>
      <c r="E48" s="123"/>
      <c r="F48" s="123"/>
      <c r="G48" s="124">
        <f>K7</f>
        <v>1.0289999999999999</v>
      </c>
      <c r="H48" s="124"/>
      <c r="I48" s="125">
        <v>903.8</v>
      </c>
      <c r="J48" s="126" t="s">
        <v>96</v>
      </c>
      <c r="K48" s="127">
        <f>ROUND(C48*G48*I48,0)</f>
        <v>177177</v>
      </c>
      <c r="L48" s="63"/>
      <c r="O48" s="1"/>
      <c r="V48" s="135" t="s">
        <v>73</v>
      </c>
      <c r="W48" s="129">
        <f>AB12+AB13+AB17+AB20+AB23</f>
        <v>47.18</v>
      </c>
      <c r="X48" s="426">
        <f>AB7</f>
        <v>1.0289999999999999</v>
      </c>
      <c r="Y48" s="426"/>
      <c r="Z48" s="130">
        <f>+I48</f>
        <v>903.8</v>
      </c>
      <c r="AA48" s="131" t="s">
        <v>96</v>
      </c>
      <c r="AB48" s="132">
        <f>ROUND(W48*X48*Z48,0)</f>
        <v>43878</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435.22700000000003</v>
      </c>
      <c r="D50" s="146"/>
      <c r="E50" s="147"/>
      <c r="F50" s="147"/>
      <c r="G50" s="148" t="s">
        <v>98</v>
      </c>
      <c r="H50" s="148"/>
      <c r="I50" s="148"/>
      <c r="J50" s="148"/>
      <c r="K50" s="148"/>
      <c r="L50" s="53">
        <f>IF(B2=75,0,K49+K48+K47)</f>
        <v>510832</v>
      </c>
      <c r="N50" s="3"/>
      <c r="O50" s="1"/>
      <c r="V50" s="149" t="s">
        <v>97</v>
      </c>
      <c r="W50" s="150">
        <f>SUM(W47:W49)</f>
        <v>110.94</v>
      </c>
      <c r="X50" s="427" t="s">
        <v>98</v>
      </c>
      <c r="Y50" s="428"/>
      <c r="Z50" s="428"/>
      <c r="AA50" s="428"/>
      <c r="AB50" s="428"/>
      <c r="AC50" s="58">
        <f>IF(V2=75,0,AB49+AB48+AB47)</f>
        <v>130811</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435.22700000000003</v>
      </c>
      <c r="H53" s="59" t="s">
        <v>102</v>
      </c>
      <c r="I53" s="59"/>
      <c r="J53" s="155">
        <v>198050.23</v>
      </c>
      <c r="K53" s="155"/>
      <c r="L53" s="155"/>
      <c r="N53" s="3"/>
      <c r="O53" s="1"/>
      <c r="V53" s="436" t="s">
        <v>101</v>
      </c>
      <c r="W53" s="436"/>
      <c r="X53" s="156">
        <f>AB26</f>
        <v>110.94</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2.1979999999999999E-3</v>
      </c>
      <c r="L54" s="157"/>
      <c r="N54" s="69"/>
      <c r="O54" s="1"/>
      <c r="V54" s="436" t="s">
        <v>103</v>
      </c>
      <c r="W54" s="436"/>
      <c r="X54" s="436"/>
      <c r="Y54" s="436"/>
      <c r="Z54" s="436"/>
      <c r="AA54" s="436"/>
      <c r="AB54" s="439">
        <f>ROUND(X53/AA53,6)</f>
        <v>5.5999999999999995E-4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110.94</v>
      </c>
      <c r="H56" s="59" t="s">
        <v>106</v>
      </c>
      <c r="I56" s="59"/>
      <c r="J56" s="155">
        <f>+G40</f>
        <v>181379.8</v>
      </c>
      <c r="K56" s="155"/>
      <c r="L56" s="155"/>
      <c r="O56" s="1"/>
      <c r="V56" s="436" t="s">
        <v>105</v>
      </c>
      <c r="W56" s="436"/>
      <c r="X56" s="159">
        <f>X26</f>
        <v>110.94</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6.1200000000000002E-4</v>
      </c>
      <c r="L57" s="157"/>
      <c r="O57" s="1"/>
      <c r="V57" s="436" t="s">
        <v>107</v>
      </c>
      <c r="W57" s="436"/>
      <c r="X57" s="436"/>
      <c r="Y57" s="436"/>
      <c r="Z57" s="436"/>
      <c r="AA57" s="436"/>
      <c r="AB57" s="439">
        <f>ROUND(X56/AA56,6)</f>
        <v>6.1200000000000002E-4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5.5999999999999995E-4</v>
      </c>
      <c r="AC58" s="58">
        <f>ROUND(Y58*AB58,0)</f>
        <v>2369</v>
      </c>
      <c r="AD58" s="9"/>
    </row>
    <row r="59" spans="2:30" x14ac:dyDescent="0.3">
      <c r="B59" s="63" t="s">
        <v>109</v>
      </c>
      <c r="C59" s="63"/>
      <c r="D59" s="63"/>
      <c r="E59" s="63"/>
      <c r="F59" s="63"/>
      <c r="G59" s="63"/>
      <c r="H59" s="163" t="s">
        <v>21</v>
      </c>
      <c r="I59" s="127">
        <v>4230917</v>
      </c>
      <c r="J59" s="164" t="s">
        <v>110</v>
      </c>
      <c r="K59" s="165">
        <f>K54</f>
        <v>2.1979999999999999E-3</v>
      </c>
      <c r="L59" s="53">
        <f>ROUND(I59*K59,0)</f>
        <v>9300</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5.5999999999999995E-4</v>
      </c>
      <c r="AC66" s="58">
        <f>ROUND(Y66*AB66,0)</f>
        <v>58071</v>
      </c>
      <c r="AD66" s="9"/>
    </row>
    <row r="67" spans="1:30" ht="20.25" customHeight="1" x14ac:dyDescent="0.3">
      <c r="B67" s="14" t="s">
        <v>118</v>
      </c>
      <c r="C67" s="14"/>
      <c r="D67" s="14"/>
      <c r="E67" s="14"/>
      <c r="F67" s="14"/>
      <c r="H67" s="163" t="s">
        <v>23</v>
      </c>
      <c r="I67" s="127">
        <v>103698709</v>
      </c>
      <c r="J67" s="164" t="s">
        <v>110</v>
      </c>
      <c r="K67" s="165">
        <f>K54</f>
        <v>2.1979999999999999E-3</v>
      </c>
      <c r="L67" s="53">
        <f>ROUND(I67*K67,0)</f>
        <v>227930</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6.1200000000000002E-4</v>
      </c>
      <c r="AC68" s="58">
        <f>ROUND(Y68*AB68,0)</f>
        <v>0</v>
      </c>
      <c r="AD68" s="9"/>
    </row>
    <row r="69" spans="1:30" ht="15" customHeight="1" x14ac:dyDescent="0.3">
      <c r="B69" s="169" t="s">
        <v>120</v>
      </c>
      <c r="C69" s="14"/>
      <c r="D69" s="14"/>
      <c r="E69" s="14"/>
      <c r="F69" s="14"/>
      <c r="H69" s="163" t="s">
        <v>22</v>
      </c>
      <c r="I69" s="127">
        <v>0</v>
      </c>
      <c r="J69" s="164" t="s">
        <v>110</v>
      </c>
      <c r="K69" s="165">
        <f>K57</f>
        <v>6.1200000000000002E-4</v>
      </c>
      <c r="L69" s="53">
        <f>ROUND(I69*K69,0)</f>
        <v>0</v>
      </c>
      <c r="O69" s="1"/>
      <c r="V69" s="430" t="s">
        <v>121</v>
      </c>
      <c r="W69" s="430"/>
      <c r="X69" s="430"/>
      <c r="Y69" s="447">
        <f>+I70</f>
        <v>0</v>
      </c>
      <c r="Z69" s="447"/>
      <c r="AA69" s="161" t="s">
        <v>110</v>
      </c>
      <c r="AB69" s="162">
        <f>AB54</f>
        <v>5.5999999999999995E-4</v>
      </c>
      <c r="AC69" s="58">
        <f>ROUND(Y69*AB69,0)</f>
        <v>0</v>
      </c>
      <c r="AD69" s="9"/>
    </row>
    <row r="70" spans="1:30" ht="20.25" customHeight="1" x14ac:dyDescent="0.3">
      <c r="B70" s="14" t="s">
        <v>121</v>
      </c>
      <c r="C70" s="14"/>
      <c r="D70" s="14"/>
      <c r="E70" s="14"/>
      <c r="F70" s="14"/>
      <c r="H70" s="163" t="s">
        <v>21</v>
      </c>
      <c r="I70" s="127">
        <v>0</v>
      </c>
      <c r="J70" s="164" t="s">
        <v>110</v>
      </c>
      <c r="K70" s="165">
        <f>K54</f>
        <v>2.1979999999999999E-3</v>
      </c>
      <c r="L70" s="53">
        <f>ROUND(I70*K70,0)</f>
        <v>0</v>
      </c>
      <c r="O70" s="1"/>
      <c r="V70" s="430" t="s">
        <v>122</v>
      </c>
      <c r="W70" s="430"/>
      <c r="X70" s="430"/>
      <c r="Y70" s="444">
        <f>+I71</f>
        <v>1865769</v>
      </c>
      <c r="Z70" s="444"/>
      <c r="AA70" s="161" t="s">
        <v>110</v>
      </c>
      <c r="AB70" s="162">
        <f>AB54</f>
        <v>5.5999999999999995E-4</v>
      </c>
      <c r="AC70" s="58">
        <f>ROUND(Y70*AB70,0)</f>
        <v>1045</v>
      </c>
      <c r="AD70" s="9"/>
    </row>
    <row r="71" spans="1:30" ht="20.25" customHeight="1" x14ac:dyDescent="0.3">
      <c r="B71" s="14" t="s">
        <v>122</v>
      </c>
      <c r="C71" s="14"/>
      <c r="D71" s="14"/>
      <c r="E71" s="14"/>
      <c r="F71" s="14"/>
      <c r="H71" s="163" t="s">
        <v>21</v>
      </c>
      <c r="I71" s="127">
        <v>1865769</v>
      </c>
      <c r="J71" s="164" t="s">
        <v>110</v>
      </c>
      <c r="K71" s="165">
        <f>K54</f>
        <v>2.1979999999999999E-3</v>
      </c>
      <c r="L71" s="53">
        <f>ROUND(I71*K71,0)</f>
        <v>4101</v>
      </c>
      <c r="O71" s="1"/>
      <c r="V71" s="430" t="s">
        <v>123</v>
      </c>
      <c r="W71" s="430"/>
      <c r="X71" s="430"/>
      <c r="Y71" s="444">
        <f>+I72</f>
        <v>13963927</v>
      </c>
      <c r="Z71" s="444"/>
      <c r="AA71" s="161" t="s">
        <v>110</v>
      </c>
      <c r="AB71" s="162">
        <f>AB57</f>
        <v>6.1200000000000002E-4</v>
      </c>
      <c r="AC71" s="58">
        <f>ROUND(Y71*AB71,0)</f>
        <v>8546</v>
      </c>
      <c r="AD71" s="9"/>
    </row>
    <row r="72" spans="1:30" ht="21" customHeight="1" x14ac:dyDescent="0.35">
      <c r="B72" s="14" t="s">
        <v>123</v>
      </c>
      <c r="C72" s="14"/>
      <c r="D72" s="14"/>
      <c r="E72" s="14"/>
      <c r="F72" s="14"/>
      <c r="H72" s="163" t="s">
        <v>22</v>
      </c>
      <c r="I72" s="127">
        <v>13963927</v>
      </c>
      <c r="J72" s="164" t="s">
        <v>110</v>
      </c>
      <c r="K72" s="165">
        <f>K57</f>
        <v>6.1200000000000002E-4</v>
      </c>
      <c r="L72" s="53">
        <f>ROUND(I72*K72,0)</f>
        <v>8546</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6.1200000000000002E-4</v>
      </c>
      <c r="AC76" s="58">
        <f>ROUND(Y76*AB76,0)</f>
        <v>1051</v>
      </c>
      <c r="AD76" s="9"/>
    </row>
    <row r="77" spans="1:30" ht="26.25" customHeight="1" x14ac:dyDescent="0.3">
      <c r="B77" s="14" t="s">
        <v>134</v>
      </c>
      <c r="C77" s="14"/>
      <c r="D77" s="14"/>
      <c r="E77" s="14"/>
      <c r="F77" s="14"/>
      <c r="H77" s="163" t="s">
        <v>25</v>
      </c>
      <c r="I77" s="186">
        <v>1716988</v>
      </c>
      <c r="J77" s="164" t="s">
        <v>110</v>
      </c>
      <c r="K77" s="165">
        <f>K57</f>
        <v>6.1200000000000002E-4</v>
      </c>
      <c r="L77" s="53">
        <f>ROUND(I77*K77,0)</f>
        <v>1051</v>
      </c>
      <c r="O77" s="1"/>
      <c r="V77" s="430" t="str">
        <f>+B78</f>
        <v>15.  Florida Teachers Classroom Supply Assistance Program</v>
      </c>
      <c r="W77" s="430"/>
      <c r="X77" s="430"/>
      <c r="Y77" s="440">
        <f>+I78</f>
        <v>0</v>
      </c>
      <c r="Z77" s="440"/>
      <c r="AA77" s="173" t="s">
        <v>130</v>
      </c>
      <c r="AB77" s="162">
        <f>AB54</f>
        <v>5.5999999999999995E-4</v>
      </c>
      <c r="AC77" s="58">
        <f>ROUND(Y77*AB77,0)</f>
        <v>0</v>
      </c>
      <c r="AD77" s="9"/>
    </row>
    <row r="78" spans="1:30" ht="26.25" customHeight="1" x14ac:dyDescent="0.3">
      <c r="B78" s="384" t="s">
        <v>135</v>
      </c>
      <c r="C78" s="384"/>
      <c r="D78" s="384"/>
      <c r="E78" s="14"/>
      <c r="F78" s="14"/>
      <c r="H78" s="163" t="s">
        <v>136</v>
      </c>
      <c r="I78" s="187">
        <v>0</v>
      </c>
      <c r="J78" s="164" t="s">
        <v>110</v>
      </c>
      <c r="K78" s="165">
        <f>K54</f>
        <v>2.1979999999999999E-3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683337</v>
      </c>
      <c r="AD81" s="197"/>
    </row>
    <row r="82" spans="1:30" ht="22.5" customHeight="1" thickTop="1" thickBot="1" x14ac:dyDescent="0.35">
      <c r="B82" s="14" t="s">
        <v>140</v>
      </c>
      <c r="C82" s="14"/>
      <c r="D82" s="14"/>
      <c r="E82" s="14"/>
      <c r="F82" s="14"/>
      <c r="G82" s="14"/>
      <c r="H82" s="14"/>
      <c r="I82" s="14"/>
      <c r="J82" s="14"/>
      <c r="K82" s="14"/>
      <c r="L82" s="198">
        <f>SUM(L44:L81)</f>
        <v>2606765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'2791'!AC81</f>
        <v>683337</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683337</v>
      </c>
      <c r="L86" s="83">
        <f>IF(G26=0,0,IF(G26&gt;250,-(((250/G26)*K86)*IF(M86="H",0.02,0.05)),IF(M86="H",-0.02*K86,-0.05*K86)))</f>
        <v>-34166.85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2572598.15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-217513</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2355085.15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214098.65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282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283</v>
      </c>
      <c r="C123" s="221" t="s">
        <v>199</v>
      </c>
    </row>
    <row r="124" spans="2:3" hidden="1" x14ac:dyDescent="0.3">
      <c r="B124" s="225" t="s">
        <v>284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41808.602407407401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282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283</v>
      </c>
      <c r="C164" s="235" t="s">
        <v>244</v>
      </c>
      <c r="D164" s="231"/>
    </row>
    <row r="165" spans="1:4" hidden="1" x14ac:dyDescent="0.3">
      <c r="A165" s="230" t="s">
        <v>245</v>
      </c>
      <c r="B165" s="234" t="s">
        <v>284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41808.602407407401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'2801'!B2</f>
        <v>50</v>
      </c>
      <c r="W2" s="380" t="s">
        <v>4</v>
      </c>
      <c r="X2" s="381"/>
      <c r="Y2" s="382"/>
      <c r="Z2" s="382"/>
      <c r="AA2" s="382"/>
      <c r="AB2" s="382"/>
      <c r="AC2" s="382"/>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'2801'!G7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179.54</v>
      </c>
      <c r="E10" s="48">
        <v>172.8</v>
      </c>
      <c r="F10" s="48">
        <v>0</v>
      </c>
      <c r="G10" s="49">
        <f>IF($B$154&lt;8,D10*2,D10+E10)</f>
        <v>352.34000000000003</v>
      </c>
      <c r="H10" s="50"/>
      <c r="I10" s="51">
        <v>1.1259999999999999</v>
      </c>
      <c r="J10" s="51"/>
      <c r="K10" s="52">
        <f>ROUND(G10*I10,4)</f>
        <v>396.73480000000001</v>
      </c>
      <c r="L10" s="53">
        <f>ROUND(ROUND(K10*$G$7,4)*($K$7),0)</f>
        <v>1645930</v>
      </c>
      <c r="N10" s="54">
        <v>5101</v>
      </c>
      <c r="O10" s="55">
        <v>101</v>
      </c>
      <c r="Q10" s="56"/>
      <c r="V10" s="391" t="s">
        <v>27</v>
      </c>
      <c r="W10" s="391"/>
      <c r="X10" s="392">
        <f>IF('2801'!K$84=1,'2801'!G10,0)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18.72</v>
      </c>
      <c r="E11" s="14">
        <v>20.45</v>
      </c>
      <c r="F11" s="14">
        <v>0</v>
      </c>
      <c r="G11" s="49">
        <f t="shared" ref="G11:G25" si="2">IF($B$154&lt;8,D11*2,D11+E11)</f>
        <v>39.17</v>
      </c>
      <c r="H11" s="50"/>
      <c r="I11" s="59">
        <f>I10</f>
        <v>1.1259999999999999</v>
      </c>
      <c r="J11" s="59"/>
      <c r="K11" s="52">
        <f t="shared" ref="K11:K25" si="3">ROUND(G11*I11,4)</f>
        <v>44.105400000000003</v>
      </c>
      <c r="L11" s="53">
        <f t="shared" ref="L11:L25" si="4">ROUND(ROUND(K11*$G$7,4)*($K$7),0)</f>
        <v>182980</v>
      </c>
      <c r="M11" s="1" t="str">
        <f>IF(ROUND(G11,2)=ROUND(SUM(G28:G30),2)," ","CHECK 2. PK-3 Lines Below")</f>
        <v xml:space="preserve"> </v>
      </c>
      <c r="N11" s="54">
        <v>5101</v>
      </c>
      <c r="O11" s="60" t="s">
        <v>30</v>
      </c>
      <c r="Q11" s="56"/>
      <c r="V11" s="402" t="s">
        <v>29</v>
      </c>
      <c r="W11" s="402"/>
      <c r="X11" s="392">
        <f>IF('2801'!K$84=1,'2801'!G11,0)</f>
        <v>0</v>
      </c>
      <c r="Y11" s="392"/>
      <c r="Z11" s="403">
        <v>1</v>
      </c>
      <c r="AA11" s="403"/>
      <c r="AB11" s="57">
        <f t="shared" si="0"/>
        <v>0</v>
      </c>
      <c r="AC11" s="58">
        <f t="shared" si="1"/>
        <v>0</v>
      </c>
      <c r="AD11" s="9"/>
    </row>
    <row r="12" spans="1:30" x14ac:dyDescent="0.3">
      <c r="A12" s="1" t="s">
        <v>31</v>
      </c>
      <c r="B12" s="14" t="s">
        <v>32</v>
      </c>
      <c r="C12" s="14"/>
      <c r="D12" s="14">
        <v>241.08</v>
      </c>
      <c r="E12" s="14">
        <v>239.26</v>
      </c>
      <c r="F12" s="14">
        <v>0</v>
      </c>
      <c r="G12" s="49">
        <f t="shared" si="2"/>
        <v>480.34000000000003</v>
      </c>
      <c r="H12" s="50"/>
      <c r="I12" s="59">
        <v>1</v>
      </c>
      <c r="J12" s="59"/>
      <c r="K12" s="52">
        <f t="shared" si="3"/>
        <v>480.34</v>
      </c>
      <c r="L12" s="53">
        <f t="shared" si="4"/>
        <v>1992782</v>
      </c>
      <c r="N12" s="54">
        <v>5102</v>
      </c>
      <c r="O12" s="55">
        <v>102</v>
      </c>
      <c r="Q12" s="56"/>
      <c r="V12" s="402" t="s">
        <v>32</v>
      </c>
      <c r="W12" s="402"/>
      <c r="X12" s="392">
        <f>IF('2801'!K$84=1,'2801'!G12,0)</f>
        <v>0</v>
      </c>
      <c r="Y12" s="392"/>
      <c r="Z12" s="403">
        <v>1</v>
      </c>
      <c r="AA12" s="403"/>
      <c r="AB12" s="57">
        <f t="shared" si="0"/>
        <v>0</v>
      </c>
      <c r="AC12" s="58">
        <f t="shared" si="1"/>
        <v>0</v>
      </c>
      <c r="AD12" s="9"/>
    </row>
    <row r="13" spans="1:30" x14ac:dyDescent="0.3">
      <c r="A13" s="1" t="s">
        <v>33</v>
      </c>
      <c r="B13" s="14" t="s">
        <v>34</v>
      </c>
      <c r="C13" s="14"/>
      <c r="D13" s="14">
        <v>24.44</v>
      </c>
      <c r="E13" s="14">
        <v>25.41</v>
      </c>
      <c r="F13" s="14">
        <v>0</v>
      </c>
      <c r="G13" s="49">
        <f t="shared" si="2"/>
        <v>49.85</v>
      </c>
      <c r="H13" s="50"/>
      <c r="I13" s="59">
        <f>I12</f>
        <v>1</v>
      </c>
      <c r="J13" s="59"/>
      <c r="K13" s="52">
        <f t="shared" si="3"/>
        <v>49.85</v>
      </c>
      <c r="L13" s="53">
        <f t="shared" si="4"/>
        <v>206812</v>
      </c>
      <c r="M13" s="1" t="str">
        <f>IF(ROUND(G13,2)=ROUND(SUM(G31:G33),2)," ","CHECK 2. 4-8 Lines Below")</f>
        <v xml:space="preserve"> </v>
      </c>
      <c r="N13" s="54">
        <v>5102</v>
      </c>
      <c r="O13" s="60" t="s">
        <v>35</v>
      </c>
      <c r="Q13" s="56"/>
      <c r="V13" s="402" t="s">
        <v>34</v>
      </c>
      <c r="W13" s="402"/>
      <c r="X13" s="392">
        <f>IF('2801'!K$84=1,'2801'!G13,0)</f>
        <v>0</v>
      </c>
      <c r="Y13" s="392"/>
      <c r="Z13" s="403">
        <v>1</v>
      </c>
      <c r="AA13" s="403"/>
      <c r="AB13" s="57">
        <f t="shared" si="0"/>
        <v>0</v>
      </c>
      <c r="AC13" s="58">
        <f t="shared" si="1"/>
        <v>0</v>
      </c>
      <c r="AD13" s="9"/>
    </row>
    <row r="14" spans="1:30" x14ac:dyDescent="0.3">
      <c r="A14" s="1" t="s">
        <v>36</v>
      </c>
      <c r="B14" s="14" t="s">
        <v>37</v>
      </c>
      <c r="C14" s="14"/>
      <c r="D14" s="14">
        <v>7.92</v>
      </c>
      <c r="E14" s="14">
        <v>8.41</v>
      </c>
      <c r="F14" s="14">
        <v>0</v>
      </c>
      <c r="G14" s="49">
        <f t="shared" si="2"/>
        <v>16.329999999999998</v>
      </c>
      <c r="H14" s="50"/>
      <c r="I14" s="59">
        <v>1.004</v>
      </c>
      <c r="J14" s="59"/>
      <c r="K14" s="52">
        <f t="shared" si="3"/>
        <v>16.395299999999999</v>
      </c>
      <c r="L14" s="53">
        <f t="shared" si="4"/>
        <v>68019</v>
      </c>
      <c r="N14" s="54">
        <v>5103</v>
      </c>
      <c r="O14" s="55">
        <v>103</v>
      </c>
      <c r="Q14" s="56"/>
      <c r="V14" s="402" t="s">
        <v>37</v>
      </c>
      <c r="W14" s="402"/>
      <c r="X14" s="392">
        <f>IF('2801'!K$84=1,'2801'!G14,0)</f>
        <v>0</v>
      </c>
      <c r="Y14" s="392"/>
      <c r="Z14" s="403">
        <v>1</v>
      </c>
      <c r="AA14" s="403"/>
      <c r="AB14" s="57">
        <f t="shared" si="0"/>
        <v>0</v>
      </c>
      <c r="AC14" s="58">
        <f t="shared" si="1"/>
        <v>0</v>
      </c>
      <c r="AD14" s="9"/>
    </row>
    <row r="15" spans="1:30" x14ac:dyDescent="0.3">
      <c r="A15" s="1" t="s">
        <v>38</v>
      </c>
      <c r="B15" s="14" t="s">
        <v>39</v>
      </c>
      <c r="C15" s="14"/>
      <c r="D15" s="14">
        <v>2.0299999999999998</v>
      </c>
      <c r="E15" s="14">
        <v>1.52</v>
      </c>
      <c r="F15" s="14">
        <v>0</v>
      </c>
      <c r="G15" s="49">
        <f t="shared" si="2"/>
        <v>3.55</v>
      </c>
      <c r="H15" s="50"/>
      <c r="I15" s="59">
        <f>I14</f>
        <v>1.004</v>
      </c>
      <c r="J15" s="59"/>
      <c r="K15" s="52">
        <f t="shared" si="3"/>
        <v>3.5642</v>
      </c>
      <c r="L15" s="61">
        <f t="shared" si="4"/>
        <v>14787</v>
      </c>
      <c r="M15" s="1" t="str">
        <f>IF(ROUND(G15,2)=ROUND(SUM(G34:G36),2)," ","CHECK 2. 9-12 Lines Below")</f>
        <v xml:space="preserve"> </v>
      </c>
      <c r="N15" s="54">
        <v>5103</v>
      </c>
      <c r="O15" s="60" t="s">
        <v>40</v>
      </c>
      <c r="Q15" s="56"/>
      <c r="V15" s="402" t="s">
        <v>39</v>
      </c>
      <c r="W15" s="402"/>
      <c r="X15" s="392">
        <f>IF('2801'!K$84=1,'2801'!G15,0)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IF('2801'!K$84=1,'2801'!G16,0)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IF('2801'!K$84=1,'2801'!G17,0)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IF('2801'!K$84=1,'2801'!G18,0)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IF('2801'!K$84=1,'2801'!G19,0)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IF('2801'!K$84=1,'2801'!G20,0)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IF('2801'!K$84=1,'2801'!G21,0)</f>
        <v>0</v>
      </c>
      <c r="Y21" s="392"/>
      <c r="Z21" s="403">
        <v>1</v>
      </c>
      <c r="AA21" s="403"/>
      <c r="AB21" s="57">
        <f t="shared" si="0"/>
        <v>0</v>
      </c>
      <c r="AC21" s="58">
        <f t="shared" si="1"/>
        <v>0</v>
      </c>
      <c r="AD21" s="9"/>
    </row>
    <row r="22" spans="1:30" ht="16.2" x14ac:dyDescent="0.35">
      <c r="A22" s="1" t="s">
        <v>53</v>
      </c>
      <c r="B22" s="14" t="s">
        <v>54</v>
      </c>
      <c r="C22" s="14"/>
      <c r="D22" s="14">
        <v>35.29</v>
      </c>
      <c r="E22" s="14">
        <v>34.9</v>
      </c>
      <c r="F22" s="14">
        <v>0</v>
      </c>
      <c r="G22" s="49">
        <f t="shared" si="2"/>
        <v>70.19</v>
      </c>
      <c r="H22" s="50"/>
      <c r="I22" s="59">
        <v>1.147</v>
      </c>
      <c r="J22" s="59"/>
      <c r="K22" s="52">
        <f t="shared" si="3"/>
        <v>80.507900000000006</v>
      </c>
      <c r="L22" s="53">
        <f t="shared" si="4"/>
        <v>334002</v>
      </c>
      <c r="N22" s="54">
        <v>5101</v>
      </c>
      <c r="O22" s="55">
        <v>130</v>
      </c>
      <c r="Q22" s="56"/>
      <c r="V22" s="402" t="s">
        <v>54</v>
      </c>
      <c r="W22" s="402"/>
      <c r="X22" s="392">
        <f>IF('2801'!K$84=1,'2801'!G22,0)</f>
        <v>0</v>
      </c>
      <c r="Y22" s="392"/>
      <c r="Z22" s="403">
        <v>1</v>
      </c>
      <c r="AA22" s="403"/>
      <c r="AB22" s="57">
        <f t="shared" si="0"/>
        <v>0</v>
      </c>
      <c r="AC22" s="58">
        <f t="shared" si="1"/>
        <v>0</v>
      </c>
      <c r="AD22" s="9"/>
    </row>
    <row r="23" spans="1:30" ht="16.2" x14ac:dyDescent="0.35">
      <c r="A23" s="1" t="s">
        <v>55</v>
      </c>
      <c r="B23" s="14" t="s">
        <v>56</v>
      </c>
      <c r="C23" s="14"/>
      <c r="D23" s="14">
        <v>13.32</v>
      </c>
      <c r="E23" s="14">
        <v>10.77</v>
      </c>
      <c r="F23" s="14">
        <v>0</v>
      </c>
      <c r="G23" s="49">
        <f t="shared" si="2"/>
        <v>24.09</v>
      </c>
      <c r="H23" s="50"/>
      <c r="I23" s="59">
        <f>I22</f>
        <v>1.147</v>
      </c>
      <c r="J23" s="59"/>
      <c r="K23" s="52">
        <f t="shared" si="3"/>
        <v>27.6312</v>
      </c>
      <c r="L23" s="53">
        <f t="shared" si="4"/>
        <v>114633</v>
      </c>
      <c r="N23" s="54">
        <v>5102</v>
      </c>
      <c r="O23" s="55">
        <v>130</v>
      </c>
      <c r="Q23" s="56"/>
      <c r="V23" s="402" t="s">
        <v>56</v>
      </c>
      <c r="W23" s="402"/>
      <c r="X23" s="392">
        <f>IF('2801'!K$84=1,'2801'!G23,0)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IF('2801'!K$84=1,'2801'!G24,0)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IF('2801'!K$84=1,'2801'!G25,0)</f>
        <v>0</v>
      </c>
      <c r="Y25" s="392"/>
      <c r="Z25" s="403">
        <v>1</v>
      </c>
      <c r="AA25" s="403"/>
      <c r="AB25" s="57">
        <f t="shared" si="0"/>
        <v>0</v>
      </c>
      <c r="AC25" s="58">
        <f t="shared" si="1"/>
        <v>0</v>
      </c>
      <c r="AD25" s="9"/>
    </row>
    <row r="26" spans="1:30" ht="20.25" customHeight="1" thickBot="1" x14ac:dyDescent="0.35">
      <c r="B26" s="63" t="s">
        <v>61</v>
      </c>
      <c r="C26" s="63"/>
      <c r="D26" s="64">
        <f t="shared" ref="D26:E26" si="5">SUM(D10:D25)</f>
        <v>522.34</v>
      </c>
      <c r="E26" s="64">
        <f t="shared" si="5"/>
        <v>513.52</v>
      </c>
      <c r="F26" s="64"/>
      <c r="G26" s="64">
        <f>SUM(G10:G25)</f>
        <v>1035.8600000000001</v>
      </c>
      <c r="H26" s="65"/>
      <c r="I26" s="65"/>
      <c r="J26" s="66"/>
      <c r="K26" s="67">
        <f>SUM(K10:K25)</f>
        <v>1099.1288000000002</v>
      </c>
      <c r="L26" s="68">
        <f>SUM(L10:L25)</f>
        <v>4559945</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18.72</v>
      </c>
      <c r="E28" s="14">
        <v>19.95</v>
      </c>
      <c r="F28" s="79">
        <v>0</v>
      </c>
      <c r="G28" s="49">
        <f t="shared" ref="G28:G36" si="6">IF($B$154&lt;8,D28*2,D28+E28)</f>
        <v>38.67</v>
      </c>
      <c r="H28" s="80"/>
      <c r="I28" s="81" t="s">
        <v>69</v>
      </c>
      <c r="J28" s="54">
        <v>251</v>
      </c>
      <c r="K28" s="82">
        <v>1047</v>
      </c>
      <c r="L28" s="83">
        <f>ROUND(G28*K28,0)</f>
        <v>40487</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0.5</v>
      </c>
      <c r="F29" s="90">
        <v>0</v>
      </c>
      <c r="G29" s="49">
        <f t="shared" si="6"/>
        <v>0.5</v>
      </c>
      <c r="H29" s="80"/>
      <c r="I29" s="54" t="s">
        <v>69</v>
      </c>
      <c r="J29" s="54">
        <v>252</v>
      </c>
      <c r="K29" s="82">
        <v>3380</v>
      </c>
      <c r="L29" s="83">
        <f t="shared" ref="L29:L36" si="8">ROUND(G29*K29,0)</f>
        <v>1690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23.96</v>
      </c>
      <c r="E31" s="14">
        <v>24.88</v>
      </c>
      <c r="F31" s="90">
        <v>0</v>
      </c>
      <c r="G31" s="49">
        <f t="shared" si="6"/>
        <v>48.84</v>
      </c>
      <c r="H31" s="80"/>
      <c r="I31" s="91" t="s">
        <v>73</v>
      </c>
      <c r="J31" s="54">
        <v>251</v>
      </c>
      <c r="K31" s="82">
        <v>1173</v>
      </c>
      <c r="L31" s="83">
        <f t="shared" si="8"/>
        <v>57289</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0.48</v>
      </c>
      <c r="E33" s="14">
        <v>0.53</v>
      </c>
      <c r="F33" s="90">
        <v>0</v>
      </c>
      <c r="G33" s="49">
        <f t="shared" si="6"/>
        <v>1.01</v>
      </c>
      <c r="H33" s="80"/>
      <c r="I33" s="91" t="s">
        <v>73</v>
      </c>
      <c r="J33" s="54">
        <v>253</v>
      </c>
      <c r="K33" s="82">
        <v>7023</v>
      </c>
      <c r="L33" s="83">
        <f t="shared" si="8"/>
        <v>7093</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2.0299999999999998</v>
      </c>
      <c r="E34" s="14">
        <v>1.52</v>
      </c>
      <c r="F34" s="90">
        <v>0</v>
      </c>
      <c r="G34" s="49">
        <f t="shared" si="6"/>
        <v>3.55</v>
      </c>
      <c r="H34" s="80"/>
      <c r="I34" s="91" t="s">
        <v>77</v>
      </c>
      <c r="J34" s="54">
        <v>251</v>
      </c>
      <c r="K34" s="82">
        <v>835</v>
      </c>
      <c r="L34" s="83">
        <f t="shared" si="8"/>
        <v>2964</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45.19</v>
      </c>
      <c r="E37" s="64">
        <f t="shared" si="10"/>
        <v>47.38</v>
      </c>
      <c r="F37" s="64"/>
      <c r="G37" s="64">
        <f>SUM(G28:G36)</f>
        <v>92.570000000000007</v>
      </c>
      <c r="H37" s="65"/>
      <c r="I37" s="14" t="s">
        <v>81</v>
      </c>
      <c r="J37" s="14"/>
      <c r="K37" s="14"/>
      <c r="L37" s="53">
        <f>SUM(L28:L36)</f>
        <v>109523</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197849</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4867317</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521.34809999999993</v>
      </c>
      <c r="D47" s="123"/>
      <c r="E47" s="123"/>
      <c r="F47" s="123"/>
      <c r="G47" s="124">
        <f>K7</f>
        <v>1.0289999999999999</v>
      </c>
      <c r="H47" s="124"/>
      <c r="I47" s="125">
        <v>1325.01</v>
      </c>
      <c r="J47" s="126" t="s">
        <v>96</v>
      </c>
      <c r="K47" s="127">
        <f>ROUND(C47*G47*I47,0)</f>
        <v>710824</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557.82119999999998</v>
      </c>
      <c r="D48" s="123"/>
      <c r="E48" s="123"/>
      <c r="F48" s="123"/>
      <c r="G48" s="124">
        <f>K7</f>
        <v>1.0289999999999999</v>
      </c>
      <c r="H48" s="124"/>
      <c r="I48" s="125">
        <v>903.8</v>
      </c>
      <c r="J48" s="126" t="s">
        <v>96</v>
      </c>
      <c r="K48" s="127">
        <f>ROUND(C48*G48*I48,0)</f>
        <v>518779</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19.959499999999998</v>
      </c>
      <c r="D49" s="123"/>
      <c r="E49" s="123"/>
      <c r="F49" s="123"/>
      <c r="G49" s="124">
        <f>K7</f>
        <v>1.0289999999999999</v>
      </c>
      <c r="H49" s="124"/>
      <c r="I49" s="125">
        <v>905.98</v>
      </c>
      <c r="J49" s="126" t="s">
        <v>96</v>
      </c>
      <c r="K49" s="127">
        <f>ROUND(C49*G49*I49,0)</f>
        <v>18607</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1099.1288</v>
      </c>
      <c r="D50" s="146"/>
      <c r="E50" s="147"/>
      <c r="F50" s="147"/>
      <c r="G50" s="148" t="s">
        <v>98</v>
      </c>
      <c r="H50" s="148"/>
      <c r="I50" s="148"/>
      <c r="J50" s="148"/>
      <c r="K50" s="148"/>
      <c r="L50" s="53">
        <f>IF(B2=75,0,K49+K48+K47)</f>
        <v>1248210</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1099.1288000000002</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5.5500000000000002E-3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1035.8600000000001</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5.7109999999999999E-3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5.5500000000000002E-3</v>
      </c>
      <c r="L59" s="53">
        <f>ROUND(I59*K59,0)</f>
        <v>23482</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5.5500000000000002E-3</v>
      </c>
      <c r="L67" s="53">
        <f>ROUND(I67*K67,0)</f>
        <v>575528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5.7109999999999999E-3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5.5500000000000002E-3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5.5500000000000002E-3</v>
      </c>
      <c r="L71" s="53">
        <f>ROUND(I71*K71,0)</f>
        <v>10355</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5.7109999999999999E-3</v>
      </c>
      <c r="L72" s="53">
        <f>ROUND(I72*K72,0)</f>
        <v>79748</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432.5</v>
      </c>
      <c r="AA74" s="173" t="s">
        <v>130</v>
      </c>
      <c r="AB74" s="174">
        <f>+K75</f>
        <v>361</v>
      </c>
      <c r="AC74" s="58">
        <f>ROUND(AB74*Z74,0)</f>
        <v>156133</v>
      </c>
      <c r="AD74" s="9"/>
    </row>
    <row r="75" spans="1:30" ht="19.5" customHeight="1" x14ac:dyDescent="0.3">
      <c r="A75" s="1" t="s">
        <v>131</v>
      </c>
      <c r="B75" s="175" t="s">
        <v>128</v>
      </c>
      <c r="C75" s="176" t="s">
        <v>129</v>
      </c>
      <c r="D75" s="175">
        <v>419</v>
      </c>
      <c r="E75" s="175">
        <v>446</v>
      </c>
      <c r="F75" s="175">
        <v>0</v>
      </c>
      <c r="G75" s="177">
        <f>IF($B$154&lt;8,D75,E75)</f>
        <v>446</v>
      </c>
      <c r="H75" s="178"/>
      <c r="I75" s="179">
        <f>AVERAGE(G75,D75)</f>
        <v>432.5</v>
      </c>
      <c r="J75" s="180" t="s">
        <v>130</v>
      </c>
      <c r="K75" s="181">
        <v>361</v>
      </c>
      <c r="L75" s="53">
        <f>ROUND(K75*I75,0)</f>
        <v>156133</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5.7109999999999999E-3</v>
      </c>
      <c r="L77" s="53">
        <f>ROUND(I77*K77,0)</f>
        <v>9806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5.5500000000000002E-3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156133</v>
      </c>
      <c r="AD81" s="197"/>
    </row>
    <row r="82" spans="1:30" ht="22.5" customHeight="1" thickTop="1" thickBot="1" x14ac:dyDescent="0.35">
      <c r="B82" s="14" t="s">
        <v>140</v>
      </c>
      <c r="C82" s="14"/>
      <c r="D82" s="14"/>
      <c r="E82" s="14"/>
      <c r="F82" s="14"/>
      <c r="G82" s="14"/>
      <c r="H82" s="14"/>
      <c r="I82" s="14"/>
      <c r="J82" s="14"/>
      <c r="K82" s="14"/>
      <c r="L82" s="198">
        <f>SUM(L44:L81)</f>
        <v>6970579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'2801'!AC81</f>
        <v>156133</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6970579</v>
      </c>
      <c r="L86" s="83">
        <f>IF(G26=0,0,IF(G26&gt;250,-(((250/G26)*K86)*IF(M86="H",0.02,0.05)),IF(M86="H",-0.02*K86,-0.05*K86)))</f>
        <v>-33646.337342884166</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6936932.6626571156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-578078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6358854.6626571156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578077.69660519238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105765.24265711586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285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286</v>
      </c>
      <c r="C123" s="221" t="s">
        <v>199</v>
      </c>
    </row>
    <row r="124" spans="2:3" hidden="1" x14ac:dyDescent="0.3">
      <c r="B124" s="225" t="s">
        <v>287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41808.602430555598</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285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286</v>
      </c>
      <c r="C164" s="235" t="s">
        <v>244</v>
      </c>
      <c r="D164" s="231"/>
    </row>
    <row r="165" spans="1:4" hidden="1" x14ac:dyDescent="0.3">
      <c r="A165" s="230" t="s">
        <v>245</v>
      </c>
      <c r="B165" s="234" t="s">
        <v>287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41808.602430555598</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'2911'!B2</f>
        <v>50</v>
      </c>
      <c r="W2" s="380" t="s">
        <v>4</v>
      </c>
      <c r="X2" s="381"/>
      <c r="Y2" s="382"/>
      <c r="Z2" s="382"/>
      <c r="AA2" s="382"/>
      <c r="AB2" s="382"/>
      <c r="AC2" s="382"/>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'2911'!G7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69.52</v>
      </c>
      <c r="E10" s="48">
        <v>73.069999999999993</v>
      </c>
      <c r="F10" s="48">
        <v>0</v>
      </c>
      <c r="G10" s="49">
        <f>IF($B$154&lt;8,D10*2,D10+E10)</f>
        <v>142.58999999999997</v>
      </c>
      <c r="H10" s="50"/>
      <c r="I10" s="51">
        <v>1.1259999999999999</v>
      </c>
      <c r="J10" s="51"/>
      <c r="K10" s="52">
        <f>ROUND(G10*I10,4)</f>
        <v>160.55629999999999</v>
      </c>
      <c r="L10" s="53">
        <f>ROUND(ROUND(K10*$G$7,4)*($K$7),0)</f>
        <v>666099</v>
      </c>
      <c r="N10" s="54">
        <v>5101</v>
      </c>
      <c r="O10" s="55">
        <v>101</v>
      </c>
      <c r="Q10" s="56"/>
      <c r="V10" s="391" t="s">
        <v>27</v>
      </c>
      <c r="W10" s="391"/>
      <c r="X10" s="392">
        <f>IF('2911'!K$84=1,'2911'!G10,0)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14.64</v>
      </c>
      <c r="E11" s="14">
        <v>11.94</v>
      </c>
      <c r="F11" s="14">
        <v>0</v>
      </c>
      <c r="G11" s="49">
        <f t="shared" ref="G11:G25" si="2">IF($B$154&lt;8,D11*2,D11+E11)</f>
        <v>26.58</v>
      </c>
      <c r="H11" s="50"/>
      <c r="I11" s="59">
        <f>I10</f>
        <v>1.1259999999999999</v>
      </c>
      <c r="J11" s="59"/>
      <c r="K11" s="52">
        <f t="shared" ref="K11:K25" si="3">ROUND(G11*I11,4)</f>
        <v>29.929099999999998</v>
      </c>
      <c r="L11" s="53">
        <f t="shared" ref="L11:L25" si="4">ROUND(ROUND(K11*$G$7,4)*($K$7),0)</f>
        <v>124167</v>
      </c>
      <c r="M11" s="1" t="str">
        <f>IF(ROUND(G11,2)=ROUND(SUM(G28:G30),2)," ","CHECK 2. PK-3 Lines Below")</f>
        <v xml:space="preserve"> </v>
      </c>
      <c r="N11" s="54">
        <v>5101</v>
      </c>
      <c r="O11" s="60" t="s">
        <v>30</v>
      </c>
      <c r="Q11" s="56"/>
      <c r="V11" s="402" t="s">
        <v>29</v>
      </c>
      <c r="W11" s="402"/>
      <c r="X11" s="392">
        <f>IF('2911'!K$84=1,'2911'!G11,0)</f>
        <v>0</v>
      </c>
      <c r="Y11" s="392"/>
      <c r="Z11" s="403">
        <v>1</v>
      </c>
      <c r="AA11" s="403"/>
      <c r="AB11" s="57">
        <f t="shared" si="0"/>
        <v>0</v>
      </c>
      <c r="AC11" s="58">
        <f t="shared" si="1"/>
        <v>0</v>
      </c>
      <c r="AD11" s="9"/>
    </row>
    <row r="12" spans="1:30" x14ac:dyDescent="0.3">
      <c r="A12" s="1" t="s">
        <v>31</v>
      </c>
      <c r="B12" s="14" t="s">
        <v>32</v>
      </c>
      <c r="C12" s="14"/>
      <c r="D12" s="14">
        <v>91.71</v>
      </c>
      <c r="E12" s="14">
        <v>95.15</v>
      </c>
      <c r="F12" s="14">
        <v>0</v>
      </c>
      <c r="G12" s="49">
        <f t="shared" si="2"/>
        <v>186.86</v>
      </c>
      <c r="H12" s="50"/>
      <c r="I12" s="59">
        <v>1</v>
      </c>
      <c r="J12" s="59"/>
      <c r="K12" s="52">
        <f t="shared" si="3"/>
        <v>186.86</v>
      </c>
      <c r="L12" s="53">
        <f t="shared" si="4"/>
        <v>775224</v>
      </c>
      <c r="N12" s="54">
        <v>5102</v>
      </c>
      <c r="O12" s="55">
        <v>102</v>
      </c>
      <c r="Q12" s="56"/>
      <c r="V12" s="402" t="s">
        <v>32</v>
      </c>
      <c r="W12" s="402"/>
      <c r="X12" s="392">
        <f>IF('2911'!K$84=1,'2911'!G12,0)</f>
        <v>0</v>
      </c>
      <c r="Y12" s="392"/>
      <c r="Z12" s="403">
        <v>1</v>
      </c>
      <c r="AA12" s="403"/>
      <c r="AB12" s="57">
        <f t="shared" si="0"/>
        <v>0</v>
      </c>
      <c r="AC12" s="58">
        <f t="shared" si="1"/>
        <v>0</v>
      </c>
      <c r="AD12" s="9"/>
    </row>
    <row r="13" spans="1:30" x14ac:dyDescent="0.3">
      <c r="A13" s="1" t="s">
        <v>33</v>
      </c>
      <c r="B13" s="14" t="s">
        <v>34</v>
      </c>
      <c r="C13" s="14"/>
      <c r="D13" s="14">
        <v>15.07</v>
      </c>
      <c r="E13" s="14">
        <v>13.55</v>
      </c>
      <c r="F13" s="14">
        <v>0</v>
      </c>
      <c r="G13" s="49">
        <f t="shared" si="2"/>
        <v>28.62</v>
      </c>
      <c r="H13" s="50"/>
      <c r="I13" s="59">
        <f>I12</f>
        <v>1</v>
      </c>
      <c r="J13" s="59"/>
      <c r="K13" s="52">
        <f t="shared" si="3"/>
        <v>28.62</v>
      </c>
      <c r="L13" s="53">
        <f t="shared" si="4"/>
        <v>118736</v>
      </c>
      <c r="M13" s="1" t="str">
        <f>IF(ROUND(G13,2)=ROUND(SUM(G31:G33),2)," ","CHECK 2. 4-8 Lines Below")</f>
        <v xml:space="preserve"> </v>
      </c>
      <c r="N13" s="54">
        <v>5102</v>
      </c>
      <c r="O13" s="60" t="s">
        <v>35</v>
      </c>
      <c r="Q13" s="56"/>
      <c r="V13" s="402" t="s">
        <v>34</v>
      </c>
      <c r="W13" s="402"/>
      <c r="X13" s="392">
        <f>IF('2911'!K$84=1,'2911'!G13,0)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IF('2911'!K$84=1,'2911'!G14,0)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IF('2911'!K$84=1,'2911'!G15,0)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IF('2911'!K$84=1,'2911'!G16,0)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IF('2911'!K$84=1,'2911'!G17,0)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IF('2911'!K$84=1,'2911'!G18,0)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IF('2911'!K$84=1,'2911'!G19,0)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IF('2911'!K$84=1,'2911'!G20,0)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IF('2911'!K$84=1,'2911'!G21,0)</f>
        <v>0</v>
      </c>
      <c r="Y21" s="392"/>
      <c r="Z21" s="403">
        <v>1</v>
      </c>
      <c r="AA21" s="403"/>
      <c r="AB21" s="57">
        <f t="shared" si="0"/>
        <v>0</v>
      </c>
      <c r="AC21" s="58">
        <f t="shared" si="1"/>
        <v>0</v>
      </c>
      <c r="AD21" s="9"/>
    </row>
    <row r="22" spans="1:30" ht="16.2" x14ac:dyDescent="0.35">
      <c r="A22" s="1" t="s">
        <v>53</v>
      </c>
      <c r="B22" s="14" t="s">
        <v>54</v>
      </c>
      <c r="C22" s="14"/>
      <c r="D22" s="14">
        <v>1.19</v>
      </c>
      <c r="E22" s="14">
        <v>1.19</v>
      </c>
      <c r="F22" s="14">
        <v>0</v>
      </c>
      <c r="G22" s="49">
        <f t="shared" si="2"/>
        <v>2.38</v>
      </c>
      <c r="H22" s="50"/>
      <c r="I22" s="59">
        <v>1.147</v>
      </c>
      <c r="J22" s="59"/>
      <c r="K22" s="52">
        <f t="shared" si="3"/>
        <v>2.7299000000000002</v>
      </c>
      <c r="L22" s="53">
        <f t="shared" si="4"/>
        <v>11326</v>
      </c>
      <c r="N22" s="54">
        <v>5101</v>
      </c>
      <c r="O22" s="55">
        <v>130</v>
      </c>
      <c r="Q22" s="56"/>
      <c r="V22" s="402" t="s">
        <v>54</v>
      </c>
      <c r="W22" s="402"/>
      <c r="X22" s="392">
        <f>IF('2911'!K$84=1,'2911'!G22,0)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IF('2911'!K$84=1,'2911'!G23,0)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IF('2911'!K$84=1,'2911'!G24,0)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IF('2911'!K$84=1,'2911'!G25,0)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192.13</v>
      </c>
      <c r="E26" s="64">
        <f t="shared" si="5"/>
        <v>194.9</v>
      </c>
      <c r="F26" s="64"/>
      <c r="G26" s="64">
        <f>SUM(G10:G25)</f>
        <v>387.03</v>
      </c>
      <c r="H26" s="65"/>
      <c r="I26" s="65"/>
      <c r="J26" s="66"/>
      <c r="K26" s="67">
        <f>SUM(K10:K25)</f>
        <v>408.69530000000003</v>
      </c>
      <c r="L26" s="68">
        <f>SUM(L10:L25)</f>
        <v>1695552</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13.12</v>
      </c>
      <c r="E28" s="14">
        <v>9.94</v>
      </c>
      <c r="F28" s="79">
        <v>0</v>
      </c>
      <c r="G28" s="49">
        <f t="shared" ref="G28:G36" si="6">IF($B$154&lt;8,D28*2,D28+E28)</f>
        <v>23.06</v>
      </c>
      <c r="H28" s="80"/>
      <c r="I28" s="81" t="s">
        <v>69</v>
      </c>
      <c r="J28" s="54">
        <v>251</v>
      </c>
      <c r="K28" s="82">
        <v>1047</v>
      </c>
      <c r="L28" s="83">
        <f>ROUND(G28*K28,0)</f>
        <v>24144</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1.52</v>
      </c>
      <c r="E29" s="14">
        <v>2</v>
      </c>
      <c r="F29" s="90">
        <v>0</v>
      </c>
      <c r="G29" s="49">
        <f t="shared" si="6"/>
        <v>3.52</v>
      </c>
      <c r="H29" s="80"/>
      <c r="I29" s="54" t="s">
        <v>69</v>
      </c>
      <c r="J29" s="54">
        <v>252</v>
      </c>
      <c r="K29" s="82">
        <v>3380</v>
      </c>
      <c r="L29" s="83">
        <f t="shared" ref="L29:L36" si="8">ROUND(G29*K29,0)</f>
        <v>11898</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14.09</v>
      </c>
      <c r="E31" s="14">
        <v>12.55</v>
      </c>
      <c r="F31" s="90">
        <v>0</v>
      </c>
      <c r="G31" s="49">
        <f t="shared" si="6"/>
        <v>26.64</v>
      </c>
      <c r="H31" s="80"/>
      <c r="I31" s="91" t="s">
        <v>73</v>
      </c>
      <c r="J31" s="54">
        <v>251</v>
      </c>
      <c r="K31" s="82">
        <v>1173</v>
      </c>
      <c r="L31" s="83">
        <f t="shared" si="8"/>
        <v>31249</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0.98</v>
      </c>
      <c r="E32" s="14">
        <v>1</v>
      </c>
      <c r="F32" s="90">
        <v>0</v>
      </c>
      <c r="G32" s="49">
        <f t="shared" si="6"/>
        <v>1.98</v>
      </c>
      <c r="H32" s="80"/>
      <c r="I32" s="91" t="s">
        <v>73</v>
      </c>
      <c r="J32" s="54">
        <v>252</v>
      </c>
      <c r="K32" s="82">
        <v>3506</v>
      </c>
      <c r="L32" s="83">
        <f t="shared" si="8"/>
        <v>6942</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29.709999999999997</v>
      </c>
      <c r="E37" s="64">
        <f t="shared" si="10"/>
        <v>25.490000000000002</v>
      </c>
      <c r="F37" s="64"/>
      <c r="G37" s="64">
        <f>SUM(G28:G36)</f>
        <v>55.199999999999996</v>
      </c>
      <c r="H37" s="65"/>
      <c r="I37" s="14" t="s">
        <v>81</v>
      </c>
      <c r="J37" s="14"/>
      <c r="K37" s="14"/>
      <c r="L37" s="53">
        <f>SUM(L28:L36)</f>
        <v>74233</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73923</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1843708</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193.21529999999998</v>
      </c>
      <c r="D47" s="123"/>
      <c r="E47" s="123"/>
      <c r="F47" s="123"/>
      <c r="G47" s="124">
        <f>K7</f>
        <v>1.0289999999999999</v>
      </c>
      <c r="H47" s="124"/>
      <c r="I47" s="125">
        <v>1325.01</v>
      </c>
      <c r="J47" s="126" t="s">
        <v>96</v>
      </c>
      <c r="K47" s="127">
        <f>ROUND(C47*G47*I47,0)</f>
        <v>263437</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215.48000000000002</v>
      </c>
      <c r="D48" s="123"/>
      <c r="E48" s="123"/>
      <c r="F48" s="123"/>
      <c r="G48" s="124">
        <f>K7</f>
        <v>1.0289999999999999</v>
      </c>
      <c r="H48" s="124"/>
      <c r="I48" s="125">
        <v>903.8</v>
      </c>
      <c r="J48" s="126" t="s">
        <v>96</v>
      </c>
      <c r="K48" s="127">
        <f>ROUND(C48*G48*I48,0)</f>
        <v>200399</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408.69529999999997</v>
      </c>
      <c r="D50" s="146"/>
      <c r="E50" s="147"/>
      <c r="F50" s="147"/>
      <c r="G50" s="148" t="s">
        <v>98</v>
      </c>
      <c r="H50" s="148"/>
      <c r="I50" s="148"/>
      <c r="J50" s="148"/>
      <c r="K50" s="148"/>
      <c r="L50" s="53">
        <f>IF(B2=75,0,K49+K48+K47)</f>
        <v>463836</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408.69530000000003</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2.0639999999999999E-3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387.03</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2.134E-3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2.0639999999999999E-3</v>
      </c>
      <c r="L59" s="53">
        <f>ROUND(I59*K59,0)</f>
        <v>8733</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2.0639999999999999E-3</v>
      </c>
      <c r="L67" s="53">
        <f>ROUND(I67*K67,0)</f>
        <v>214034</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2.134E-3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2.0639999999999999E-3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2.0639999999999999E-3</v>
      </c>
      <c r="L71" s="53">
        <f>ROUND(I71*K71,0)</f>
        <v>3851</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2.134E-3</v>
      </c>
      <c r="L72" s="53">
        <f>ROUND(I72*K72,0)</f>
        <v>29799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2.134E-3</v>
      </c>
      <c r="L77" s="53">
        <f>ROUND(I77*K77,0)</f>
        <v>3664</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2.0639999999999999E-3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2567625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'2911'!AC81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2567625</v>
      </c>
      <c r="L86" s="83">
        <f>IF(G26=0,0,IF(G26&gt;250,-(((250/G26)*K86)*IF(M86="H",0.02,0.05)),IF(M86="H",-0.02*K86,-0.05*K86)))</f>
        <v>-33170.878226494075</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2534454.121773506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-211205</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2323249.121773506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211204.46561577328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18181.621773505925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182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288</v>
      </c>
      <c r="C123" s="221" t="s">
        <v>199</v>
      </c>
    </row>
    <row r="124" spans="2:3" hidden="1" x14ac:dyDescent="0.3">
      <c r="B124" s="225" t="s">
        <v>289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41808.602442129602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182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288</v>
      </c>
      <c r="C164" s="235" t="s">
        <v>244</v>
      </c>
      <c r="D164" s="231"/>
    </row>
    <row r="165" spans="1:4" hidden="1" x14ac:dyDescent="0.3">
      <c r="A165" s="230" t="s">
        <v>245</v>
      </c>
      <c r="B165" s="234" t="s">
        <v>289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41808.602442129602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'2941'!B2</f>
        <v>50</v>
      </c>
      <c r="W2" s="380" t="s">
        <v>4</v>
      </c>
      <c r="X2" s="381"/>
      <c r="Y2" s="382"/>
      <c r="Z2" s="382"/>
      <c r="AA2" s="382"/>
      <c r="AB2" s="382"/>
      <c r="AC2" s="382"/>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'2941'!G7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IF('2941'!K$84=1,'2941'!G10,0)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10.97</v>
      </c>
      <c r="E11" s="14">
        <v>9.93</v>
      </c>
      <c r="F11" s="14">
        <v>0</v>
      </c>
      <c r="G11" s="49">
        <f t="shared" ref="G11:G25" si="2">IF($B$154&lt;8,D11*2,D11+E11)</f>
        <v>20.9</v>
      </c>
      <c r="H11" s="50"/>
      <c r="I11" s="59">
        <f>I10</f>
        <v>1.1259999999999999</v>
      </c>
      <c r="J11" s="59"/>
      <c r="K11" s="52">
        <f t="shared" ref="K11:K25" si="3">ROUND(G11*I11,4)</f>
        <v>23.5334</v>
      </c>
      <c r="L11" s="53">
        <f t="shared" ref="L11:L25" si="4">ROUND(ROUND(K11*$G$7,4)*($K$7),0)</f>
        <v>97633</v>
      </c>
      <c r="M11" s="1" t="str">
        <f>IF(ROUND(G11,2)=ROUND(SUM(G28:G30),2)," ","CHECK 2. PK-3 Lines Below")</f>
        <v xml:space="preserve"> </v>
      </c>
      <c r="N11" s="54">
        <v>5101</v>
      </c>
      <c r="O11" s="60" t="s">
        <v>30</v>
      </c>
      <c r="Q11" s="56"/>
      <c r="V11" s="402" t="s">
        <v>29</v>
      </c>
      <c r="W11" s="402"/>
      <c r="X11" s="392">
        <f>IF('2941'!K$84=1,'2941'!G11,0)</f>
        <v>20.9</v>
      </c>
      <c r="Y11" s="392"/>
      <c r="Z11" s="403">
        <v>1</v>
      </c>
      <c r="AA11" s="403"/>
      <c r="AB11" s="57">
        <f t="shared" si="0"/>
        <v>20.9</v>
      </c>
      <c r="AC11" s="58">
        <f t="shared" si="1"/>
        <v>86708</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IF('2941'!K$84=1,'2941'!G12,0)</f>
        <v>0</v>
      </c>
      <c r="Y12" s="392"/>
      <c r="Z12" s="403">
        <v>1</v>
      </c>
      <c r="AA12" s="403"/>
      <c r="AB12" s="57">
        <f t="shared" si="0"/>
        <v>0</v>
      </c>
      <c r="AC12" s="58">
        <f t="shared" si="1"/>
        <v>0</v>
      </c>
      <c r="AD12" s="9"/>
    </row>
    <row r="13" spans="1:30" x14ac:dyDescent="0.3">
      <c r="A13" s="1" t="s">
        <v>33</v>
      </c>
      <c r="B13" s="14" t="s">
        <v>34</v>
      </c>
      <c r="C13" s="14"/>
      <c r="D13" s="14">
        <v>8.01</v>
      </c>
      <c r="E13" s="14">
        <v>6.98</v>
      </c>
      <c r="F13" s="14">
        <v>0</v>
      </c>
      <c r="G13" s="49">
        <f t="shared" si="2"/>
        <v>14.99</v>
      </c>
      <c r="H13" s="50"/>
      <c r="I13" s="59">
        <f>I12</f>
        <v>1</v>
      </c>
      <c r="J13" s="59"/>
      <c r="K13" s="52">
        <f t="shared" si="3"/>
        <v>14.99</v>
      </c>
      <c r="L13" s="53">
        <f t="shared" si="4"/>
        <v>62189</v>
      </c>
      <c r="M13" s="1" t="str">
        <f>IF(ROUND(G13,2)=ROUND(SUM(G31:G33),2)," ","CHECK 2. 4-8 Lines Below")</f>
        <v xml:space="preserve"> </v>
      </c>
      <c r="N13" s="54">
        <v>5102</v>
      </c>
      <c r="O13" s="60" t="s">
        <v>35</v>
      </c>
      <c r="Q13" s="56"/>
      <c r="V13" s="402" t="s">
        <v>34</v>
      </c>
      <c r="W13" s="402"/>
      <c r="X13" s="392">
        <f>IF('2941'!K$84=1,'2941'!G13,0)</f>
        <v>14.99</v>
      </c>
      <c r="Y13" s="392"/>
      <c r="Z13" s="403">
        <v>1</v>
      </c>
      <c r="AA13" s="403"/>
      <c r="AB13" s="57">
        <f t="shared" si="0"/>
        <v>14.99</v>
      </c>
      <c r="AC13" s="58">
        <f t="shared" si="1"/>
        <v>62189</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IF('2941'!K$84=1,'2941'!G14,0)</f>
        <v>0</v>
      </c>
      <c r="Y14" s="392"/>
      <c r="Z14" s="403">
        <v>1</v>
      </c>
      <c r="AA14" s="403"/>
      <c r="AB14" s="57">
        <f t="shared" si="0"/>
        <v>0</v>
      </c>
      <c r="AC14" s="58">
        <f t="shared" si="1"/>
        <v>0</v>
      </c>
      <c r="AD14" s="9"/>
    </row>
    <row r="15" spans="1:30" x14ac:dyDescent="0.3">
      <c r="A15" s="1" t="s">
        <v>38</v>
      </c>
      <c r="B15" s="14" t="s">
        <v>39</v>
      </c>
      <c r="C15" s="14"/>
      <c r="D15" s="14">
        <v>1</v>
      </c>
      <c r="E15" s="14">
        <v>1</v>
      </c>
      <c r="F15" s="14">
        <v>0</v>
      </c>
      <c r="G15" s="49">
        <f t="shared" si="2"/>
        <v>2</v>
      </c>
      <c r="H15" s="50"/>
      <c r="I15" s="59">
        <f>I14</f>
        <v>1.004</v>
      </c>
      <c r="J15" s="59"/>
      <c r="K15" s="52">
        <f t="shared" si="3"/>
        <v>2.008</v>
      </c>
      <c r="L15" s="61">
        <f t="shared" si="4"/>
        <v>8331</v>
      </c>
      <c r="M15" s="1" t="str">
        <f>IF(ROUND(G15,2)=ROUND(SUM(G34:G36),2)," ","CHECK 2. 9-12 Lines Below")</f>
        <v xml:space="preserve"> </v>
      </c>
      <c r="N15" s="54">
        <v>5103</v>
      </c>
      <c r="O15" s="60" t="s">
        <v>40</v>
      </c>
      <c r="Q15" s="56"/>
      <c r="V15" s="402" t="s">
        <v>39</v>
      </c>
      <c r="W15" s="402"/>
      <c r="X15" s="392">
        <f>IF('2941'!K$84=1,'2941'!G15,0)</f>
        <v>2</v>
      </c>
      <c r="Y15" s="392"/>
      <c r="Z15" s="403">
        <v>1</v>
      </c>
      <c r="AA15" s="403"/>
      <c r="AB15" s="57">
        <f t="shared" si="0"/>
        <v>2</v>
      </c>
      <c r="AC15" s="62">
        <f t="shared" si="1"/>
        <v>8297</v>
      </c>
      <c r="AD15" s="9"/>
    </row>
    <row r="16" spans="1:30" ht="16.2" x14ac:dyDescent="0.35">
      <c r="A16" s="1" t="s">
        <v>41</v>
      </c>
      <c r="B16" s="14" t="s">
        <v>42</v>
      </c>
      <c r="C16" s="14"/>
      <c r="D16" s="14">
        <v>40.86</v>
      </c>
      <c r="E16" s="14">
        <v>39.5</v>
      </c>
      <c r="F16" s="14">
        <v>0</v>
      </c>
      <c r="G16" s="49">
        <f t="shared" si="2"/>
        <v>80.36</v>
      </c>
      <c r="H16" s="50"/>
      <c r="I16" s="59">
        <v>3.548</v>
      </c>
      <c r="J16" s="59"/>
      <c r="K16" s="52">
        <f t="shared" si="3"/>
        <v>285.1173</v>
      </c>
      <c r="L16" s="53">
        <f t="shared" si="4"/>
        <v>1182864</v>
      </c>
      <c r="N16" s="54">
        <v>5101</v>
      </c>
      <c r="O16" s="1">
        <v>254</v>
      </c>
      <c r="Q16" s="56"/>
      <c r="V16" s="402" t="s">
        <v>42</v>
      </c>
      <c r="W16" s="402"/>
      <c r="X16" s="392">
        <f>IF('2941'!K$84=1,'2941'!G16,0)</f>
        <v>80.36</v>
      </c>
      <c r="Y16" s="392"/>
      <c r="Z16" s="403">
        <v>1</v>
      </c>
      <c r="AA16" s="403"/>
      <c r="AB16" s="57">
        <f t="shared" si="0"/>
        <v>80.36</v>
      </c>
      <c r="AC16" s="58">
        <f t="shared" si="1"/>
        <v>333389</v>
      </c>
      <c r="AD16" s="9"/>
    </row>
    <row r="17" spans="1:30" ht="16.2" x14ac:dyDescent="0.35">
      <c r="A17" s="1" t="s">
        <v>43</v>
      </c>
      <c r="B17" s="14" t="s">
        <v>44</v>
      </c>
      <c r="C17" s="14"/>
      <c r="D17" s="14">
        <v>27</v>
      </c>
      <c r="E17" s="14">
        <v>25.96</v>
      </c>
      <c r="F17" s="14">
        <v>0</v>
      </c>
      <c r="G17" s="49">
        <f t="shared" si="2"/>
        <v>52.96</v>
      </c>
      <c r="H17" s="50"/>
      <c r="I17" s="59">
        <f>I16</f>
        <v>3.548</v>
      </c>
      <c r="J17" s="59"/>
      <c r="K17" s="52">
        <f t="shared" si="3"/>
        <v>187.90209999999999</v>
      </c>
      <c r="L17" s="53">
        <f t="shared" si="4"/>
        <v>779548</v>
      </c>
      <c r="N17" s="54">
        <v>5102</v>
      </c>
      <c r="O17" s="56">
        <v>254</v>
      </c>
      <c r="Q17" s="56"/>
      <c r="V17" s="402" t="s">
        <v>44</v>
      </c>
      <c r="W17" s="402"/>
      <c r="X17" s="392">
        <f>IF('2941'!K$84=1,'2941'!G17,0)</f>
        <v>52.96</v>
      </c>
      <c r="Y17" s="392"/>
      <c r="Z17" s="403">
        <v>1</v>
      </c>
      <c r="AA17" s="403"/>
      <c r="AB17" s="57">
        <f t="shared" si="0"/>
        <v>52.96</v>
      </c>
      <c r="AC17" s="58">
        <f t="shared" si="1"/>
        <v>219715</v>
      </c>
      <c r="AD17" s="9"/>
    </row>
    <row r="18" spans="1:30" ht="16.2" x14ac:dyDescent="0.35">
      <c r="A18" s="1" t="s">
        <v>45</v>
      </c>
      <c r="B18" s="14" t="s">
        <v>46</v>
      </c>
      <c r="C18" s="14"/>
      <c r="D18" s="14">
        <v>3.5</v>
      </c>
      <c r="E18" s="14">
        <v>3</v>
      </c>
      <c r="F18" s="14">
        <v>0</v>
      </c>
      <c r="G18" s="49">
        <f t="shared" si="2"/>
        <v>6.5</v>
      </c>
      <c r="H18" s="50"/>
      <c r="I18" s="59">
        <f>I17</f>
        <v>3.548</v>
      </c>
      <c r="J18" s="59"/>
      <c r="K18" s="52">
        <f t="shared" si="3"/>
        <v>23.062000000000001</v>
      </c>
      <c r="L18" s="53">
        <f t="shared" si="4"/>
        <v>95677</v>
      </c>
      <c r="N18" s="54">
        <v>5103</v>
      </c>
      <c r="O18" s="56">
        <v>254</v>
      </c>
      <c r="Q18" s="56"/>
      <c r="V18" s="402" t="s">
        <v>46</v>
      </c>
      <c r="W18" s="402"/>
      <c r="X18" s="392">
        <f>IF('2941'!K$84=1,'2941'!G18,0)</f>
        <v>6.5</v>
      </c>
      <c r="Y18" s="392"/>
      <c r="Z18" s="403">
        <v>1</v>
      </c>
      <c r="AA18" s="403"/>
      <c r="AB18" s="57">
        <f t="shared" si="0"/>
        <v>6.5</v>
      </c>
      <c r="AC18" s="58">
        <f t="shared" si="1"/>
        <v>26966</v>
      </c>
      <c r="AD18" s="9"/>
    </row>
    <row r="19" spans="1:30" ht="15" customHeight="1" x14ac:dyDescent="0.35">
      <c r="A19" s="1" t="s">
        <v>47</v>
      </c>
      <c r="B19" s="14" t="s">
        <v>48</v>
      </c>
      <c r="C19" s="14"/>
      <c r="D19" s="14">
        <v>13</v>
      </c>
      <c r="E19" s="14">
        <v>15.5</v>
      </c>
      <c r="F19" s="14">
        <v>0</v>
      </c>
      <c r="G19" s="49">
        <f t="shared" si="2"/>
        <v>28.5</v>
      </c>
      <c r="H19" s="50"/>
      <c r="I19" s="59">
        <v>5.1040000000000001</v>
      </c>
      <c r="J19" s="59"/>
      <c r="K19" s="52">
        <f t="shared" si="3"/>
        <v>145.464</v>
      </c>
      <c r="L19" s="53">
        <f t="shared" si="4"/>
        <v>603485</v>
      </c>
      <c r="N19" s="54">
        <v>5101</v>
      </c>
      <c r="O19" s="1">
        <v>255</v>
      </c>
      <c r="Q19" s="56"/>
      <c r="V19" s="402" t="s">
        <v>48</v>
      </c>
      <c r="W19" s="402"/>
      <c r="X19" s="392">
        <f>IF('2941'!K$84=1,'2941'!G19,0)</f>
        <v>28.5</v>
      </c>
      <c r="Y19" s="392"/>
      <c r="Z19" s="403">
        <v>1</v>
      </c>
      <c r="AA19" s="403"/>
      <c r="AB19" s="57">
        <f t="shared" si="0"/>
        <v>28.5</v>
      </c>
      <c r="AC19" s="58">
        <f t="shared" si="1"/>
        <v>118238</v>
      </c>
      <c r="AD19" s="9"/>
    </row>
    <row r="20" spans="1:30" ht="15" customHeight="1" x14ac:dyDescent="0.35">
      <c r="A20" s="1" t="s">
        <v>49</v>
      </c>
      <c r="B20" s="14" t="s">
        <v>50</v>
      </c>
      <c r="C20" s="14"/>
      <c r="D20" s="14">
        <v>16.5</v>
      </c>
      <c r="E20" s="14">
        <v>16</v>
      </c>
      <c r="F20" s="14">
        <v>0</v>
      </c>
      <c r="G20" s="49">
        <f t="shared" si="2"/>
        <v>32.5</v>
      </c>
      <c r="H20" s="50"/>
      <c r="I20" s="59">
        <f>I19</f>
        <v>5.1040000000000001</v>
      </c>
      <c r="J20" s="59"/>
      <c r="K20" s="52">
        <f t="shared" si="3"/>
        <v>165.88</v>
      </c>
      <c r="L20" s="53">
        <f t="shared" si="4"/>
        <v>688185</v>
      </c>
      <c r="N20" s="54">
        <v>5102</v>
      </c>
      <c r="O20" s="56">
        <v>255</v>
      </c>
      <c r="Q20" s="56"/>
      <c r="V20" s="402" t="s">
        <v>50</v>
      </c>
      <c r="W20" s="402"/>
      <c r="X20" s="392">
        <f>IF('2941'!K$84=1,'2941'!G20,0)</f>
        <v>32.5</v>
      </c>
      <c r="Y20" s="392"/>
      <c r="Z20" s="403">
        <v>1</v>
      </c>
      <c r="AA20" s="403"/>
      <c r="AB20" s="57">
        <f t="shared" si="0"/>
        <v>32.5</v>
      </c>
      <c r="AC20" s="58">
        <f t="shared" si="1"/>
        <v>134832</v>
      </c>
      <c r="AD20" s="9"/>
    </row>
    <row r="21" spans="1:30" ht="15" customHeight="1" x14ac:dyDescent="0.35">
      <c r="A21" s="1" t="s">
        <v>51</v>
      </c>
      <c r="B21" s="14" t="s">
        <v>52</v>
      </c>
      <c r="C21" s="14"/>
      <c r="D21" s="14">
        <v>1.5</v>
      </c>
      <c r="E21" s="14">
        <v>1.5</v>
      </c>
      <c r="F21" s="14">
        <v>0</v>
      </c>
      <c r="G21" s="49">
        <f t="shared" si="2"/>
        <v>3</v>
      </c>
      <c r="H21" s="50"/>
      <c r="I21" s="59">
        <f>I20</f>
        <v>5.1040000000000001</v>
      </c>
      <c r="J21" s="59"/>
      <c r="K21" s="52">
        <f t="shared" si="3"/>
        <v>15.311999999999999</v>
      </c>
      <c r="L21" s="53">
        <f t="shared" si="4"/>
        <v>63525</v>
      </c>
      <c r="N21" s="54">
        <v>5103</v>
      </c>
      <c r="O21" s="56">
        <v>255</v>
      </c>
      <c r="Q21" s="56"/>
      <c r="V21" s="402" t="s">
        <v>52</v>
      </c>
      <c r="W21" s="402"/>
      <c r="X21" s="392">
        <f>IF('2941'!K$84=1,'2941'!G21,0)</f>
        <v>3</v>
      </c>
      <c r="Y21" s="392"/>
      <c r="Z21" s="403">
        <v>1</v>
      </c>
      <c r="AA21" s="403"/>
      <c r="AB21" s="57">
        <f t="shared" si="0"/>
        <v>3</v>
      </c>
      <c r="AC21" s="58">
        <f t="shared" si="1"/>
        <v>12446</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IF('2941'!K$84=1,'2941'!G22,0)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IF('2941'!K$84=1,'2941'!G23,0)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IF('2941'!K$84=1,'2941'!G24,0)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IF('2941'!K$84=1,'2941'!G25,0)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122.34</v>
      </c>
      <c r="E26" s="64">
        <f t="shared" si="5"/>
        <v>119.37</v>
      </c>
      <c r="F26" s="64"/>
      <c r="G26" s="64">
        <f>SUM(G10:G25)</f>
        <v>241.71</v>
      </c>
      <c r="H26" s="65"/>
      <c r="I26" s="65"/>
      <c r="J26" s="66"/>
      <c r="K26" s="67">
        <f>SUM(K10:K25)</f>
        <v>863.26880000000006</v>
      </c>
      <c r="L26" s="68">
        <f>SUM(L10:L25)</f>
        <v>3581437</v>
      </c>
      <c r="N26" s="56"/>
      <c r="O26" s="69"/>
      <c r="P26" s="56"/>
      <c r="Q26" s="56"/>
      <c r="V26" s="404" t="s">
        <v>61</v>
      </c>
      <c r="W26" s="404"/>
      <c r="X26" s="405">
        <f>SUM(X10:X25)</f>
        <v>241.71</v>
      </c>
      <c r="Y26" s="405"/>
      <c r="Z26" s="406"/>
      <c r="AA26" s="407"/>
      <c r="AB26" s="70">
        <f>SUM(AB10:AB25)</f>
        <v>241.71</v>
      </c>
      <c r="AC26" s="71">
        <f>SUM(AC10:AC25)</f>
        <v>1002780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2</v>
      </c>
      <c r="E28" s="14">
        <v>0.48</v>
      </c>
      <c r="F28" s="79">
        <v>0</v>
      </c>
      <c r="G28" s="49">
        <f t="shared" ref="G28:G36" si="6">IF($B$154&lt;8,D28*2,D28+E28)</f>
        <v>2.48</v>
      </c>
      <c r="H28" s="80"/>
      <c r="I28" s="81" t="s">
        <v>69</v>
      </c>
      <c r="J28" s="54">
        <v>251</v>
      </c>
      <c r="K28" s="82">
        <v>1047</v>
      </c>
      <c r="L28" s="83">
        <f>ROUND(G28*K28,0)</f>
        <v>2597</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0.5</v>
      </c>
      <c r="E29" s="14">
        <v>0.99</v>
      </c>
      <c r="F29" s="90">
        <v>0</v>
      </c>
      <c r="G29" s="49">
        <f t="shared" si="6"/>
        <v>1.49</v>
      </c>
      <c r="H29" s="80"/>
      <c r="I29" s="54" t="s">
        <v>69</v>
      </c>
      <c r="J29" s="54">
        <v>252</v>
      </c>
      <c r="K29" s="82">
        <v>3380</v>
      </c>
      <c r="L29" s="83">
        <f t="shared" ref="L29:L36" si="8">ROUND(G29*K29,0)</f>
        <v>5036</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8.4700000000000006</v>
      </c>
      <c r="E30" s="14">
        <v>8.4600000000000009</v>
      </c>
      <c r="F30" s="90">
        <v>0</v>
      </c>
      <c r="G30" s="49">
        <f t="shared" si="6"/>
        <v>16.93</v>
      </c>
      <c r="H30" s="80"/>
      <c r="I30" s="54" t="s">
        <v>69</v>
      </c>
      <c r="J30" s="54">
        <v>253</v>
      </c>
      <c r="K30" s="82">
        <v>6896</v>
      </c>
      <c r="L30" s="83">
        <f t="shared" si="8"/>
        <v>116749</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0.5</v>
      </c>
      <c r="E31" s="14">
        <v>0</v>
      </c>
      <c r="F31" s="90">
        <v>0</v>
      </c>
      <c r="G31" s="49">
        <f t="shared" si="6"/>
        <v>0.5</v>
      </c>
      <c r="H31" s="80"/>
      <c r="I31" s="91" t="s">
        <v>73</v>
      </c>
      <c r="J31" s="54">
        <v>251</v>
      </c>
      <c r="K31" s="82">
        <v>1173</v>
      </c>
      <c r="L31" s="83">
        <f t="shared" si="8"/>
        <v>587</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7.51</v>
      </c>
      <c r="E33" s="14">
        <v>6.98</v>
      </c>
      <c r="F33" s="90">
        <v>0</v>
      </c>
      <c r="G33" s="49">
        <f t="shared" si="6"/>
        <v>14.49</v>
      </c>
      <c r="H33" s="80"/>
      <c r="I33" s="91" t="s">
        <v>73</v>
      </c>
      <c r="J33" s="54">
        <v>253</v>
      </c>
      <c r="K33" s="82">
        <v>7023</v>
      </c>
      <c r="L33" s="83">
        <f t="shared" si="8"/>
        <v>101763</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1</v>
      </c>
      <c r="E36" s="14">
        <v>1</v>
      </c>
      <c r="F36" s="90">
        <v>0</v>
      </c>
      <c r="G36" s="49">
        <f t="shared" si="6"/>
        <v>2</v>
      </c>
      <c r="H36" s="80"/>
      <c r="I36" s="91" t="s">
        <v>77</v>
      </c>
      <c r="J36" s="54">
        <v>253</v>
      </c>
      <c r="K36" s="82">
        <v>6685</v>
      </c>
      <c r="L36" s="94">
        <f t="shared" si="8"/>
        <v>13370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19.98</v>
      </c>
      <c r="E37" s="64">
        <f t="shared" si="10"/>
        <v>17.910000000000004</v>
      </c>
      <c r="F37" s="64"/>
      <c r="G37" s="64">
        <f>SUM(G28:G36)</f>
        <v>37.89</v>
      </c>
      <c r="H37" s="65"/>
      <c r="I37" s="14" t="s">
        <v>81</v>
      </c>
      <c r="J37" s="14"/>
      <c r="K37" s="14"/>
      <c r="L37" s="53">
        <f>SUM(L28:L36)</f>
        <v>240102</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46167</v>
      </c>
      <c r="N40" s="104"/>
      <c r="O40" s="104"/>
      <c r="P40" s="104"/>
      <c r="Q40" s="104"/>
      <c r="V40" s="422" t="s">
        <v>85</v>
      </c>
      <c r="W40" s="422"/>
      <c r="X40" s="423">
        <f>+G40</f>
        <v>181379.8</v>
      </c>
      <c r="Y40" s="423"/>
      <c r="Z40" s="423"/>
      <c r="AA40" s="423"/>
      <c r="AB40" s="58">
        <f>ROUND(X39/X40,0)</f>
        <v>191</v>
      </c>
      <c r="AC40" s="58">
        <f>ROUND(AB40*$X$26,0)</f>
        <v>46167</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3867706</v>
      </c>
      <c r="O44" s="1"/>
      <c r="V44" s="433" t="s">
        <v>89</v>
      </c>
      <c r="W44" s="433"/>
      <c r="X44" s="433"/>
      <c r="Y44" s="433"/>
      <c r="Z44" s="433"/>
      <c r="AA44" s="433"/>
      <c r="AB44" s="433"/>
      <c r="AC44" s="112">
        <f>SUM(AC26,AC37,AC40)</f>
        <v>1048947</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454.11470000000003</v>
      </c>
      <c r="D47" s="123"/>
      <c r="E47" s="123"/>
      <c r="F47" s="123"/>
      <c r="G47" s="124">
        <f>K7</f>
        <v>1.0289999999999999</v>
      </c>
      <c r="H47" s="124"/>
      <c r="I47" s="125">
        <v>1325.01</v>
      </c>
      <c r="J47" s="126" t="s">
        <v>96</v>
      </c>
      <c r="K47" s="127">
        <f>ROUND(C47*G47*I47,0)</f>
        <v>619156</v>
      </c>
      <c r="L47" s="128"/>
      <c r="O47" s="1"/>
      <c r="V47" s="107" t="s">
        <v>95</v>
      </c>
      <c r="W47" s="129">
        <f>AB10+AB11+AB16+AB19+AB22</f>
        <v>129.76</v>
      </c>
      <c r="X47" s="426">
        <f>AB7</f>
        <v>1.0289999999999999</v>
      </c>
      <c r="Y47" s="426"/>
      <c r="Z47" s="130">
        <f>+I47</f>
        <v>1325.01</v>
      </c>
      <c r="AA47" s="131" t="s">
        <v>96</v>
      </c>
      <c r="AB47" s="132">
        <f>ROUND(W47*X47*Z47,0)</f>
        <v>176919</v>
      </c>
      <c r="AC47" s="133"/>
      <c r="AD47" s="9"/>
    </row>
    <row r="48" spans="1:30" ht="18" customHeight="1" x14ac:dyDescent="0.3">
      <c r="B48" s="134" t="s">
        <v>73</v>
      </c>
      <c r="C48" s="123">
        <f>K12+K13+K17+K20+K23</f>
        <v>368.77210000000002</v>
      </c>
      <c r="D48" s="123"/>
      <c r="E48" s="123"/>
      <c r="F48" s="123"/>
      <c r="G48" s="124">
        <f>K7</f>
        <v>1.0289999999999999</v>
      </c>
      <c r="H48" s="124"/>
      <c r="I48" s="125">
        <v>903.8</v>
      </c>
      <c r="J48" s="126" t="s">
        <v>96</v>
      </c>
      <c r="K48" s="127">
        <f>ROUND(C48*G48*I48,0)</f>
        <v>342962</v>
      </c>
      <c r="L48" s="63"/>
      <c r="O48" s="1"/>
      <c r="V48" s="135" t="s">
        <v>73</v>
      </c>
      <c r="W48" s="129">
        <f>AB12+AB13+AB17+AB20+AB23</f>
        <v>100.45</v>
      </c>
      <c r="X48" s="426">
        <f>AB7</f>
        <v>1.0289999999999999</v>
      </c>
      <c r="Y48" s="426"/>
      <c r="Z48" s="130">
        <f>+I48</f>
        <v>903.8</v>
      </c>
      <c r="AA48" s="131" t="s">
        <v>96</v>
      </c>
      <c r="AB48" s="132">
        <f>ROUND(W48*X48*Z48,0)</f>
        <v>93420</v>
      </c>
      <c r="AC48" s="136"/>
      <c r="AD48" s="9"/>
    </row>
    <row r="49" spans="2:30" ht="19.5" customHeight="1" thickBot="1" x14ac:dyDescent="0.4">
      <c r="B49" s="137" t="s">
        <v>77</v>
      </c>
      <c r="C49" s="138">
        <f>K14+K15+K18+K21+K24+K25</f>
        <v>40.381999999999998</v>
      </c>
      <c r="D49" s="123"/>
      <c r="E49" s="123"/>
      <c r="F49" s="123"/>
      <c r="G49" s="124">
        <f>K7</f>
        <v>1.0289999999999999</v>
      </c>
      <c r="H49" s="124"/>
      <c r="I49" s="125">
        <v>905.98</v>
      </c>
      <c r="J49" s="126" t="s">
        <v>96</v>
      </c>
      <c r="K49" s="127">
        <f>ROUND(C49*G49*I49,0)</f>
        <v>37646</v>
      </c>
      <c r="L49" s="63"/>
      <c r="M49" s="109"/>
      <c r="N49" s="139"/>
      <c r="O49" s="140"/>
      <c r="P49" s="69"/>
      <c r="Q49" s="141"/>
      <c r="V49" s="142" t="s">
        <v>77</v>
      </c>
      <c r="W49" s="143">
        <f>AB14+AB15+AB18+AB21+AB24+AB25</f>
        <v>11.5</v>
      </c>
      <c r="X49" s="426">
        <f>AB7</f>
        <v>1.0289999999999999</v>
      </c>
      <c r="Y49" s="426"/>
      <c r="Z49" s="130">
        <f>+I49</f>
        <v>905.98</v>
      </c>
      <c r="AA49" s="131" t="s">
        <v>96</v>
      </c>
      <c r="AB49" s="132">
        <f>ROUND(W49*X49*Z49,0)</f>
        <v>10721</v>
      </c>
      <c r="AC49" s="136"/>
      <c r="AD49" s="110"/>
    </row>
    <row r="50" spans="2:30" ht="24" customHeight="1" thickBot="1" x14ac:dyDescent="0.35">
      <c r="B50" s="144" t="s">
        <v>97</v>
      </c>
      <c r="C50" s="145">
        <f>SUM(C47:C49)</f>
        <v>863.26879999999994</v>
      </c>
      <c r="D50" s="146"/>
      <c r="E50" s="147"/>
      <c r="F50" s="147"/>
      <c r="G50" s="148" t="s">
        <v>98</v>
      </c>
      <c r="H50" s="148"/>
      <c r="I50" s="148"/>
      <c r="J50" s="148"/>
      <c r="K50" s="148"/>
      <c r="L50" s="53">
        <f>IF(B2=75,0,K49+K48+K47)</f>
        <v>999764</v>
      </c>
      <c r="N50" s="3"/>
      <c r="O50" s="1"/>
      <c r="V50" s="149" t="s">
        <v>97</v>
      </c>
      <c r="W50" s="150">
        <f>SUM(W47:W49)</f>
        <v>241.70999999999998</v>
      </c>
      <c r="X50" s="427" t="s">
        <v>98</v>
      </c>
      <c r="Y50" s="428"/>
      <c r="Z50" s="428"/>
      <c r="AA50" s="428"/>
      <c r="AB50" s="428"/>
      <c r="AC50" s="58">
        <f>IF(V2=75,0,AB49+AB48+AB47)</f>
        <v>281060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863.26880000000006</v>
      </c>
      <c r="H53" s="59" t="s">
        <v>102</v>
      </c>
      <c r="I53" s="59"/>
      <c r="J53" s="155">
        <v>198050.23</v>
      </c>
      <c r="K53" s="155"/>
      <c r="L53" s="155"/>
      <c r="N53" s="3"/>
      <c r="O53" s="1"/>
      <c r="V53" s="436" t="s">
        <v>101</v>
      </c>
      <c r="W53" s="436"/>
      <c r="X53" s="156">
        <f>AB26</f>
        <v>241.71</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4.359E-3</v>
      </c>
      <c r="L54" s="157"/>
      <c r="N54" s="69"/>
      <c r="O54" s="1"/>
      <c r="V54" s="436" t="s">
        <v>103</v>
      </c>
      <c r="W54" s="436"/>
      <c r="X54" s="436"/>
      <c r="Y54" s="436"/>
      <c r="Z54" s="436"/>
      <c r="AA54" s="436"/>
      <c r="AB54" s="439">
        <f>ROUND(X53/AA53,6)</f>
        <v>1.2199999999999999E-3</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241.71</v>
      </c>
      <c r="H56" s="59" t="s">
        <v>106</v>
      </c>
      <c r="I56" s="59"/>
      <c r="J56" s="155">
        <f>+G40</f>
        <v>181379.8</v>
      </c>
      <c r="K56" s="155"/>
      <c r="L56" s="155"/>
      <c r="O56" s="1"/>
      <c r="V56" s="436" t="s">
        <v>105</v>
      </c>
      <c r="W56" s="436"/>
      <c r="X56" s="159">
        <f>X26</f>
        <v>241.71</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1.333E-3</v>
      </c>
      <c r="L57" s="157"/>
      <c r="O57" s="1"/>
      <c r="V57" s="436" t="s">
        <v>107</v>
      </c>
      <c r="W57" s="436"/>
      <c r="X57" s="436"/>
      <c r="Y57" s="436"/>
      <c r="Z57" s="436"/>
      <c r="AA57" s="436"/>
      <c r="AB57" s="439">
        <f>ROUND(X56/AA56,6)</f>
        <v>1.333E-3</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1.2199999999999999E-3</v>
      </c>
      <c r="AC58" s="58">
        <f>ROUND(Y58*AB58,0)</f>
        <v>5162</v>
      </c>
      <c r="AD58" s="9"/>
    </row>
    <row r="59" spans="2:30" x14ac:dyDescent="0.3">
      <c r="B59" s="63" t="s">
        <v>109</v>
      </c>
      <c r="C59" s="63"/>
      <c r="D59" s="63"/>
      <c r="E59" s="63"/>
      <c r="F59" s="63"/>
      <c r="G59" s="63"/>
      <c r="H59" s="163" t="s">
        <v>21</v>
      </c>
      <c r="I59" s="127">
        <v>4230917</v>
      </c>
      <c r="J59" s="164" t="s">
        <v>110</v>
      </c>
      <c r="K59" s="165">
        <f>K54</f>
        <v>4.359E-3</v>
      </c>
      <c r="L59" s="53">
        <f>ROUND(I59*K59,0)</f>
        <v>18443</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1.2199999999999999E-3</v>
      </c>
      <c r="AC66" s="58">
        <f>ROUND(Y66*AB66,0)</f>
        <v>126512</v>
      </c>
      <c r="AD66" s="9"/>
    </row>
    <row r="67" spans="1:30" ht="20.25" customHeight="1" x14ac:dyDescent="0.3">
      <c r="B67" s="14" t="s">
        <v>118</v>
      </c>
      <c r="C67" s="14"/>
      <c r="D67" s="14"/>
      <c r="E67" s="14"/>
      <c r="F67" s="14"/>
      <c r="H67" s="163" t="s">
        <v>23</v>
      </c>
      <c r="I67" s="127">
        <v>103698709</v>
      </c>
      <c r="J67" s="164" t="s">
        <v>110</v>
      </c>
      <c r="K67" s="165">
        <f>K54</f>
        <v>4.359E-3</v>
      </c>
      <c r="L67" s="53">
        <f>ROUND(I67*K67,0)</f>
        <v>452023</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1.333E-3</v>
      </c>
      <c r="AC68" s="58">
        <f>ROUND(Y68*AB68,0)</f>
        <v>0</v>
      </c>
      <c r="AD68" s="9"/>
    </row>
    <row r="69" spans="1:30" ht="15" customHeight="1" x14ac:dyDescent="0.3">
      <c r="B69" s="169" t="s">
        <v>120</v>
      </c>
      <c r="C69" s="14"/>
      <c r="D69" s="14"/>
      <c r="E69" s="14"/>
      <c r="F69" s="14"/>
      <c r="H69" s="163" t="s">
        <v>22</v>
      </c>
      <c r="I69" s="127">
        <v>0</v>
      </c>
      <c r="J69" s="164" t="s">
        <v>110</v>
      </c>
      <c r="K69" s="165">
        <f>K57</f>
        <v>1.333E-3</v>
      </c>
      <c r="L69" s="53">
        <f>ROUND(I69*K69,0)</f>
        <v>0</v>
      </c>
      <c r="O69" s="1"/>
      <c r="V69" s="430" t="s">
        <v>121</v>
      </c>
      <c r="W69" s="430"/>
      <c r="X69" s="430"/>
      <c r="Y69" s="447">
        <f>+I70</f>
        <v>0</v>
      </c>
      <c r="Z69" s="447"/>
      <c r="AA69" s="161" t="s">
        <v>110</v>
      </c>
      <c r="AB69" s="162">
        <f>AB54</f>
        <v>1.2199999999999999E-3</v>
      </c>
      <c r="AC69" s="58">
        <f>ROUND(Y69*AB69,0)</f>
        <v>0</v>
      </c>
      <c r="AD69" s="9"/>
    </row>
    <row r="70" spans="1:30" ht="20.25" customHeight="1" x14ac:dyDescent="0.3">
      <c r="B70" s="14" t="s">
        <v>121</v>
      </c>
      <c r="C70" s="14"/>
      <c r="D70" s="14"/>
      <c r="E70" s="14"/>
      <c r="F70" s="14"/>
      <c r="H70" s="163" t="s">
        <v>21</v>
      </c>
      <c r="I70" s="127">
        <v>0</v>
      </c>
      <c r="J70" s="164" t="s">
        <v>110</v>
      </c>
      <c r="K70" s="165">
        <f>K54</f>
        <v>4.359E-3</v>
      </c>
      <c r="L70" s="53">
        <f>ROUND(I70*K70,0)</f>
        <v>0</v>
      </c>
      <c r="O70" s="1"/>
      <c r="V70" s="430" t="s">
        <v>122</v>
      </c>
      <c r="W70" s="430"/>
      <c r="X70" s="430"/>
      <c r="Y70" s="444">
        <f>+I71</f>
        <v>1865769</v>
      </c>
      <c r="Z70" s="444"/>
      <c r="AA70" s="161" t="s">
        <v>110</v>
      </c>
      <c r="AB70" s="162">
        <f>AB54</f>
        <v>1.2199999999999999E-3</v>
      </c>
      <c r="AC70" s="58">
        <f>ROUND(Y70*AB70,0)</f>
        <v>2276</v>
      </c>
      <c r="AD70" s="9"/>
    </row>
    <row r="71" spans="1:30" ht="20.25" customHeight="1" x14ac:dyDescent="0.3">
      <c r="B71" s="14" t="s">
        <v>122</v>
      </c>
      <c r="C71" s="14"/>
      <c r="D71" s="14"/>
      <c r="E71" s="14"/>
      <c r="F71" s="14"/>
      <c r="H71" s="163" t="s">
        <v>21</v>
      </c>
      <c r="I71" s="127">
        <v>1865769</v>
      </c>
      <c r="J71" s="164" t="s">
        <v>110</v>
      </c>
      <c r="K71" s="165">
        <f>K54</f>
        <v>4.359E-3</v>
      </c>
      <c r="L71" s="53">
        <f>ROUND(I71*K71,0)</f>
        <v>8133</v>
      </c>
      <c r="O71" s="1"/>
      <c r="V71" s="430" t="s">
        <v>123</v>
      </c>
      <c r="W71" s="430"/>
      <c r="X71" s="430"/>
      <c r="Y71" s="444">
        <f>+I72</f>
        <v>13963927</v>
      </c>
      <c r="Z71" s="444"/>
      <c r="AA71" s="161" t="s">
        <v>110</v>
      </c>
      <c r="AB71" s="162">
        <f>AB57</f>
        <v>1.333E-3</v>
      </c>
      <c r="AC71" s="58">
        <f>ROUND(Y71*AB71,0)</f>
        <v>18614</v>
      </c>
      <c r="AD71" s="9"/>
    </row>
    <row r="72" spans="1:30" ht="21" customHeight="1" x14ac:dyDescent="0.35">
      <c r="B72" s="14" t="s">
        <v>123</v>
      </c>
      <c r="C72" s="14"/>
      <c r="D72" s="14"/>
      <c r="E72" s="14"/>
      <c r="F72" s="14"/>
      <c r="H72" s="163" t="s">
        <v>22</v>
      </c>
      <c r="I72" s="127">
        <v>13963927</v>
      </c>
      <c r="J72" s="164" t="s">
        <v>110</v>
      </c>
      <c r="K72" s="165">
        <f>K57</f>
        <v>1.333E-3</v>
      </c>
      <c r="L72" s="53">
        <f>ROUND(I72*K72,0)</f>
        <v>18614</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7</v>
      </c>
      <c r="AA74" s="173" t="s">
        <v>130</v>
      </c>
      <c r="AB74" s="174">
        <f>+K75</f>
        <v>361</v>
      </c>
      <c r="AC74" s="58">
        <f>ROUND(AB74*Z74,0)</f>
        <v>2527</v>
      </c>
      <c r="AD74" s="9"/>
    </row>
    <row r="75" spans="1:30" ht="19.5" customHeight="1" x14ac:dyDescent="0.3">
      <c r="A75" s="1" t="s">
        <v>131</v>
      </c>
      <c r="B75" s="175" t="s">
        <v>128</v>
      </c>
      <c r="C75" s="176" t="s">
        <v>129</v>
      </c>
      <c r="D75" s="175">
        <v>7</v>
      </c>
      <c r="E75" s="175">
        <v>7</v>
      </c>
      <c r="F75" s="175">
        <v>0</v>
      </c>
      <c r="G75" s="177">
        <f>IF($B$154&lt;8,D75,E75)</f>
        <v>7</v>
      </c>
      <c r="H75" s="178"/>
      <c r="I75" s="179">
        <f>AVERAGE(G75,D75)</f>
        <v>7</v>
      </c>
      <c r="J75" s="180" t="s">
        <v>130</v>
      </c>
      <c r="K75" s="181">
        <v>361</v>
      </c>
      <c r="L75" s="53">
        <f>ROUND(K75*I75,0)</f>
        <v>2527</v>
      </c>
      <c r="N75" s="1">
        <v>7802</v>
      </c>
      <c r="O75" s="1">
        <v>0</v>
      </c>
      <c r="V75" s="445" t="s">
        <v>128</v>
      </c>
      <c r="W75" s="445"/>
      <c r="X75" s="170" t="s">
        <v>132</v>
      </c>
      <c r="Y75" s="182"/>
      <c r="Z75" s="183">
        <f>+I76</f>
        <v>7</v>
      </c>
      <c r="AA75" s="173" t="s">
        <v>130</v>
      </c>
      <c r="AB75" s="184">
        <f>+K76</f>
        <v>1357</v>
      </c>
      <c r="AC75" s="58">
        <f>ROUND(AB75*Z75,0)</f>
        <v>9499</v>
      </c>
      <c r="AD75" s="9"/>
    </row>
    <row r="76" spans="1:30" ht="19.5" customHeight="1" x14ac:dyDescent="0.3">
      <c r="A76" s="1" t="s">
        <v>133</v>
      </c>
      <c r="B76" s="175" t="s">
        <v>128</v>
      </c>
      <c r="C76" s="176" t="s">
        <v>132</v>
      </c>
      <c r="D76" s="175">
        <v>7</v>
      </c>
      <c r="E76" s="175">
        <v>7</v>
      </c>
      <c r="F76" s="175">
        <v>0</v>
      </c>
      <c r="G76" s="177">
        <f>IF($B$154&lt;8,D76,E76)</f>
        <v>7</v>
      </c>
      <c r="H76" s="178"/>
      <c r="I76" s="179">
        <f>AVERAGE(G76,D76)</f>
        <v>7</v>
      </c>
      <c r="J76" s="180" t="s">
        <v>130</v>
      </c>
      <c r="K76" s="185">
        <v>1357</v>
      </c>
      <c r="L76" s="53">
        <f>ROUND(K76*I76,0)</f>
        <v>9499</v>
      </c>
      <c r="N76" s="1">
        <v>7802</v>
      </c>
      <c r="O76" s="1">
        <v>110</v>
      </c>
      <c r="V76" s="430" t="str">
        <f>+B77</f>
        <v>14.  Digital Classrooms Allocation (UFTE share)</v>
      </c>
      <c r="W76" s="430"/>
      <c r="X76" s="430"/>
      <c r="Y76" s="440">
        <f>+I77</f>
        <v>1716988</v>
      </c>
      <c r="Z76" s="440"/>
      <c r="AA76" s="173" t="s">
        <v>130</v>
      </c>
      <c r="AB76" s="162">
        <f>AB57</f>
        <v>1.333E-3</v>
      </c>
      <c r="AC76" s="58">
        <f>ROUND(Y76*AB76,0)</f>
        <v>2289</v>
      </c>
      <c r="AD76" s="9"/>
    </row>
    <row r="77" spans="1:30" ht="26.25" customHeight="1" x14ac:dyDescent="0.3">
      <c r="B77" s="14" t="s">
        <v>134</v>
      </c>
      <c r="C77" s="14"/>
      <c r="D77" s="14"/>
      <c r="E77" s="14"/>
      <c r="F77" s="14"/>
      <c r="H77" s="163" t="s">
        <v>25</v>
      </c>
      <c r="I77" s="186">
        <v>1716988</v>
      </c>
      <c r="J77" s="164" t="s">
        <v>110</v>
      </c>
      <c r="K77" s="165">
        <f>K57</f>
        <v>1.333E-3</v>
      </c>
      <c r="L77" s="53">
        <f>ROUND(I77*K77,0)</f>
        <v>2289</v>
      </c>
      <c r="O77" s="1"/>
      <c r="V77" s="430" t="str">
        <f>+B78</f>
        <v>15.  Florida Teachers Classroom Supply Assistance Program</v>
      </c>
      <c r="W77" s="430"/>
      <c r="X77" s="430"/>
      <c r="Y77" s="440">
        <f>+I78</f>
        <v>0</v>
      </c>
      <c r="Z77" s="440"/>
      <c r="AA77" s="173" t="s">
        <v>130</v>
      </c>
      <c r="AB77" s="162">
        <f>AB54</f>
        <v>1.2199999999999999E-3</v>
      </c>
      <c r="AC77" s="58">
        <f>ROUND(Y77*AB77,0)</f>
        <v>0</v>
      </c>
      <c r="AD77" s="9"/>
    </row>
    <row r="78" spans="1:30" ht="26.25" customHeight="1" x14ac:dyDescent="0.3">
      <c r="B78" s="384" t="s">
        <v>135</v>
      </c>
      <c r="C78" s="384"/>
      <c r="D78" s="384"/>
      <c r="E78" s="14"/>
      <c r="F78" s="14"/>
      <c r="H78" s="163" t="s">
        <v>136</v>
      </c>
      <c r="I78" s="187">
        <v>0</v>
      </c>
      <c r="J78" s="164" t="s">
        <v>110</v>
      </c>
      <c r="K78" s="165">
        <f>K54</f>
        <v>4.359E-3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1496886</v>
      </c>
      <c r="AD81" s="197"/>
    </row>
    <row r="82" spans="1:30" ht="22.5" customHeight="1" thickTop="1" thickBot="1" x14ac:dyDescent="0.35">
      <c r="B82" s="14" t="s">
        <v>140</v>
      </c>
      <c r="C82" s="14"/>
      <c r="D82" s="14"/>
      <c r="E82" s="14"/>
      <c r="F82" s="14"/>
      <c r="G82" s="14"/>
      <c r="H82" s="14"/>
      <c r="I82" s="14"/>
      <c r="J82" s="14"/>
      <c r="K82" s="14"/>
      <c r="L82" s="198">
        <f>SUM(L44:L81)</f>
        <v>5378998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'2941'!AC81</f>
        <v>1496886</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1496886</v>
      </c>
      <c r="L86" s="83">
        <f>IF(G26=0,0,IF(G26&gt;250,-(((250/G26)*K86)*IF(M86="H",0.02,0.05)),IF(M86="H",-0.02*K86,-0.05*K86)))</f>
        <v>-74844.3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5304153.7</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-446491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4857662.7</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441605.7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290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291</v>
      </c>
      <c r="C123" s="221" t="s">
        <v>199</v>
      </c>
    </row>
    <row r="124" spans="2:3" hidden="1" x14ac:dyDescent="0.3">
      <c r="B124" s="225" t="s">
        <v>292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41808.602453703701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290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291</v>
      </c>
      <c r="C164" s="235" t="s">
        <v>244</v>
      </c>
      <c r="D164" s="231"/>
    </row>
    <row r="165" spans="1:4" hidden="1" x14ac:dyDescent="0.3">
      <c r="A165" s="230" t="s">
        <v>245</v>
      </c>
      <c r="B165" s="234" t="s">
        <v>292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41808.602453703701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80"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'3083'!B2</f>
        <v>50</v>
      </c>
      <c r="W2" s="380" t="s">
        <v>4</v>
      </c>
      <c r="X2" s="381"/>
      <c r="Y2" s="382"/>
      <c r="Z2" s="382"/>
      <c r="AA2" s="382"/>
      <c r="AB2" s="382"/>
      <c r="AC2" s="382"/>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'3083'!G7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IF('3083'!K$84=1,'3083'!G10,0)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IF('3083'!K$84=1,'3083'!G11,0)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IF('3083'!K$84=1,'3083'!G12,0)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IF('3083'!K$84=1,'3083'!G13,0)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IF('3083'!K$84=1,'3083'!G14,0)</f>
        <v>0</v>
      </c>
      <c r="Y14" s="392"/>
      <c r="Z14" s="403">
        <v>1</v>
      </c>
      <c r="AA14" s="403"/>
      <c r="AB14" s="57">
        <f t="shared" si="0"/>
        <v>0</v>
      </c>
      <c r="AC14" s="58">
        <f t="shared" si="1"/>
        <v>0</v>
      </c>
      <c r="AD14" s="9"/>
    </row>
    <row r="15" spans="1:30" x14ac:dyDescent="0.3">
      <c r="A15" s="1" t="s">
        <v>38</v>
      </c>
      <c r="B15" s="14" t="s">
        <v>39</v>
      </c>
      <c r="C15" s="14"/>
      <c r="D15" s="14">
        <v>9.44</v>
      </c>
      <c r="E15" s="14">
        <v>8.3699999999999992</v>
      </c>
      <c r="F15" s="14">
        <v>0</v>
      </c>
      <c r="G15" s="49">
        <f t="shared" si="2"/>
        <v>17.809999999999999</v>
      </c>
      <c r="H15" s="50"/>
      <c r="I15" s="59">
        <f>I14</f>
        <v>1.004</v>
      </c>
      <c r="J15" s="59"/>
      <c r="K15" s="52">
        <f t="shared" si="3"/>
        <v>17.8812</v>
      </c>
      <c r="L15" s="61">
        <f t="shared" si="4"/>
        <v>74184</v>
      </c>
      <c r="M15" s="1" t="str">
        <f>IF(ROUND(G15,2)=ROUND(SUM(G34:G36),2)," ","CHECK 2. 9-12 Lines Below")</f>
        <v xml:space="preserve"> </v>
      </c>
      <c r="N15" s="54">
        <v>5103</v>
      </c>
      <c r="O15" s="60" t="s">
        <v>40</v>
      </c>
      <c r="Q15" s="56"/>
      <c r="V15" s="402" t="s">
        <v>39</v>
      </c>
      <c r="W15" s="402"/>
      <c r="X15" s="392">
        <f>IF('3083'!K$84=1,'3083'!G15,0)</f>
        <v>17.809999999999999</v>
      </c>
      <c r="Y15" s="392"/>
      <c r="Z15" s="403">
        <v>1</v>
      </c>
      <c r="AA15" s="403"/>
      <c r="AB15" s="57">
        <f t="shared" si="0"/>
        <v>17.809999999999999</v>
      </c>
      <c r="AC15" s="62">
        <f t="shared" si="1"/>
        <v>73888</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IF('3083'!K$84=1,'3083'!G16,0)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IF('3083'!K$84=1,'3083'!G17,0)</f>
        <v>0</v>
      </c>
      <c r="Y17" s="392"/>
      <c r="Z17" s="403">
        <v>1</v>
      </c>
      <c r="AA17" s="403"/>
      <c r="AB17" s="57">
        <f t="shared" si="0"/>
        <v>0</v>
      </c>
      <c r="AC17" s="58">
        <f t="shared" si="1"/>
        <v>0</v>
      </c>
      <c r="AD17" s="9"/>
    </row>
    <row r="18" spans="1:30" ht="16.2" x14ac:dyDescent="0.35">
      <c r="A18" s="1" t="s">
        <v>45</v>
      </c>
      <c r="B18" s="14" t="s">
        <v>46</v>
      </c>
      <c r="C18" s="14"/>
      <c r="D18" s="14">
        <v>21.5</v>
      </c>
      <c r="E18" s="14">
        <v>22.47</v>
      </c>
      <c r="F18" s="14">
        <v>0</v>
      </c>
      <c r="G18" s="49">
        <f t="shared" si="2"/>
        <v>43.97</v>
      </c>
      <c r="H18" s="50"/>
      <c r="I18" s="59">
        <f>I17</f>
        <v>3.548</v>
      </c>
      <c r="J18" s="59"/>
      <c r="K18" s="52">
        <f t="shared" si="3"/>
        <v>156.00559999999999</v>
      </c>
      <c r="L18" s="53">
        <f t="shared" si="4"/>
        <v>647219</v>
      </c>
      <c r="N18" s="54">
        <v>5103</v>
      </c>
      <c r="O18" s="56">
        <v>254</v>
      </c>
      <c r="Q18" s="56"/>
      <c r="V18" s="402" t="s">
        <v>46</v>
      </c>
      <c r="W18" s="402"/>
      <c r="X18" s="392">
        <f>IF('3083'!K$84=1,'3083'!G18,0)</f>
        <v>43.97</v>
      </c>
      <c r="Y18" s="392"/>
      <c r="Z18" s="403">
        <v>1</v>
      </c>
      <c r="AA18" s="403"/>
      <c r="AB18" s="57">
        <f t="shared" si="0"/>
        <v>43.97</v>
      </c>
      <c r="AC18" s="58">
        <f t="shared" si="1"/>
        <v>182418</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IF('3083'!K$84=1,'3083'!G19,0)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IF('3083'!K$84=1,'3083'!G20,0)</f>
        <v>0</v>
      </c>
      <c r="Y20" s="392"/>
      <c r="Z20" s="403">
        <v>1</v>
      </c>
      <c r="AA20" s="403"/>
      <c r="AB20" s="57">
        <f t="shared" si="0"/>
        <v>0</v>
      </c>
      <c r="AC20" s="58">
        <f t="shared" si="1"/>
        <v>0</v>
      </c>
      <c r="AD20" s="9"/>
    </row>
    <row r="21" spans="1:30" ht="15" customHeight="1" x14ac:dyDescent="0.35">
      <c r="A21" s="1" t="s">
        <v>51</v>
      </c>
      <c r="B21" s="14" t="s">
        <v>52</v>
      </c>
      <c r="C21" s="14"/>
      <c r="D21" s="14">
        <v>13.47</v>
      </c>
      <c r="E21" s="14">
        <v>14.53</v>
      </c>
      <c r="F21" s="14">
        <v>0</v>
      </c>
      <c r="G21" s="49">
        <f t="shared" si="2"/>
        <v>28</v>
      </c>
      <c r="H21" s="50"/>
      <c r="I21" s="59">
        <f>I20</f>
        <v>5.1040000000000001</v>
      </c>
      <c r="J21" s="59"/>
      <c r="K21" s="52">
        <f t="shared" si="3"/>
        <v>142.91200000000001</v>
      </c>
      <c r="L21" s="53">
        <f t="shared" si="4"/>
        <v>592898</v>
      </c>
      <c r="N21" s="54">
        <v>5103</v>
      </c>
      <c r="O21" s="56">
        <v>255</v>
      </c>
      <c r="Q21" s="56"/>
      <c r="V21" s="402" t="s">
        <v>52</v>
      </c>
      <c r="W21" s="402"/>
      <c r="X21" s="392">
        <f>IF('3083'!K$84=1,'3083'!G21,0)</f>
        <v>28</v>
      </c>
      <c r="Y21" s="392"/>
      <c r="Z21" s="403">
        <v>1</v>
      </c>
      <c r="AA21" s="403"/>
      <c r="AB21" s="57">
        <f t="shared" si="0"/>
        <v>28</v>
      </c>
      <c r="AC21" s="58">
        <f t="shared" si="1"/>
        <v>116163</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IF('3083'!K$84=1,'3083'!G22,0)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IF('3083'!K$84=1,'3083'!G23,0)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IF('3083'!K$84=1,'3083'!G24,0)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IF('3083'!K$84=1,'3083'!G25,0)</f>
        <v>0</v>
      </c>
      <c r="Y25" s="392"/>
      <c r="Z25" s="403">
        <v>1</v>
      </c>
      <c r="AA25" s="403"/>
      <c r="AB25" s="57">
        <f t="shared" si="0"/>
        <v>0</v>
      </c>
      <c r="AC25" s="58">
        <f t="shared" si="1"/>
        <v>0</v>
      </c>
      <c r="AD25" s="9"/>
    </row>
    <row r="26" spans="1:30" ht="20.25" customHeight="1" thickBot="1" x14ac:dyDescent="0.35">
      <c r="B26" s="63" t="s">
        <v>61</v>
      </c>
      <c r="C26" s="63"/>
      <c r="D26" s="64">
        <f t="shared" ref="D26:E26" si="5">SUM(D10:D25)</f>
        <v>44.41</v>
      </c>
      <c r="E26" s="64">
        <f t="shared" si="5"/>
        <v>45.37</v>
      </c>
      <c r="F26" s="64"/>
      <c r="G26" s="64">
        <f>SUM(G10:G25)</f>
        <v>89.78</v>
      </c>
      <c r="H26" s="65"/>
      <c r="I26" s="65"/>
      <c r="J26" s="66"/>
      <c r="K26" s="67">
        <f>SUM(K10:K25)</f>
        <v>316.79880000000003</v>
      </c>
      <c r="L26" s="68">
        <f>SUM(L10:L25)</f>
        <v>1314301</v>
      </c>
      <c r="N26" s="56"/>
      <c r="O26" s="69"/>
      <c r="P26" s="56"/>
      <c r="Q26" s="56"/>
      <c r="V26" s="404" t="s">
        <v>61</v>
      </c>
      <c r="W26" s="404"/>
      <c r="X26" s="405">
        <f>SUM(X10:X25)</f>
        <v>89.78</v>
      </c>
      <c r="Y26" s="405"/>
      <c r="Z26" s="406"/>
      <c r="AA26" s="407"/>
      <c r="AB26" s="70">
        <f>SUM(AB10:AB25)</f>
        <v>89.78</v>
      </c>
      <c r="AC26" s="71">
        <f>SUM(AC10:AC25)</f>
        <v>372469</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0.5</v>
      </c>
      <c r="E35" s="14">
        <v>0.97</v>
      </c>
      <c r="F35" s="90">
        <v>0</v>
      </c>
      <c r="G35" s="49">
        <f t="shared" si="6"/>
        <v>1.47</v>
      </c>
      <c r="H35" s="80"/>
      <c r="I35" s="91" t="s">
        <v>77</v>
      </c>
      <c r="J35" s="54">
        <v>252</v>
      </c>
      <c r="K35" s="82">
        <v>3168</v>
      </c>
      <c r="L35" s="83">
        <f t="shared" si="8"/>
        <v>4657</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8.94</v>
      </c>
      <c r="E36" s="14">
        <v>7.4</v>
      </c>
      <c r="F36" s="90">
        <v>0</v>
      </c>
      <c r="G36" s="49">
        <f t="shared" si="6"/>
        <v>16.34</v>
      </c>
      <c r="H36" s="80"/>
      <c r="I36" s="91" t="s">
        <v>77</v>
      </c>
      <c r="J36" s="54">
        <v>253</v>
      </c>
      <c r="K36" s="82">
        <v>6685</v>
      </c>
      <c r="L36" s="94">
        <f t="shared" si="8"/>
        <v>109233</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9.44</v>
      </c>
      <c r="E37" s="64">
        <f t="shared" si="10"/>
        <v>8.370000000000001</v>
      </c>
      <c r="F37" s="64"/>
      <c r="G37" s="64">
        <f>SUM(G28:G36)</f>
        <v>17.809999999999999</v>
      </c>
      <c r="H37" s="65"/>
      <c r="I37" s="14" t="s">
        <v>81</v>
      </c>
      <c r="J37" s="14"/>
      <c r="K37" s="14"/>
      <c r="L37" s="53">
        <f>SUM(L28:L36)</f>
        <v>113890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17148</v>
      </c>
      <c r="N40" s="104"/>
      <c r="O40" s="104"/>
      <c r="P40" s="104"/>
      <c r="Q40" s="104"/>
      <c r="V40" s="422" t="s">
        <v>85</v>
      </c>
      <c r="W40" s="422"/>
      <c r="X40" s="423">
        <f>+G40</f>
        <v>181379.8</v>
      </c>
      <c r="Y40" s="423"/>
      <c r="Z40" s="423"/>
      <c r="AA40" s="423"/>
      <c r="AB40" s="58">
        <f>ROUND(X39/X40,0)</f>
        <v>191</v>
      </c>
      <c r="AC40" s="58">
        <f>ROUND(AB40*$X$26,0)</f>
        <v>17148</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1445339</v>
      </c>
      <c r="O44" s="1"/>
      <c r="V44" s="433" t="s">
        <v>89</v>
      </c>
      <c r="W44" s="433"/>
      <c r="X44" s="433"/>
      <c r="Y44" s="433"/>
      <c r="Z44" s="433"/>
      <c r="AA44" s="433"/>
      <c r="AB44" s="433"/>
      <c r="AC44" s="112">
        <f>SUM(AC26,AC37,AC40)</f>
        <v>389617</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316.79880000000003</v>
      </c>
      <c r="D49" s="123"/>
      <c r="E49" s="123"/>
      <c r="F49" s="123"/>
      <c r="G49" s="124">
        <f>K7</f>
        <v>1.0289999999999999</v>
      </c>
      <c r="H49" s="124"/>
      <c r="I49" s="125">
        <v>905.98</v>
      </c>
      <c r="J49" s="126" t="s">
        <v>96</v>
      </c>
      <c r="K49" s="127">
        <f>ROUND(C49*G49*I49,0)</f>
        <v>295337</v>
      </c>
      <c r="L49" s="63"/>
      <c r="M49" s="109"/>
      <c r="N49" s="139"/>
      <c r="O49" s="140"/>
      <c r="P49" s="69"/>
      <c r="Q49" s="141"/>
      <c r="V49" s="142" t="s">
        <v>77</v>
      </c>
      <c r="W49" s="143">
        <f>AB14+AB15+AB18+AB21+AB24+AB25</f>
        <v>89.78</v>
      </c>
      <c r="X49" s="426">
        <f>AB7</f>
        <v>1.0289999999999999</v>
      </c>
      <c r="Y49" s="426"/>
      <c r="Z49" s="130">
        <f>+I49</f>
        <v>905.98</v>
      </c>
      <c r="AA49" s="131" t="s">
        <v>96</v>
      </c>
      <c r="AB49" s="132">
        <f>ROUND(W49*X49*Z49,0)</f>
        <v>83698</v>
      </c>
      <c r="AC49" s="136"/>
      <c r="AD49" s="110"/>
    </row>
    <row r="50" spans="2:30" ht="24" customHeight="1" thickBot="1" x14ac:dyDescent="0.35">
      <c r="B50" s="144" t="s">
        <v>97</v>
      </c>
      <c r="C50" s="145">
        <f>SUM(C47:C49)</f>
        <v>316.79880000000003</v>
      </c>
      <c r="D50" s="146"/>
      <c r="E50" s="147"/>
      <c r="F50" s="147"/>
      <c r="G50" s="148" t="s">
        <v>98</v>
      </c>
      <c r="H50" s="148"/>
      <c r="I50" s="148"/>
      <c r="J50" s="148"/>
      <c r="K50" s="148"/>
      <c r="L50" s="53">
        <f>IF(B2=75,0,K49+K48+K47)</f>
        <v>295337</v>
      </c>
      <c r="N50" s="3"/>
      <c r="O50" s="1"/>
      <c r="V50" s="149" t="s">
        <v>97</v>
      </c>
      <c r="W50" s="150">
        <f>SUM(W47:W49)</f>
        <v>89.78</v>
      </c>
      <c r="X50" s="427" t="s">
        <v>98</v>
      </c>
      <c r="Y50" s="428"/>
      <c r="Z50" s="428"/>
      <c r="AA50" s="428"/>
      <c r="AB50" s="428"/>
      <c r="AC50" s="58">
        <f>IF(V2=75,0,AB49+AB48+AB47)</f>
        <v>83698</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316.79880000000003</v>
      </c>
      <c r="H53" s="59" t="s">
        <v>102</v>
      </c>
      <c r="I53" s="59"/>
      <c r="J53" s="155">
        <v>198050.23</v>
      </c>
      <c r="K53" s="155"/>
      <c r="L53" s="155"/>
      <c r="N53" s="3"/>
      <c r="O53" s="1"/>
      <c r="V53" s="436" t="s">
        <v>101</v>
      </c>
      <c r="W53" s="436"/>
      <c r="X53" s="156">
        <f>AB26</f>
        <v>89.78</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1.6000000000000001E-3</v>
      </c>
      <c r="L54" s="157"/>
      <c r="N54" s="69"/>
      <c r="O54" s="1"/>
      <c r="V54" s="436" t="s">
        <v>103</v>
      </c>
      <c r="W54" s="436"/>
      <c r="X54" s="436"/>
      <c r="Y54" s="436"/>
      <c r="Z54" s="436"/>
      <c r="AA54" s="436"/>
      <c r="AB54" s="439">
        <f>ROUND(X53/AA53,6)</f>
        <v>4.5300000000000001E-4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89.78</v>
      </c>
      <c r="H56" s="59" t="s">
        <v>106</v>
      </c>
      <c r="I56" s="59"/>
      <c r="J56" s="155">
        <f>+G40</f>
        <v>181379.8</v>
      </c>
      <c r="K56" s="155"/>
      <c r="L56" s="155"/>
      <c r="O56" s="1"/>
      <c r="V56" s="436" t="s">
        <v>105</v>
      </c>
      <c r="W56" s="436"/>
      <c r="X56" s="159">
        <f>X26</f>
        <v>89.78</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4.95E-4</v>
      </c>
      <c r="L57" s="157"/>
      <c r="O57" s="1"/>
      <c r="V57" s="436" t="s">
        <v>107</v>
      </c>
      <c r="W57" s="436"/>
      <c r="X57" s="436"/>
      <c r="Y57" s="436"/>
      <c r="Z57" s="436"/>
      <c r="AA57" s="436"/>
      <c r="AB57" s="439">
        <f>ROUND(X56/AA56,6)</f>
        <v>4.95E-4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4.5300000000000001E-4</v>
      </c>
      <c r="AC58" s="58">
        <f>ROUND(Y58*AB58,0)</f>
        <v>1917</v>
      </c>
      <c r="AD58" s="9"/>
    </row>
    <row r="59" spans="2:30" x14ac:dyDescent="0.3">
      <c r="B59" s="63" t="s">
        <v>109</v>
      </c>
      <c r="C59" s="63"/>
      <c r="D59" s="63"/>
      <c r="E59" s="63"/>
      <c r="F59" s="63"/>
      <c r="G59" s="63"/>
      <c r="H59" s="163" t="s">
        <v>21</v>
      </c>
      <c r="I59" s="127">
        <v>4230917</v>
      </c>
      <c r="J59" s="164" t="s">
        <v>110</v>
      </c>
      <c r="K59" s="165">
        <f>K54</f>
        <v>1.6000000000000001E-3</v>
      </c>
      <c r="L59" s="53">
        <f>ROUND(I59*K59,0)</f>
        <v>6769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4.5300000000000001E-4</v>
      </c>
      <c r="AC66" s="58">
        <f>ROUND(Y66*AB66,0)</f>
        <v>46976</v>
      </c>
      <c r="AD66" s="9"/>
    </row>
    <row r="67" spans="1:30" ht="20.25" customHeight="1" x14ac:dyDescent="0.3">
      <c r="B67" s="14" t="s">
        <v>118</v>
      </c>
      <c r="C67" s="14"/>
      <c r="D67" s="14"/>
      <c r="E67" s="14"/>
      <c r="F67" s="14"/>
      <c r="H67" s="163" t="s">
        <v>23</v>
      </c>
      <c r="I67" s="127">
        <v>103698709</v>
      </c>
      <c r="J67" s="164" t="s">
        <v>110</v>
      </c>
      <c r="K67" s="165">
        <f>K54</f>
        <v>1.6000000000000001E-3</v>
      </c>
      <c r="L67" s="53">
        <f>ROUND(I67*K67,0)</f>
        <v>165918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4.95E-4</v>
      </c>
      <c r="AC68" s="58">
        <f>ROUND(Y68*AB68,0)</f>
        <v>0</v>
      </c>
      <c r="AD68" s="9"/>
    </row>
    <row r="69" spans="1:30" ht="15" customHeight="1" x14ac:dyDescent="0.3">
      <c r="B69" s="169" t="s">
        <v>120</v>
      </c>
      <c r="C69" s="14"/>
      <c r="D69" s="14"/>
      <c r="E69" s="14"/>
      <c r="F69" s="14"/>
      <c r="H69" s="163" t="s">
        <v>22</v>
      </c>
      <c r="I69" s="127">
        <v>0</v>
      </c>
      <c r="J69" s="164" t="s">
        <v>110</v>
      </c>
      <c r="K69" s="165">
        <f>K57</f>
        <v>4.95E-4</v>
      </c>
      <c r="L69" s="53">
        <f>ROUND(I69*K69,0)</f>
        <v>0</v>
      </c>
      <c r="O69" s="1"/>
      <c r="V69" s="430" t="s">
        <v>121</v>
      </c>
      <c r="W69" s="430"/>
      <c r="X69" s="430"/>
      <c r="Y69" s="447">
        <f>+I70</f>
        <v>0</v>
      </c>
      <c r="Z69" s="447"/>
      <c r="AA69" s="161" t="s">
        <v>110</v>
      </c>
      <c r="AB69" s="162">
        <f>AB54</f>
        <v>4.5300000000000001E-4</v>
      </c>
      <c r="AC69" s="58">
        <f>ROUND(Y69*AB69,0)</f>
        <v>0</v>
      </c>
      <c r="AD69" s="9"/>
    </row>
    <row r="70" spans="1:30" ht="20.25" customHeight="1" x14ac:dyDescent="0.3">
      <c r="B70" s="14" t="s">
        <v>121</v>
      </c>
      <c r="C70" s="14"/>
      <c r="D70" s="14"/>
      <c r="E70" s="14"/>
      <c r="F70" s="14"/>
      <c r="H70" s="163" t="s">
        <v>21</v>
      </c>
      <c r="I70" s="127">
        <v>0</v>
      </c>
      <c r="J70" s="164" t="s">
        <v>110</v>
      </c>
      <c r="K70" s="165">
        <f>K54</f>
        <v>1.6000000000000001E-3</v>
      </c>
      <c r="L70" s="53">
        <f>ROUND(I70*K70,0)</f>
        <v>0</v>
      </c>
      <c r="O70" s="1"/>
      <c r="V70" s="430" t="s">
        <v>122</v>
      </c>
      <c r="W70" s="430"/>
      <c r="X70" s="430"/>
      <c r="Y70" s="444">
        <f>+I71</f>
        <v>1865769</v>
      </c>
      <c r="Z70" s="444"/>
      <c r="AA70" s="161" t="s">
        <v>110</v>
      </c>
      <c r="AB70" s="162">
        <f>AB54</f>
        <v>4.5300000000000001E-4</v>
      </c>
      <c r="AC70" s="58">
        <f>ROUND(Y70*AB70,0)</f>
        <v>845</v>
      </c>
      <c r="AD70" s="9"/>
    </row>
    <row r="71" spans="1:30" ht="20.25" customHeight="1" x14ac:dyDescent="0.3">
      <c r="B71" s="14" t="s">
        <v>122</v>
      </c>
      <c r="C71" s="14"/>
      <c r="D71" s="14"/>
      <c r="E71" s="14"/>
      <c r="F71" s="14"/>
      <c r="H71" s="163" t="s">
        <v>21</v>
      </c>
      <c r="I71" s="127">
        <v>1865769</v>
      </c>
      <c r="J71" s="164" t="s">
        <v>110</v>
      </c>
      <c r="K71" s="165">
        <f>K54</f>
        <v>1.6000000000000001E-3</v>
      </c>
      <c r="L71" s="53">
        <f>ROUND(I71*K71,0)</f>
        <v>2985</v>
      </c>
      <c r="O71" s="1"/>
      <c r="V71" s="430" t="s">
        <v>123</v>
      </c>
      <c r="W71" s="430"/>
      <c r="X71" s="430"/>
      <c r="Y71" s="444">
        <f>+I72</f>
        <v>13963927</v>
      </c>
      <c r="Z71" s="444"/>
      <c r="AA71" s="161" t="s">
        <v>110</v>
      </c>
      <c r="AB71" s="162">
        <f>AB57</f>
        <v>4.95E-4</v>
      </c>
      <c r="AC71" s="58">
        <f>ROUND(Y71*AB71,0)</f>
        <v>6912</v>
      </c>
      <c r="AD71" s="9"/>
    </row>
    <row r="72" spans="1:30" ht="21" customHeight="1" x14ac:dyDescent="0.35">
      <c r="B72" s="14" t="s">
        <v>123</v>
      </c>
      <c r="C72" s="14"/>
      <c r="D72" s="14"/>
      <c r="E72" s="14"/>
      <c r="F72" s="14"/>
      <c r="H72" s="163" t="s">
        <v>22</v>
      </c>
      <c r="I72" s="127">
        <v>13963927</v>
      </c>
      <c r="J72" s="164" t="s">
        <v>110</v>
      </c>
      <c r="K72" s="165">
        <f>K57</f>
        <v>4.95E-4</v>
      </c>
      <c r="L72" s="53">
        <f>ROUND(I72*K72,0)</f>
        <v>6912</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4.95E-4</v>
      </c>
      <c r="AC76" s="58">
        <f>ROUND(Y76*AB76,0)</f>
        <v>850</v>
      </c>
      <c r="AD76" s="9"/>
    </row>
    <row r="77" spans="1:30" ht="26.25" customHeight="1" x14ac:dyDescent="0.3">
      <c r="B77" s="14" t="s">
        <v>134</v>
      </c>
      <c r="C77" s="14"/>
      <c r="D77" s="14"/>
      <c r="E77" s="14"/>
      <c r="F77" s="14"/>
      <c r="H77" s="163" t="s">
        <v>25</v>
      </c>
      <c r="I77" s="186">
        <v>1716988</v>
      </c>
      <c r="J77" s="164" t="s">
        <v>110</v>
      </c>
      <c r="K77" s="165">
        <f>K57</f>
        <v>4.95E-4</v>
      </c>
      <c r="L77" s="53">
        <f>ROUND(I77*K77,0)</f>
        <v>850</v>
      </c>
      <c r="O77" s="1"/>
      <c r="V77" s="430" t="str">
        <f>+B78</f>
        <v>15.  Florida Teachers Classroom Supply Assistance Program</v>
      </c>
      <c r="W77" s="430"/>
      <c r="X77" s="430"/>
      <c r="Y77" s="440">
        <f>+I78</f>
        <v>0</v>
      </c>
      <c r="Z77" s="440"/>
      <c r="AA77" s="173" t="s">
        <v>130</v>
      </c>
      <c r="AB77" s="162">
        <f>AB54</f>
        <v>4.5300000000000001E-4</v>
      </c>
      <c r="AC77" s="58">
        <f>ROUND(Y77*AB77,0)</f>
        <v>0</v>
      </c>
      <c r="AD77" s="9"/>
    </row>
    <row r="78" spans="1:30" ht="26.25" customHeight="1" x14ac:dyDescent="0.3">
      <c r="B78" s="384" t="s">
        <v>135</v>
      </c>
      <c r="C78" s="384"/>
      <c r="D78" s="384"/>
      <c r="E78" s="14"/>
      <c r="F78" s="14"/>
      <c r="H78" s="163" t="s">
        <v>136</v>
      </c>
      <c r="I78" s="187">
        <v>0</v>
      </c>
      <c r="J78" s="164" t="s">
        <v>110</v>
      </c>
      <c r="K78" s="165">
        <f>K54</f>
        <v>1.6000000000000001E-3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530815</v>
      </c>
      <c r="AD81" s="197"/>
    </row>
    <row r="82" spans="1:30" ht="22.5" customHeight="1" thickTop="1" thickBot="1" x14ac:dyDescent="0.35">
      <c r="B82" s="14" t="s">
        <v>140</v>
      </c>
      <c r="C82" s="14"/>
      <c r="D82" s="14"/>
      <c r="E82" s="14"/>
      <c r="F82" s="14"/>
      <c r="G82" s="14"/>
      <c r="H82" s="14"/>
      <c r="I82" s="14"/>
      <c r="J82" s="14"/>
      <c r="K82" s="14"/>
      <c r="L82" s="198">
        <f>SUM(L44:L81)</f>
        <v>1924110</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'3083'!AC81</f>
        <v>530815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530815</v>
      </c>
      <c r="L86" s="83">
        <f>IF(G26=0,0,IF(G26&gt;250,-(((250/G26)*K86)*IF(M86="H",0.02,0.05)),IF(M86="H",-0.02*K86,-0.05*K86)))</f>
        <v>-26540.75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1897569.25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-160689</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1736880.25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157898.20454545456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187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293</v>
      </c>
      <c r="C123" s="221" t="s">
        <v>199</v>
      </c>
    </row>
    <row r="124" spans="2:3" hidden="1" x14ac:dyDescent="0.3">
      <c r="B124" s="225" t="s">
        <v>294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41808.602476851898</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187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293</v>
      </c>
      <c r="C164" s="235" t="s">
        <v>244</v>
      </c>
      <c r="D164" s="231"/>
    </row>
    <row r="165" spans="1:4" hidden="1" x14ac:dyDescent="0.3">
      <c r="A165" s="230" t="s">
        <v>245</v>
      </c>
      <c r="B165" s="234" t="s">
        <v>294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41808.602476851898</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'3345'!B2</f>
        <v>50</v>
      </c>
      <c r="W2" s="380" t="s">
        <v>4</v>
      </c>
      <c r="X2" s="381"/>
      <c r="Y2" s="382"/>
      <c r="Z2" s="382"/>
      <c r="AA2" s="382"/>
      <c r="AB2" s="382"/>
      <c r="AC2" s="382"/>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'3345'!G7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IF('3345'!K$84=1,'3345'!G10,0)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IF('3345'!K$84=1,'3345'!G11,0)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IF('3345'!K$84=1,'3345'!G12,0)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IF('3345'!K$84=1,'3345'!G13,0)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IF('3345'!K$84=1,'3345'!G14,0)</f>
        <v>0</v>
      </c>
      <c r="Y14" s="392"/>
      <c r="Z14" s="403">
        <v>1</v>
      </c>
      <c r="AA14" s="403"/>
      <c r="AB14" s="57">
        <f t="shared" si="0"/>
        <v>0</v>
      </c>
      <c r="AC14" s="58">
        <f t="shared" si="1"/>
        <v>0</v>
      </c>
      <c r="AD14" s="9"/>
    </row>
    <row r="15" spans="1:30" x14ac:dyDescent="0.3">
      <c r="A15" s="1" t="s">
        <v>38</v>
      </c>
      <c r="B15" s="14" t="s">
        <v>39</v>
      </c>
      <c r="C15" s="14"/>
      <c r="D15" s="14">
        <v>47.5</v>
      </c>
      <c r="E15" s="14">
        <v>47.5</v>
      </c>
      <c r="F15" s="14">
        <v>0</v>
      </c>
      <c r="G15" s="49">
        <f t="shared" si="2"/>
        <v>95</v>
      </c>
      <c r="H15" s="50"/>
      <c r="I15" s="59">
        <f>I14</f>
        <v>1.004</v>
      </c>
      <c r="J15" s="59"/>
      <c r="K15" s="52">
        <f t="shared" si="3"/>
        <v>95.38</v>
      </c>
      <c r="L15" s="61">
        <f t="shared" si="4"/>
        <v>395702</v>
      </c>
      <c r="M15" s="1" t="str">
        <f>IF(ROUND(G15,2)=ROUND(SUM(G34:G36),2)," ","CHECK 2. 9-12 Lines Below")</f>
        <v xml:space="preserve"> </v>
      </c>
      <c r="N15" s="54">
        <v>5103</v>
      </c>
      <c r="O15" s="60" t="s">
        <v>40</v>
      </c>
      <c r="Q15" s="56"/>
      <c r="V15" s="402" t="s">
        <v>39</v>
      </c>
      <c r="W15" s="402"/>
      <c r="X15" s="392">
        <f>IF('3345'!K$84=1,'3345'!G15,0)</f>
        <v>95</v>
      </c>
      <c r="Y15" s="392"/>
      <c r="Z15" s="403">
        <v>1</v>
      </c>
      <c r="AA15" s="403"/>
      <c r="AB15" s="57">
        <f t="shared" si="0"/>
        <v>95</v>
      </c>
      <c r="AC15" s="62">
        <f t="shared" si="1"/>
        <v>394126</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IF('3345'!K$84=1,'3345'!G16,0)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IF('3345'!K$84=1,'3345'!G17,0)</f>
        <v>0</v>
      </c>
      <c r="Y17" s="392"/>
      <c r="Z17" s="403">
        <v>1</v>
      </c>
      <c r="AA17" s="403"/>
      <c r="AB17" s="57">
        <f t="shared" si="0"/>
        <v>0</v>
      </c>
      <c r="AC17" s="58">
        <f t="shared" si="1"/>
        <v>0</v>
      </c>
      <c r="AD17" s="9"/>
    </row>
    <row r="18" spans="1:30" ht="16.2" x14ac:dyDescent="0.35">
      <c r="A18" s="1" t="s">
        <v>45</v>
      </c>
      <c r="B18" s="14" t="s">
        <v>46</v>
      </c>
      <c r="C18" s="14"/>
      <c r="D18" s="14">
        <v>0.52</v>
      </c>
      <c r="E18" s="14">
        <v>0.48</v>
      </c>
      <c r="F18" s="14">
        <v>0</v>
      </c>
      <c r="G18" s="49">
        <f t="shared" si="2"/>
        <v>1</v>
      </c>
      <c r="H18" s="50"/>
      <c r="I18" s="59">
        <f>I17</f>
        <v>3.548</v>
      </c>
      <c r="J18" s="59"/>
      <c r="K18" s="52">
        <f t="shared" si="3"/>
        <v>3.548</v>
      </c>
      <c r="L18" s="53">
        <f t="shared" si="4"/>
        <v>14720</v>
      </c>
      <c r="N18" s="54">
        <v>5103</v>
      </c>
      <c r="O18" s="56">
        <v>254</v>
      </c>
      <c r="Q18" s="56"/>
      <c r="V18" s="402" t="s">
        <v>46</v>
      </c>
      <c r="W18" s="402"/>
      <c r="X18" s="392">
        <f>IF('3345'!K$84=1,'3345'!G18,0)</f>
        <v>1</v>
      </c>
      <c r="Y18" s="392"/>
      <c r="Z18" s="403">
        <v>1</v>
      </c>
      <c r="AA18" s="403"/>
      <c r="AB18" s="57">
        <f t="shared" si="0"/>
        <v>1</v>
      </c>
      <c r="AC18" s="58">
        <f t="shared" si="1"/>
        <v>4149</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IF('3345'!K$84=1,'3345'!G19,0)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IF('3345'!K$84=1,'3345'!G20,0)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IF('3345'!K$84=1,'3345'!G21,0)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IF('3345'!K$84=1,'3345'!G22,0)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IF('3345'!K$84=1,'3345'!G23,0)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IF('3345'!K$84=1,'3345'!G24,0)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IF('3345'!K$84=1,'3345'!G25,0)</f>
        <v>0</v>
      </c>
      <c r="Y25" s="392"/>
      <c r="Z25" s="403">
        <v>1</v>
      </c>
      <c r="AA25" s="403"/>
      <c r="AB25" s="57">
        <f t="shared" si="0"/>
        <v>0</v>
      </c>
      <c r="AC25" s="58">
        <f t="shared" si="1"/>
        <v>0</v>
      </c>
      <c r="AD25" s="9"/>
    </row>
    <row r="26" spans="1:30" ht="20.25" customHeight="1" thickBot="1" x14ac:dyDescent="0.35">
      <c r="B26" s="63" t="s">
        <v>61</v>
      </c>
      <c r="C26" s="63"/>
      <c r="D26" s="64">
        <f t="shared" ref="D26:E26" si="5">SUM(D10:D25)</f>
        <v>48.02</v>
      </c>
      <c r="E26" s="64">
        <f t="shared" si="5"/>
        <v>47.98</v>
      </c>
      <c r="F26" s="64"/>
      <c r="G26" s="64">
        <f>SUM(G10:G25)</f>
        <v>96</v>
      </c>
      <c r="H26" s="65"/>
      <c r="I26" s="65"/>
      <c r="J26" s="66"/>
      <c r="K26" s="67">
        <f>SUM(K10:K25)</f>
        <v>98.927999999999997</v>
      </c>
      <c r="L26" s="68">
        <f>SUM(L10:L25)</f>
        <v>410422</v>
      </c>
      <c r="N26" s="56"/>
      <c r="O26" s="69"/>
      <c r="P26" s="56"/>
      <c r="Q26" s="56"/>
      <c r="V26" s="404" t="s">
        <v>61</v>
      </c>
      <c r="W26" s="404"/>
      <c r="X26" s="405">
        <f>SUM(X10:X25)</f>
        <v>96</v>
      </c>
      <c r="Y26" s="405"/>
      <c r="Z26" s="406"/>
      <c r="AA26" s="407"/>
      <c r="AB26" s="70">
        <f>SUM(AB10:AB25)</f>
        <v>96</v>
      </c>
      <c r="AC26" s="71">
        <f>SUM(AC10:AC25)</f>
        <v>398275</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0.5</v>
      </c>
      <c r="E34" s="14">
        <v>0.5</v>
      </c>
      <c r="F34" s="90">
        <v>0</v>
      </c>
      <c r="G34" s="49">
        <f t="shared" si="6"/>
        <v>1</v>
      </c>
      <c r="H34" s="80"/>
      <c r="I34" s="91" t="s">
        <v>77</v>
      </c>
      <c r="J34" s="54">
        <v>251</v>
      </c>
      <c r="K34" s="82">
        <v>835</v>
      </c>
      <c r="L34" s="83">
        <f t="shared" si="8"/>
        <v>835</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12</v>
      </c>
      <c r="E35" s="14">
        <v>12</v>
      </c>
      <c r="F35" s="90">
        <v>0</v>
      </c>
      <c r="G35" s="49">
        <f t="shared" si="6"/>
        <v>24</v>
      </c>
      <c r="H35" s="80"/>
      <c r="I35" s="91" t="s">
        <v>77</v>
      </c>
      <c r="J35" s="54">
        <v>252</v>
      </c>
      <c r="K35" s="82">
        <v>3168</v>
      </c>
      <c r="L35" s="83">
        <f t="shared" si="8"/>
        <v>76032</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35</v>
      </c>
      <c r="E36" s="14">
        <v>35</v>
      </c>
      <c r="F36" s="90">
        <v>0</v>
      </c>
      <c r="G36" s="49">
        <f t="shared" si="6"/>
        <v>70</v>
      </c>
      <c r="H36" s="80"/>
      <c r="I36" s="91" t="s">
        <v>77</v>
      </c>
      <c r="J36" s="54">
        <v>253</v>
      </c>
      <c r="K36" s="82">
        <v>6685</v>
      </c>
      <c r="L36" s="94">
        <f t="shared" si="8"/>
        <v>467950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47.5</v>
      </c>
      <c r="E37" s="64">
        <f t="shared" si="10"/>
        <v>47.5</v>
      </c>
      <c r="F37" s="64"/>
      <c r="G37" s="64">
        <f>SUM(G28:G36)</f>
        <v>95</v>
      </c>
      <c r="H37" s="65"/>
      <c r="I37" s="14" t="s">
        <v>81</v>
      </c>
      <c r="J37" s="14"/>
      <c r="K37" s="14"/>
      <c r="L37" s="53">
        <f>SUM(L28:L36)</f>
        <v>544817</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18336</v>
      </c>
      <c r="N40" s="104"/>
      <c r="O40" s="104"/>
      <c r="P40" s="104"/>
      <c r="Q40" s="104"/>
      <c r="V40" s="422" t="s">
        <v>85</v>
      </c>
      <c r="W40" s="422"/>
      <c r="X40" s="423">
        <f>+G40</f>
        <v>181379.8</v>
      </c>
      <c r="Y40" s="423"/>
      <c r="Z40" s="423"/>
      <c r="AA40" s="423"/>
      <c r="AB40" s="58">
        <f>ROUND(X39/X40,0)</f>
        <v>191</v>
      </c>
      <c r="AC40" s="58">
        <f>ROUND(AB40*$X$26,0)</f>
        <v>18336</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973575</v>
      </c>
      <c r="O44" s="1"/>
      <c r="V44" s="433" t="s">
        <v>89</v>
      </c>
      <c r="W44" s="433"/>
      <c r="X44" s="433"/>
      <c r="Y44" s="433"/>
      <c r="Z44" s="433"/>
      <c r="AA44" s="433"/>
      <c r="AB44" s="433"/>
      <c r="AC44" s="112">
        <f>SUM(AC26,AC37,AC40)</f>
        <v>416611</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98.927999999999997</v>
      </c>
      <c r="D49" s="123"/>
      <c r="E49" s="123"/>
      <c r="F49" s="123"/>
      <c r="G49" s="124">
        <f>K7</f>
        <v>1.0289999999999999</v>
      </c>
      <c r="H49" s="124"/>
      <c r="I49" s="125">
        <v>905.98</v>
      </c>
      <c r="J49" s="126" t="s">
        <v>96</v>
      </c>
      <c r="K49" s="127">
        <f>ROUND(C49*G49*I49,0)</f>
        <v>92226</v>
      </c>
      <c r="L49" s="63"/>
      <c r="M49" s="109"/>
      <c r="N49" s="139"/>
      <c r="O49" s="140"/>
      <c r="P49" s="69"/>
      <c r="Q49" s="141"/>
      <c r="V49" s="142" t="s">
        <v>77</v>
      </c>
      <c r="W49" s="143">
        <f>AB14+AB15+AB18+AB21+AB24+AB25</f>
        <v>96</v>
      </c>
      <c r="X49" s="426">
        <f>AB7</f>
        <v>1.0289999999999999</v>
      </c>
      <c r="Y49" s="426"/>
      <c r="Z49" s="130">
        <f>+I49</f>
        <v>905.98</v>
      </c>
      <c r="AA49" s="131" t="s">
        <v>96</v>
      </c>
      <c r="AB49" s="132">
        <f>ROUND(W49*X49*Z49,0)</f>
        <v>89496</v>
      </c>
      <c r="AC49" s="136"/>
      <c r="AD49" s="110"/>
    </row>
    <row r="50" spans="2:30" ht="24" customHeight="1" thickBot="1" x14ac:dyDescent="0.35">
      <c r="B50" s="144" t="s">
        <v>97</v>
      </c>
      <c r="C50" s="145">
        <f>SUM(C47:C49)</f>
        <v>98.927999999999997</v>
      </c>
      <c r="D50" s="146"/>
      <c r="E50" s="147"/>
      <c r="F50" s="147"/>
      <c r="G50" s="148" t="s">
        <v>98</v>
      </c>
      <c r="H50" s="148"/>
      <c r="I50" s="148"/>
      <c r="J50" s="148"/>
      <c r="K50" s="148"/>
      <c r="L50" s="53">
        <f>IF(B2=75,0,K49+K48+K47)</f>
        <v>92226</v>
      </c>
      <c r="N50" s="3"/>
      <c r="O50" s="1"/>
      <c r="V50" s="149" t="s">
        <v>97</v>
      </c>
      <c r="W50" s="150">
        <f>SUM(W47:W49)</f>
        <v>96</v>
      </c>
      <c r="X50" s="427" t="s">
        <v>98</v>
      </c>
      <c r="Y50" s="428"/>
      <c r="Z50" s="428"/>
      <c r="AA50" s="428"/>
      <c r="AB50" s="428"/>
      <c r="AC50" s="58">
        <f>IF(V2=75,0,AB49+AB48+AB47)</f>
        <v>89496</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98.927999999999997</v>
      </c>
      <c r="H53" s="59" t="s">
        <v>102</v>
      </c>
      <c r="I53" s="59"/>
      <c r="J53" s="155">
        <v>198050.23</v>
      </c>
      <c r="K53" s="155"/>
      <c r="L53" s="155"/>
      <c r="N53" s="3"/>
      <c r="O53" s="1"/>
      <c r="V53" s="436" t="s">
        <v>101</v>
      </c>
      <c r="W53" s="436"/>
      <c r="X53" s="156">
        <f>AB26</f>
        <v>96</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5.0000000000000001E-4</v>
      </c>
      <c r="L54" s="157"/>
      <c r="N54" s="69"/>
      <c r="O54" s="1"/>
      <c r="V54" s="436" t="s">
        <v>103</v>
      </c>
      <c r="W54" s="436"/>
      <c r="X54" s="436"/>
      <c r="Y54" s="436"/>
      <c r="Z54" s="436"/>
      <c r="AA54" s="436"/>
      <c r="AB54" s="439">
        <f>ROUND(X53/AA53,6)</f>
        <v>4.8500000000000003E-4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96</v>
      </c>
      <c r="H56" s="59" t="s">
        <v>106</v>
      </c>
      <c r="I56" s="59"/>
      <c r="J56" s="155">
        <f>+G40</f>
        <v>181379.8</v>
      </c>
      <c r="K56" s="155"/>
      <c r="L56" s="155"/>
      <c r="O56" s="1"/>
      <c r="V56" s="436" t="s">
        <v>105</v>
      </c>
      <c r="W56" s="436"/>
      <c r="X56" s="159">
        <f>X26</f>
        <v>96</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5.2899999999999996E-4</v>
      </c>
      <c r="L57" s="157"/>
      <c r="O57" s="1"/>
      <c r="V57" s="436" t="s">
        <v>107</v>
      </c>
      <c r="W57" s="436"/>
      <c r="X57" s="436"/>
      <c r="Y57" s="436"/>
      <c r="Z57" s="436"/>
      <c r="AA57" s="436"/>
      <c r="AB57" s="439">
        <f>ROUND(X56/AA56,6)</f>
        <v>5.2899999999999996E-4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4.8500000000000003E-4</v>
      </c>
      <c r="AC58" s="58">
        <f>ROUND(Y58*AB58,0)</f>
        <v>2052</v>
      </c>
      <c r="AD58" s="9"/>
    </row>
    <row r="59" spans="2:30" x14ac:dyDescent="0.3">
      <c r="B59" s="63" t="s">
        <v>109</v>
      </c>
      <c r="C59" s="63"/>
      <c r="D59" s="63"/>
      <c r="E59" s="63"/>
      <c r="F59" s="63"/>
      <c r="G59" s="63"/>
      <c r="H59" s="163" t="s">
        <v>21</v>
      </c>
      <c r="I59" s="127">
        <v>4230917</v>
      </c>
      <c r="J59" s="164" t="s">
        <v>110</v>
      </c>
      <c r="K59" s="165">
        <f>K54</f>
        <v>5.0000000000000001E-4</v>
      </c>
      <c r="L59" s="53">
        <f>ROUND(I59*K59,0)</f>
        <v>2115</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4.8500000000000003E-4</v>
      </c>
      <c r="AC66" s="58">
        <f>ROUND(Y66*AB66,0)</f>
        <v>50294</v>
      </c>
      <c r="AD66" s="9"/>
    </row>
    <row r="67" spans="1:30" ht="20.25" customHeight="1" x14ac:dyDescent="0.3">
      <c r="B67" s="14" t="s">
        <v>118</v>
      </c>
      <c r="C67" s="14"/>
      <c r="D67" s="14"/>
      <c r="E67" s="14"/>
      <c r="F67" s="14"/>
      <c r="H67" s="163" t="s">
        <v>23</v>
      </c>
      <c r="I67" s="127">
        <v>103698709</v>
      </c>
      <c r="J67" s="164" t="s">
        <v>110</v>
      </c>
      <c r="K67" s="165">
        <f>K54</f>
        <v>5.0000000000000001E-4</v>
      </c>
      <c r="L67" s="53">
        <f>ROUND(I67*K67,0)</f>
        <v>51849</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5.2899999999999996E-4</v>
      </c>
      <c r="AC68" s="58">
        <f>ROUND(Y68*AB68,0)</f>
        <v>0</v>
      </c>
      <c r="AD68" s="9"/>
    </row>
    <row r="69" spans="1:30" ht="15" customHeight="1" x14ac:dyDescent="0.3">
      <c r="B69" s="169" t="s">
        <v>120</v>
      </c>
      <c r="C69" s="14"/>
      <c r="D69" s="14"/>
      <c r="E69" s="14"/>
      <c r="F69" s="14"/>
      <c r="H69" s="163" t="s">
        <v>22</v>
      </c>
      <c r="I69" s="127">
        <v>0</v>
      </c>
      <c r="J69" s="164" t="s">
        <v>110</v>
      </c>
      <c r="K69" s="165">
        <f>K57</f>
        <v>5.2899999999999996E-4</v>
      </c>
      <c r="L69" s="53">
        <f>ROUND(I69*K69,0)</f>
        <v>0</v>
      </c>
      <c r="O69" s="1"/>
      <c r="V69" s="430" t="s">
        <v>121</v>
      </c>
      <c r="W69" s="430"/>
      <c r="X69" s="430"/>
      <c r="Y69" s="447">
        <f>+I70</f>
        <v>0</v>
      </c>
      <c r="Z69" s="447"/>
      <c r="AA69" s="161" t="s">
        <v>110</v>
      </c>
      <c r="AB69" s="162">
        <f>AB54</f>
        <v>4.8500000000000003E-4</v>
      </c>
      <c r="AC69" s="58">
        <f>ROUND(Y69*AB69,0)</f>
        <v>0</v>
      </c>
      <c r="AD69" s="9"/>
    </row>
    <row r="70" spans="1:30" ht="20.25" customHeight="1" x14ac:dyDescent="0.3">
      <c r="B70" s="14" t="s">
        <v>121</v>
      </c>
      <c r="C70" s="14"/>
      <c r="D70" s="14"/>
      <c r="E70" s="14"/>
      <c r="F70" s="14"/>
      <c r="H70" s="163" t="s">
        <v>21</v>
      </c>
      <c r="I70" s="127">
        <v>0</v>
      </c>
      <c r="J70" s="164" t="s">
        <v>110</v>
      </c>
      <c r="K70" s="165">
        <f>K54</f>
        <v>5.0000000000000001E-4</v>
      </c>
      <c r="L70" s="53">
        <f>ROUND(I70*K70,0)</f>
        <v>0</v>
      </c>
      <c r="O70" s="1"/>
      <c r="V70" s="430" t="s">
        <v>122</v>
      </c>
      <c r="W70" s="430"/>
      <c r="X70" s="430"/>
      <c r="Y70" s="444">
        <f>+I71</f>
        <v>1865769</v>
      </c>
      <c r="Z70" s="444"/>
      <c r="AA70" s="161" t="s">
        <v>110</v>
      </c>
      <c r="AB70" s="162">
        <f>AB54</f>
        <v>4.8500000000000003E-4</v>
      </c>
      <c r="AC70" s="58">
        <f>ROUND(Y70*AB70,0)</f>
        <v>905</v>
      </c>
      <c r="AD70" s="9"/>
    </row>
    <row r="71" spans="1:30" ht="20.25" customHeight="1" x14ac:dyDescent="0.3">
      <c r="B71" s="14" t="s">
        <v>122</v>
      </c>
      <c r="C71" s="14"/>
      <c r="D71" s="14"/>
      <c r="E71" s="14"/>
      <c r="F71" s="14"/>
      <c r="H71" s="163" t="s">
        <v>21</v>
      </c>
      <c r="I71" s="127">
        <v>1865769</v>
      </c>
      <c r="J71" s="164" t="s">
        <v>110</v>
      </c>
      <c r="K71" s="165">
        <f>K54</f>
        <v>5.0000000000000001E-4</v>
      </c>
      <c r="L71" s="53">
        <f>ROUND(I71*K71,0)</f>
        <v>933</v>
      </c>
      <c r="O71" s="1"/>
      <c r="V71" s="430" t="s">
        <v>123</v>
      </c>
      <c r="W71" s="430"/>
      <c r="X71" s="430"/>
      <c r="Y71" s="444">
        <f>+I72</f>
        <v>13963927</v>
      </c>
      <c r="Z71" s="444"/>
      <c r="AA71" s="161" t="s">
        <v>110</v>
      </c>
      <c r="AB71" s="162">
        <f>AB57</f>
        <v>5.2899999999999996E-4</v>
      </c>
      <c r="AC71" s="58">
        <f>ROUND(Y71*AB71,0)</f>
        <v>7387</v>
      </c>
      <c r="AD71" s="9"/>
    </row>
    <row r="72" spans="1:30" ht="21" customHeight="1" x14ac:dyDescent="0.35">
      <c r="B72" s="14" t="s">
        <v>123</v>
      </c>
      <c r="C72" s="14"/>
      <c r="D72" s="14"/>
      <c r="E72" s="14"/>
      <c r="F72" s="14"/>
      <c r="H72" s="163" t="s">
        <v>22</v>
      </c>
      <c r="I72" s="127">
        <v>13963927</v>
      </c>
      <c r="J72" s="164" t="s">
        <v>110</v>
      </c>
      <c r="K72" s="165">
        <f>K57</f>
        <v>5.2899999999999996E-4</v>
      </c>
      <c r="L72" s="53">
        <f>ROUND(I72*K72,0)</f>
        <v>7387</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85.5</v>
      </c>
      <c r="AA74" s="173" t="s">
        <v>130</v>
      </c>
      <c r="AB74" s="174">
        <f>+K75</f>
        <v>361</v>
      </c>
      <c r="AC74" s="58">
        <f>ROUND(AB74*Z74,0)</f>
        <v>30866</v>
      </c>
      <c r="AD74" s="9"/>
    </row>
    <row r="75" spans="1:30" ht="19.5" customHeight="1" x14ac:dyDescent="0.3">
      <c r="A75" s="1" t="s">
        <v>131</v>
      </c>
      <c r="B75" s="175" t="s">
        <v>128</v>
      </c>
      <c r="C75" s="176" t="s">
        <v>129</v>
      </c>
      <c r="D75" s="175">
        <v>87</v>
      </c>
      <c r="E75" s="175">
        <v>84</v>
      </c>
      <c r="F75" s="175">
        <v>0</v>
      </c>
      <c r="G75" s="177">
        <f>IF($B$154&lt;8,D75,E75)</f>
        <v>84</v>
      </c>
      <c r="H75" s="178"/>
      <c r="I75" s="179">
        <f>AVERAGE(G75,D75)</f>
        <v>85.5</v>
      </c>
      <c r="J75" s="180" t="s">
        <v>130</v>
      </c>
      <c r="K75" s="181">
        <v>361</v>
      </c>
      <c r="L75" s="53">
        <f>ROUND(K75*I75,0)</f>
        <v>30866</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5.2899999999999996E-4</v>
      </c>
      <c r="AC76" s="58">
        <f>ROUND(Y76*AB76,0)</f>
        <v>908</v>
      </c>
      <c r="AD76" s="9"/>
    </row>
    <row r="77" spans="1:30" ht="26.25" customHeight="1" x14ac:dyDescent="0.3">
      <c r="B77" s="14" t="s">
        <v>134</v>
      </c>
      <c r="C77" s="14"/>
      <c r="D77" s="14"/>
      <c r="E77" s="14"/>
      <c r="F77" s="14"/>
      <c r="H77" s="163" t="s">
        <v>25</v>
      </c>
      <c r="I77" s="186">
        <v>1716988</v>
      </c>
      <c r="J77" s="164" t="s">
        <v>110</v>
      </c>
      <c r="K77" s="165">
        <f>K57</f>
        <v>5.2899999999999996E-4</v>
      </c>
      <c r="L77" s="53">
        <f>ROUND(I77*K77,0)</f>
        <v>908</v>
      </c>
      <c r="O77" s="1"/>
      <c r="V77" s="430" t="str">
        <f>+B78</f>
        <v>15.  Florida Teachers Classroom Supply Assistance Program</v>
      </c>
      <c r="W77" s="430"/>
      <c r="X77" s="430"/>
      <c r="Y77" s="440">
        <f>+I78</f>
        <v>0</v>
      </c>
      <c r="Z77" s="440"/>
      <c r="AA77" s="173" t="s">
        <v>130</v>
      </c>
      <c r="AB77" s="162">
        <f>AB54</f>
        <v>4.8500000000000003E-4</v>
      </c>
      <c r="AC77" s="58">
        <f>ROUND(Y77*AB77,0)</f>
        <v>0</v>
      </c>
      <c r="AD77" s="9"/>
    </row>
    <row r="78" spans="1:30" ht="26.25" customHeight="1" x14ac:dyDescent="0.3">
      <c r="B78" s="384" t="s">
        <v>135</v>
      </c>
      <c r="C78" s="384"/>
      <c r="D78" s="384"/>
      <c r="E78" s="14"/>
      <c r="F78" s="14"/>
      <c r="H78" s="163" t="s">
        <v>136</v>
      </c>
      <c r="I78" s="187">
        <v>0</v>
      </c>
      <c r="J78" s="164" t="s">
        <v>110</v>
      </c>
      <c r="K78" s="165">
        <f>K54</f>
        <v>5.0000000000000001E-4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598519</v>
      </c>
      <c r="AD81" s="197"/>
    </row>
    <row r="82" spans="1:30" ht="22.5" customHeight="1" thickTop="1" thickBot="1" x14ac:dyDescent="0.35">
      <c r="B82" s="14" t="s">
        <v>140</v>
      </c>
      <c r="C82" s="14"/>
      <c r="D82" s="14"/>
      <c r="E82" s="14"/>
      <c r="F82" s="14"/>
      <c r="G82" s="14"/>
      <c r="H82" s="14"/>
      <c r="I82" s="14"/>
      <c r="J82" s="14"/>
      <c r="K82" s="14"/>
      <c r="L82" s="198">
        <f>SUM(L44:L81)</f>
        <v>1159859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'3345'!AC81</f>
        <v>598519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598519</v>
      </c>
      <c r="L86" s="83">
        <f>IF(G26=0,0,IF(G26&gt;250,-(((250/G26)*K86)*IF(M86="H",0.02,0.05)),IF(M86="H",-0.02*K86,-0.05*K86)))</f>
        <v>-29925.95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1129933.05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-94161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1035772.05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94161.095454545459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295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296</v>
      </c>
      <c r="C123" s="221" t="s">
        <v>199</v>
      </c>
    </row>
    <row r="124" spans="2:3" hidden="1" x14ac:dyDescent="0.3">
      <c r="B124" s="225" t="s">
        <v>297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41808.602511574099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295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296</v>
      </c>
      <c r="C164" s="235" t="s">
        <v>244</v>
      </c>
      <c r="D164" s="231"/>
    </row>
    <row r="165" spans="1:4" hidden="1" x14ac:dyDescent="0.3">
      <c r="A165" s="230" t="s">
        <v>245</v>
      </c>
      <c r="B165" s="234" t="s">
        <v>297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41808.602511574099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'3347'!B2</f>
        <v>50</v>
      </c>
      <c r="W2" s="380" t="s">
        <v>4</v>
      </c>
      <c r="X2" s="381"/>
      <c r="Y2" s="382"/>
      <c r="Z2" s="382"/>
      <c r="AA2" s="382"/>
      <c r="AB2" s="382"/>
      <c r="AC2" s="382"/>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'3347'!G7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IF('3347'!K$84=1,'3347'!G10,0)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IF('3347'!K$84=1,'3347'!G11,0)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IF('3347'!K$84=1,'3347'!G12,0)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IF('3347'!K$84=1,'3347'!G13,0)</f>
        <v>0</v>
      </c>
      <c r="Y13" s="392"/>
      <c r="Z13" s="403">
        <v>1</v>
      </c>
      <c r="AA13" s="403"/>
      <c r="AB13" s="57">
        <f t="shared" si="0"/>
        <v>0</v>
      </c>
      <c r="AC13" s="58">
        <f t="shared" si="1"/>
        <v>0</v>
      </c>
      <c r="AD13" s="9"/>
    </row>
    <row r="14" spans="1:30" x14ac:dyDescent="0.3">
      <c r="A14" s="1" t="s">
        <v>36</v>
      </c>
      <c r="B14" s="14" t="s">
        <v>37</v>
      </c>
      <c r="C14" s="14"/>
      <c r="D14" s="14">
        <v>58.23</v>
      </c>
      <c r="E14" s="14">
        <v>46.14</v>
      </c>
      <c r="F14" s="14">
        <v>0</v>
      </c>
      <c r="G14" s="49">
        <f t="shared" si="2"/>
        <v>104.37</v>
      </c>
      <c r="H14" s="50"/>
      <c r="I14" s="59">
        <v>1.004</v>
      </c>
      <c r="J14" s="59"/>
      <c r="K14" s="52">
        <f t="shared" si="3"/>
        <v>104.78749999999999</v>
      </c>
      <c r="L14" s="53">
        <f t="shared" si="4"/>
        <v>434731</v>
      </c>
      <c r="N14" s="54">
        <v>5103</v>
      </c>
      <c r="O14" s="55">
        <v>103</v>
      </c>
      <c r="Q14" s="56"/>
      <c r="V14" s="402" t="s">
        <v>37</v>
      </c>
      <c r="W14" s="402"/>
      <c r="X14" s="392">
        <f>IF('3347'!K$84=1,'3347'!G14,0)</f>
        <v>0</v>
      </c>
      <c r="Y14" s="392"/>
      <c r="Z14" s="403">
        <v>1</v>
      </c>
      <c r="AA14" s="403"/>
      <c r="AB14" s="57">
        <f t="shared" si="0"/>
        <v>0</v>
      </c>
      <c r="AC14" s="58">
        <f t="shared" si="1"/>
        <v>0</v>
      </c>
      <c r="AD14" s="9"/>
    </row>
    <row r="15" spans="1:30" x14ac:dyDescent="0.3">
      <c r="A15" s="1" t="s">
        <v>38</v>
      </c>
      <c r="B15" s="14" t="s">
        <v>39</v>
      </c>
      <c r="C15" s="14"/>
      <c r="D15" s="14">
        <v>13.49</v>
      </c>
      <c r="E15" s="14">
        <v>8.09</v>
      </c>
      <c r="F15" s="14">
        <v>0</v>
      </c>
      <c r="G15" s="49">
        <f t="shared" si="2"/>
        <v>21.58</v>
      </c>
      <c r="H15" s="50"/>
      <c r="I15" s="59">
        <f>I14</f>
        <v>1.004</v>
      </c>
      <c r="J15" s="59"/>
      <c r="K15" s="52">
        <f t="shared" si="3"/>
        <v>21.6663</v>
      </c>
      <c r="L15" s="61">
        <f t="shared" si="4"/>
        <v>89887</v>
      </c>
      <c r="M15" s="1" t="str">
        <f>IF(ROUND(G15,2)=ROUND(SUM(G34:G36),2)," ","CHECK 2. 9-12 Lines Below")</f>
        <v xml:space="preserve"> </v>
      </c>
      <c r="N15" s="54">
        <v>5103</v>
      </c>
      <c r="O15" s="60" t="s">
        <v>40</v>
      </c>
      <c r="Q15" s="56"/>
      <c r="V15" s="402" t="s">
        <v>39</v>
      </c>
      <c r="W15" s="402"/>
      <c r="X15" s="392">
        <f>IF('3347'!K$84=1,'3347'!G15,0)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IF('3347'!K$84=1,'3347'!G16,0)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IF('3347'!K$84=1,'3347'!G17,0)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IF('3347'!K$84=1,'3347'!G18,0)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IF('3347'!K$84=1,'3347'!G19,0)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IF('3347'!K$84=1,'3347'!G20,0)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IF('3347'!K$84=1,'3347'!G21,0)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IF('3347'!K$84=1,'3347'!G22,0)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IF('3347'!K$84=1,'3347'!G23,0)</f>
        <v>0</v>
      </c>
      <c r="Y23" s="392"/>
      <c r="Z23" s="403">
        <v>1</v>
      </c>
      <c r="AA23" s="403"/>
      <c r="AB23" s="57">
        <f t="shared" si="0"/>
        <v>0</v>
      </c>
      <c r="AC23" s="58">
        <f t="shared" si="1"/>
        <v>0</v>
      </c>
      <c r="AD23" s="9"/>
    </row>
    <row r="24" spans="1:30" ht="16.2" x14ac:dyDescent="0.35">
      <c r="A24" s="1" t="s">
        <v>57</v>
      </c>
      <c r="B24" s="14" t="s">
        <v>58</v>
      </c>
      <c r="C24" s="14"/>
      <c r="D24" s="14">
        <v>1.6</v>
      </c>
      <c r="E24" s="14">
        <v>1.1499999999999999</v>
      </c>
      <c r="F24" s="14">
        <v>0</v>
      </c>
      <c r="G24" s="49">
        <f t="shared" si="2"/>
        <v>2.75</v>
      </c>
      <c r="H24" s="50"/>
      <c r="I24" s="59">
        <f>I23</f>
        <v>1.147</v>
      </c>
      <c r="J24" s="59"/>
      <c r="K24" s="52">
        <f t="shared" si="3"/>
        <v>3.1543000000000001</v>
      </c>
      <c r="L24" s="53">
        <f t="shared" si="4"/>
        <v>13086</v>
      </c>
      <c r="N24" s="54">
        <v>5103</v>
      </c>
      <c r="O24" s="55">
        <v>130</v>
      </c>
      <c r="Q24" s="56"/>
      <c r="V24" s="402" t="s">
        <v>58</v>
      </c>
      <c r="W24" s="402"/>
      <c r="X24" s="392">
        <f>IF('3347'!K$84=1,'3347'!G24,0)</f>
        <v>0</v>
      </c>
      <c r="Y24" s="392"/>
      <c r="Z24" s="403">
        <v>1</v>
      </c>
      <c r="AA24" s="403"/>
      <c r="AB24" s="57">
        <f t="shared" si="0"/>
        <v>0</v>
      </c>
      <c r="AC24" s="58">
        <f t="shared" si="1"/>
        <v>0</v>
      </c>
      <c r="AD24" s="9"/>
    </row>
    <row r="25" spans="1:30" ht="16.8" thickBot="1" x14ac:dyDescent="0.4">
      <c r="A25" s="1" t="s">
        <v>59</v>
      </c>
      <c r="B25" s="14" t="s">
        <v>60</v>
      </c>
      <c r="C25" s="14"/>
      <c r="D25" s="14">
        <v>5.28</v>
      </c>
      <c r="E25" s="14">
        <v>6.02</v>
      </c>
      <c r="F25" s="14">
        <v>0</v>
      </c>
      <c r="G25" s="49">
        <f t="shared" si="2"/>
        <v>11.3</v>
      </c>
      <c r="H25" s="50"/>
      <c r="I25" s="59">
        <v>1.004</v>
      </c>
      <c r="J25" s="59"/>
      <c r="K25" s="52">
        <f t="shared" si="3"/>
        <v>11.3452</v>
      </c>
      <c r="L25" s="53">
        <f t="shared" si="4"/>
        <v>47068</v>
      </c>
      <c r="N25" s="54">
        <v>5310</v>
      </c>
      <c r="O25" s="55">
        <v>300</v>
      </c>
      <c r="Q25" s="56"/>
      <c r="V25" s="402" t="s">
        <v>60</v>
      </c>
      <c r="W25" s="402"/>
      <c r="X25" s="392">
        <f>IF('3347'!K$84=1,'3347'!G25,0)</f>
        <v>0</v>
      </c>
      <c r="Y25" s="392"/>
      <c r="Z25" s="403">
        <v>1</v>
      </c>
      <c r="AA25" s="403"/>
      <c r="AB25" s="57">
        <f t="shared" si="0"/>
        <v>0</v>
      </c>
      <c r="AC25" s="58">
        <f t="shared" si="1"/>
        <v>0</v>
      </c>
      <c r="AD25" s="9"/>
    </row>
    <row r="26" spans="1:30" ht="20.25" customHeight="1" thickBot="1" x14ac:dyDescent="0.35">
      <c r="B26" s="63" t="s">
        <v>61</v>
      </c>
      <c r="C26" s="63"/>
      <c r="D26" s="64">
        <f t="shared" ref="D26:E26" si="5">SUM(D10:D25)</f>
        <v>78.599999999999994</v>
      </c>
      <c r="E26" s="64">
        <f t="shared" si="5"/>
        <v>61.400000000000006</v>
      </c>
      <c r="F26" s="64"/>
      <c r="G26" s="64">
        <f>SUM(G10:G25)</f>
        <v>140</v>
      </c>
      <c r="H26" s="65"/>
      <c r="I26" s="65"/>
      <c r="J26" s="66"/>
      <c r="K26" s="67">
        <f>SUM(K10:K25)</f>
        <v>140.95330000000001</v>
      </c>
      <c r="L26" s="68">
        <f>SUM(L10:L25)</f>
        <v>584772</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13.49</v>
      </c>
      <c r="E34" s="14">
        <v>8.09</v>
      </c>
      <c r="F34" s="90">
        <v>0</v>
      </c>
      <c r="G34" s="49">
        <f t="shared" si="6"/>
        <v>21.58</v>
      </c>
      <c r="H34" s="80"/>
      <c r="I34" s="91" t="s">
        <v>77</v>
      </c>
      <c r="J34" s="54">
        <v>251</v>
      </c>
      <c r="K34" s="82">
        <v>835</v>
      </c>
      <c r="L34" s="83">
        <f t="shared" si="8"/>
        <v>18019</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13.49</v>
      </c>
      <c r="E37" s="64">
        <f t="shared" si="10"/>
        <v>8.09</v>
      </c>
      <c r="F37" s="64"/>
      <c r="G37" s="64">
        <f>SUM(G28:G36)</f>
        <v>21.58</v>
      </c>
      <c r="H37" s="65"/>
      <c r="I37" s="14" t="s">
        <v>81</v>
      </c>
      <c r="J37" s="14"/>
      <c r="K37" s="14"/>
      <c r="L37" s="53">
        <f>SUM(L28:L36)</f>
        <v>18019</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26740</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629531</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140.95330000000001</v>
      </c>
      <c r="D49" s="123"/>
      <c r="E49" s="123"/>
      <c r="F49" s="123"/>
      <c r="G49" s="124">
        <f>K7</f>
        <v>1.0289999999999999</v>
      </c>
      <c r="H49" s="124"/>
      <c r="I49" s="125">
        <v>905.98</v>
      </c>
      <c r="J49" s="126" t="s">
        <v>96</v>
      </c>
      <c r="K49" s="127">
        <f>ROUND(C49*G49*I49,0)</f>
        <v>131404</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140.95330000000001</v>
      </c>
      <c r="D50" s="146"/>
      <c r="E50" s="147"/>
      <c r="F50" s="147"/>
      <c r="G50" s="148" t="s">
        <v>98</v>
      </c>
      <c r="H50" s="148"/>
      <c r="I50" s="148"/>
      <c r="J50" s="148"/>
      <c r="K50" s="148"/>
      <c r="L50" s="53">
        <f>IF(B2=75,0,K49+K48+K47)</f>
        <v>131404</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140.95330000000001</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7.1199999999999996E-4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140</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7.7200000000000001E-4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7.1199999999999996E-4</v>
      </c>
      <c r="L59" s="53">
        <f>ROUND(I59*K59,0)</f>
        <v>3012</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7.1199999999999996E-4</v>
      </c>
      <c r="L67" s="53">
        <f>ROUND(I67*K67,0)</f>
        <v>73833</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7.7200000000000001E-4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7.1199999999999996E-4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7.1199999999999996E-4</v>
      </c>
      <c r="L71" s="53">
        <f>ROUND(I71*K71,0)</f>
        <v>1328</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7.7200000000000001E-4</v>
      </c>
      <c r="L72" s="53">
        <f>ROUND(I72*K72,0)</f>
        <v>10780</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60.5</v>
      </c>
      <c r="AA74" s="173" t="s">
        <v>130</v>
      </c>
      <c r="AB74" s="174">
        <f>+K75</f>
        <v>361</v>
      </c>
      <c r="AC74" s="58">
        <f>ROUND(AB74*Z74,0)</f>
        <v>21841</v>
      </c>
      <c r="AD74" s="9"/>
    </row>
    <row r="75" spans="1:30" ht="19.5" customHeight="1" x14ac:dyDescent="0.3">
      <c r="A75" s="1" t="s">
        <v>131</v>
      </c>
      <c r="B75" s="175" t="s">
        <v>128</v>
      </c>
      <c r="C75" s="176" t="s">
        <v>129</v>
      </c>
      <c r="D75" s="175">
        <v>51</v>
      </c>
      <c r="E75" s="175">
        <v>70</v>
      </c>
      <c r="F75" s="175">
        <v>0</v>
      </c>
      <c r="G75" s="177">
        <f>IF($B$154&lt;8,D75,E75)</f>
        <v>70</v>
      </c>
      <c r="H75" s="178"/>
      <c r="I75" s="179">
        <f>AVERAGE(G75,D75)</f>
        <v>60.5</v>
      </c>
      <c r="J75" s="180" t="s">
        <v>130</v>
      </c>
      <c r="K75" s="181">
        <v>361</v>
      </c>
      <c r="L75" s="53">
        <f>ROUND(K75*I75,0)</f>
        <v>21841</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7.7200000000000001E-4</v>
      </c>
      <c r="L77" s="53">
        <f>ROUND(I77*K77,0)</f>
        <v>1326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7.1199999999999996E-4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21841</v>
      </c>
      <c r="AD81" s="197"/>
    </row>
    <row r="82" spans="1:30" ht="22.5" customHeight="1" thickTop="1" thickBot="1" x14ac:dyDescent="0.35">
      <c r="B82" s="14" t="s">
        <v>140</v>
      </c>
      <c r="C82" s="14"/>
      <c r="D82" s="14"/>
      <c r="E82" s="14"/>
      <c r="F82" s="14"/>
      <c r="G82" s="14"/>
      <c r="H82" s="14"/>
      <c r="I82" s="14"/>
      <c r="J82" s="14"/>
      <c r="K82" s="14"/>
      <c r="L82" s="198">
        <f>SUM(L44:L81)</f>
        <v>873055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'3347'!AC81</f>
        <v>21841</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873055</v>
      </c>
      <c r="L86" s="83">
        <f>IF(G26=0,0,IF(G26&gt;250,-(((250/G26)*K86)*IF(M86="H",0.02,0.05)),IF(M86="H",-0.02*K86,-0.05*K86)))</f>
        <v>-43652.75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829402.25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-69117</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760285.25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69116.840909090912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298</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299</v>
      </c>
      <c r="C123" s="221" t="s">
        <v>199</v>
      </c>
    </row>
    <row r="124" spans="2:3" hidden="1" x14ac:dyDescent="0.3">
      <c r="B124" s="225" t="s">
        <v>300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41808.602523148104</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298</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299</v>
      </c>
      <c r="C164" s="235" t="s">
        <v>244</v>
      </c>
      <c r="D164" s="231"/>
    </row>
    <row r="165" spans="1:4" hidden="1" x14ac:dyDescent="0.3">
      <c r="A165" s="230" t="s">
        <v>245</v>
      </c>
      <c r="B165" s="234" t="s">
        <v>300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41808.602523148104</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'3381'!B2</f>
        <v>50</v>
      </c>
      <c r="W2" s="380" t="s">
        <v>4</v>
      </c>
      <c r="X2" s="381"/>
      <c r="Y2" s="382"/>
      <c r="Z2" s="382"/>
      <c r="AA2" s="382"/>
      <c r="AB2" s="382"/>
      <c r="AC2" s="382"/>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'3381'!G7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178.68</v>
      </c>
      <c r="E10" s="48">
        <v>169.92</v>
      </c>
      <c r="F10" s="48">
        <v>0</v>
      </c>
      <c r="G10" s="49">
        <f>IF($B$154&lt;8,D10*2,D10+E10)</f>
        <v>348.6</v>
      </c>
      <c r="H10" s="50"/>
      <c r="I10" s="51">
        <v>1.1259999999999999</v>
      </c>
      <c r="J10" s="51"/>
      <c r="K10" s="52">
        <f>ROUND(G10*I10,4)</f>
        <v>392.52359999999999</v>
      </c>
      <c r="L10" s="53">
        <f>ROUND(ROUND(K10*$G$7,4)*($K$7),0)</f>
        <v>1628459</v>
      </c>
      <c r="N10" s="54">
        <v>5101</v>
      </c>
      <c r="O10" s="55">
        <v>101</v>
      </c>
      <c r="Q10" s="56"/>
      <c r="V10" s="391" t="s">
        <v>27</v>
      </c>
      <c r="W10" s="391"/>
      <c r="X10" s="392">
        <f>IF('3381'!K$84=1,'3381'!G10,0)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30.92</v>
      </c>
      <c r="E11" s="14">
        <v>38.159999999999997</v>
      </c>
      <c r="F11" s="14">
        <v>0</v>
      </c>
      <c r="G11" s="49">
        <f t="shared" ref="G11:G25" si="2">IF($B$154&lt;8,D11*2,D11+E11)</f>
        <v>69.08</v>
      </c>
      <c r="H11" s="50"/>
      <c r="I11" s="59">
        <f>I10</f>
        <v>1.1259999999999999</v>
      </c>
      <c r="J11" s="59"/>
      <c r="K11" s="52">
        <f t="shared" ref="K11:K25" si="3">ROUND(G11*I11,4)</f>
        <v>77.784099999999995</v>
      </c>
      <c r="L11" s="53">
        <f t="shared" ref="L11:L25" si="4">ROUND(ROUND(K11*$G$7,4)*($K$7),0)</f>
        <v>322702</v>
      </c>
      <c r="M11" s="1" t="str">
        <f>IF(ROUND(G11,2)=ROUND(SUM(G28:G30),2)," ","CHECK 2. PK-3 Lines Below")</f>
        <v xml:space="preserve"> </v>
      </c>
      <c r="N11" s="54">
        <v>5101</v>
      </c>
      <c r="O11" s="60" t="s">
        <v>30</v>
      </c>
      <c r="Q11" s="56"/>
      <c r="V11" s="402" t="s">
        <v>29</v>
      </c>
      <c r="W11" s="402"/>
      <c r="X11" s="392">
        <f>IF('3381'!K$84=1,'3381'!G11,0)</f>
        <v>0</v>
      </c>
      <c r="Y11" s="392"/>
      <c r="Z11" s="403">
        <v>1</v>
      </c>
      <c r="AA11" s="403"/>
      <c r="AB11" s="57">
        <f t="shared" si="0"/>
        <v>0</v>
      </c>
      <c r="AC11" s="58">
        <f t="shared" si="1"/>
        <v>0</v>
      </c>
      <c r="AD11" s="9"/>
    </row>
    <row r="12" spans="1:30" x14ac:dyDescent="0.3">
      <c r="A12" s="1" t="s">
        <v>31</v>
      </c>
      <c r="B12" s="14" t="s">
        <v>32</v>
      </c>
      <c r="C12" s="14"/>
      <c r="D12" s="14">
        <v>227.6</v>
      </c>
      <c r="E12" s="14">
        <v>232.41</v>
      </c>
      <c r="F12" s="14">
        <v>0</v>
      </c>
      <c r="G12" s="49">
        <f t="shared" si="2"/>
        <v>460.01</v>
      </c>
      <c r="H12" s="50"/>
      <c r="I12" s="59">
        <v>1</v>
      </c>
      <c r="J12" s="59"/>
      <c r="K12" s="52">
        <f t="shared" si="3"/>
        <v>460.01</v>
      </c>
      <c r="L12" s="53">
        <f t="shared" si="4"/>
        <v>1908439</v>
      </c>
      <c r="N12" s="54">
        <v>5102</v>
      </c>
      <c r="O12" s="55">
        <v>102</v>
      </c>
      <c r="Q12" s="56"/>
      <c r="V12" s="402" t="s">
        <v>32</v>
      </c>
      <c r="W12" s="402"/>
      <c r="X12" s="392">
        <f>IF('3381'!K$84=1,'3381'!G12,0)</f>
        <v>0</v>
      </c>
      <c r="Y12" s="392"/>
      <c r="Z12" s="403">
        <v>1</v>
      </c>
      <c r="AA12" s="403"/>
      <c r="AB12" s="57">
        <f t="shared" si="0"/>
        <v>0</v>
      </c>
      <c r="AC12" s="58">
        <f t="shared" si="1"/>
        <v>0</v>
      </c>
      <c r="AD12" s="9"/>
    </row>
    <row r="13" spans="1:30" x14ac:dyDescent="0.3">
      <c r="A13" s="1" t="s">
        <v>33</v>
      </c>
      <c r="B13" s="14" t="s">
        <v>34</v>
      </c>
      <c r="C13" s="14"/>
      <c r="D13" s="14">
        <v>51.02</v>
      </c>
      <c r="E13" s="14">
        <v>53.06</v>
      </c>
      <c r="F13" s="14">
        <v>0</v>
      </c>
      <c r="G13" s="49">
        <f t="shared" si="2"/>
        <v>104.08000000000001</v>
      </c>
      <c r="H13" s="50"/>
      <c r="I13" s="59">
        <f>I12</f>
        <v>1</v>
      </c>
      <c r="J13" s="59"/>
      <c r="K13" s="52">
        <f t="shared" si="3"/>
        <v>104.08</v>
      </c>
      <c r="L13" s="53">
        <f t="shared" si="4"/>
        <v>431796</v>
      </c>
      <c r="M13" s="1" t="str">
        <f>IF(ROUND(G13,2)=ROUND(SUM(G31:G33),2)," ","CHECK 2. 4-8 Lines Below")</f>
        <v xml:space="preserve"> </v>
      </c>
      <c r="N13" s="54">
        <v>5102</v>
      </c>
      <c r="O13" s="60" t="s">
        <v>35</v>
      </c>
      <c r="Q13" s="56"/>
      <c r="V13" s="402" t="s">
        <v>34</v>
      </c>
      <c r="W13" s="402"/>
      <c r="X13" s="392">
        <f>IF('3381'!K$84=1,'3381'!G13,0)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IF('3381'!K$84=1,'3381'!G14,0)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IF('3381'!K$84=1,'3381'!G15,0)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IF('3381'!K$84=1,'3381'!G16,0)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IF('3381'!K$84=1,'3381'!G17,0)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IF('3381'!K$84=1,'3381'!G18,0)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IF('3381'!K$84=1,'3381'!G19,0)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IF('3381'!K$84=1,'3381'!G20,0)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IF('3381'!K$84=1,'3381'!G21,0)</f>
        <v>0</v>
      </c>
      <c r="Y21" s="392"/>
      <c r="Z21" s="403">
        <v>1</v>
      </c>
      <c r="AA21" s="403"/>
      <c r="AB21" s="57">
        <f t="shared" si="0"/>
        <v>0</v>
      </c>
      <c r="AC21" s="58">
        <f t="shared" si="1"/>
        <v>0</v>
      </c>
      <c r="AD21" s="9"/>
    </row>
    <row r="22" spans="1:30" ht="16.2" x14ac:dyDescent="0.35">
      <c r="A22" s="1" t="s">
        <v>53</v>
      </c>
      <c r="B22" s="14" t="s">
        <v>54</v>
      </c>
      <c r="C22" s="14"/>
      <c r="D22" s="14">
        <v>6.9</v>
      </c>
      <c r="E22" s="14">
        <v>6.52</v>
      </c>
      <c r="F22" s="14">
        <v>0</v>
      </c>
      <c r="G22" s="49">
        <f t="shared" si="2"/>
        <v>13.42</v>
      </c>
      <c r="H22" s="50"/>
      <c r="I22" s="59">
        <v>1.147</v>
      </c>
      <c r="J22" s="59"/>
      <c r="K22" s="52">
        <f t="shared" si="3"/>
        <v>15.3927</v>
      </c>
      <c r="L22" s="53">
        <f t="shared" si="4"/>
        <v>63860</v>
      </c>
      <c r="N22" s="54">
        <v>5101</v>
      </c>
      <c r="O22" s="55">
        <v>130</v>
      </c>
      <c r="Q22" s="56"/>
      <c r="V22" s="402" t="s">
        <v>54</v>
      </c>
      <c r="W22" s="402"/>
      <c r="X22" s="392">
        <f>IF('3381'!K$84=1,'3381'!G22,0)</f>
        <v>0</v>
      </c>
      <c r="Y22" s="392"/>
      <c r="Z22" s="403">
        <v>1</v>
      </c>
      <c r="AA22" s="403"/>
      <c r="AB22" s="57">
        <f t="shared" si="0"/>
        <v>0</v>
      </c>
      <c r="AC22" s="58">
        <f t="shared" si="1"/>
        <v>0</v>
      </c>
      <c r="AD22" s="9"/>
    </row>
    <row r="23" spans="1:30" ht="16.2" x14ac:dyDescent="0.35">
      <c r="A23" s="1" t="s">
        <v>55</v>
      </c>
      <c r="B23" s="14" t="s">
        <v>56</v>
      </c>
      <c r="C23" s="14"/>
      <c r="D23" s="14">
        <v>2.76</v>
      </c>
      <c r="E23" s="14">
        <v>2.74</v>
      </c>
      <c r="F23" s="14">
        <v>0</v>
      </c>
      <c r="G23" s="49">
        <f t="shared" si="2"/>
        <v>5.5</v>
      </c>
      <c r="H23" s="50"/>
      <c r="I23" s="59">
        <f>I22</f>
        <v>1.147</v>
      </c>
      <c r="J23" s="59"/>
      <c r="K23" s="52">
        <f t="shared" si="3"/>
        <v>6.3085000000000004</v>
      </c>
      <c r="L23" s="53">
        <f t="shared" si="4"/>
        <v>26172</v>
      </c>
      <c r="N23" s="54">
        <v>5102</v>
      </c>
      <c r="O23" s="55">
        <v>130</v>
      </c>
      <c r="Q23" s="56"/>
      <c r="V23" s="402" t="s">
        <v>56</v>
      </c>
      <c r="W23" s="402"/>
      <c r="X23" s="392">
        <f>IF('3381'!K$84=1,'3381'!G23,0)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IF('3381'!K$84=1,'3381'!G24,0)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IF('3381'!K$84=1,'3381'!G25,0)</f>
        <v>0</v>
      </c>
      <c r="Y25" s="392"/>
      <c r="Z25" s="403">
        <v>1</v>
      </c>
      <c r="AA25" s="403"/>
      <c r="AB25" s="57">
        <f t="shared" si="0"/>
        <v>0</v>
      </c>
      <c r="AC25" s="58">
        <f t="shared" si="1"/>
        <v>0</v>
      </c>
      <c r="AD25" s="9"/>
    </row>
    <row r="26" spans="1:30" ht="20.25" customHeight="1" thickBot="1" x14ac:dyDescent="0.35">
      <c r="B26" s="63" t="s">
        <v>61</v>
      </c>
      <c r="C26" s="63"/>
      <c r="D26" s="64">
        <f t="shared" ref="D26:E26" si="5">SUM(D10:D25)</f>
        <v>497.88</v>
      </c>
      <c r="E26" s="64">
        <f t="shared" si="5"/>
        <v>502.81</v>
      </c>
      <c r="F26" s="64"/>
      <c r="G26" s="64">
        <f>SUM(G10:G25)</f>
        <v>1000.69</v>
      </c>
      <c r="H26" s="65"/>
      <c r="I26" s="65"/>
      <c r="J26" s="66"/>
      <c r="K26" s="67">
        <f>SUM(K10:K25)</f>
        <v>1056.0989000000002</v>
      </c>
      <c r="L26" s="68">
        <f>SUM(L10:L25)</f>
        <v>4381428</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30.43</v>
      </c>
      <c r="E28" s="14">
        <v>37.64</v>
      </c>
      <c r="F28" s="79">
        <v>0</v>
      </c>
      <c r="G28" s="49">
        <f t="shared" ref="G28:G36" si="6">IF($B$154&lt;8,D28*2,D28+E28)</f>
        <v>68.069999999999993</v>
      </c>
      <c r="H28" s="80"/>
      <c r="I28" s="81" t="s">
        <v>69</v>
      </c>
      <c r="J28" s="54">
        <v>251</v>
      </c>
      <c r="K28" s="82">
        <v>1047</v>
      </c>
      <c r="L28" s="83">
        <f>ROUND(G28*K28,0)</f>
        <v>71269</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0.49</v>
      </c>
      <c r="E29" s="14">
        <v>0.52</v>
      </c>
      <c r="F29" s="90">
        <v>0</v>
      </c>
      <c r="G29" s="49">
        <f t="shared" si="6"/>
        <v>1.01</v>
      </c>
      <c r="H29" s="80"/>
      <c r="I29" s="54" t="s">
        <v>69</v>
      </c>
      <c r="J29" s="54">
        <v>252</v>
      </c>
      <c r="K29" s="82">
        <v>3380</v>
      </c>
      <c r="L29" s="83">
        <f t="shared" ref="L29:L36" si="8">ROUND(G29*K29,0)</f>
        <v>3414</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50.06</v>
      </c>
      <c r="E31" s="14">
        <v>52.03</v>
      </c>
      <c r="F31" s="90">
        <v>0</v>
      </c>
      <c r="G31" s="49">
        <f t="shared" si="6"/>
        <v>102.09</v>
      </c>
      <c r="H31" s="80"/>
      <c r="I31" s="91" t="s">
        <v>73</v>
      </c>
      <c r="J31" s="54">
        <v>251</v>
      </c>
      <c r="K31" s="82">
        <v>1173</v>
      </c>
      <c r="L31" s="83">
        <f t="shared" si="8"/>
        <v>119752</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0.96</v>
      </c>
      <c r="E32" s="14">
        <v>1.03</v>
      </c>
      <c r="F32" s="90">
        <v>0</v>
      </c>
      <c r="G32" s="49">
        <f t="shared" si="6"/>
        <v>1.99</v>
      </c>
      <c r="H32" s="80"/>
      <c r="I32" s="91" t="s">
        <v>73</v>
      </c>
      <c r="J32" s="54">
        <v>252</v>
      </c>
      <c r="K32" s="82">
        <v>3506</v>
      </c>
      <c r="L32" s="83">
        <f t="shared" si="8"/>
        <v>6977</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81.94</v>
      </c>
      <c r="E37" s="64">
        <f t="shared" si="10"/>
        <v>91.22</v>
      </c>
      <c r="F37" s="64"/>
      <c r="G37" s="64">
        <f>SUM(G28:G36)</f>
        <v>173.16000000000003</v>
      </c>
      <c r="H37" s="65"/>
      <c r="I37" s="14" t="s">
        <v>81</v>
      </c>
      <c r="J37" s="14"/>
      <c r="K37" s="14"/>
      <c r="L37" s="53">
        <f>SUM(L28:L36)</f>
        <v>201412</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191132</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4773972</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485.70039999999995</v>
      </c>
      <c r="D47" s="123"/>
      <c r="E47" s="123"/>
      <c r="F47" s="123"/>
      <c r="G47" s="124">
        <f>K7</f>
        <v>1.0289999999999999</v>
      </c>
      <c r="H47" s="124"/>
      <c r="I47" s="125">
        <v>1325.01</v>
      </c>
      <c r="J47" s="126" t="s">
        <v>96</v>
      </c>
      <c r="K47" s="127">
        <f>ROUND(C47*G47*I47,0)</f>
        <v>662221</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570.39850000000001</v>
      </c>
      <c r="D48" s="123"/>
      <c r="E48" s="123"/>
      <c r="F48" s="123"/>
      <c r="G48" s="124">
        <f>K7</f>
        <v>1.0289999999999999</v>
      </c>
      <c r="H48" s="124"/>
      <c r="I48" s="125">
        <v>903.8</v>
      </c>
      <c r="J48" s="126" t="s">
        <v>96</v>
      </c>
      <c r="K48" s="127">
        <f>ROUND(C48*G48*I48,0)</f>
        <v>530476</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1056.0989</v>
      </c>
      <c r="D50" s="146"/>
      <c r="E50" s="147"/>
      <c r="F50" s="147"/>
      <c r="G50" s="148" t="s">
        <v>98</v>
      </c>
      <c r="H50" s="148"/>
      <c r="I50" s="148"/>
      <c r="J50" s="148"/>
      <c r="K50" s="148"/>
      <c r="L50" s="53">
        <f>IF(B2=75,0,K49+K48+K47)</f>
        <v>1192697</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1056.0989000000002</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5.3319999999999999E-3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1000.69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5.5170000000000002E-3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5.3319999999999999E-3</v>
      </c>
      <c r="L59" s="53">
        <f>ROUND(I59*K59,0)</f>
        <v>22559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5.3319999999999999E-3</v>
      </c>
      <c r="L67" s="53">
        <f>ROUND(I67*K67,0)</f>
        <v>552922</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5.5170000000000002E-3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5.3319999999999999E-3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5.3319999999999999E-3</v>
      </c>
      <c r="L71" s="53">
        <f>ROUND(I71*K71,0)</f>
        <v>9948</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5.5170000000000002E-3</v>
      </c>
      <c r="L72" s="53">
        <f>ROUND(I72*K72,0)</f>
        <v>77039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5.5170000000000002E-3</v>
      </c>
      <c r="L77" s="53">
        <f>ROUND(I77*K77,0)</f>
        <v>9473</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5.3319999999999999E-3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6638610</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6638610</v>
      </c>
      <c r="L86" s="83">
        <f>IF(G26=0,0,IF(G26&gt;250,-(((250/G26)*K86)*IF(M86="H",0.02,0.05)),IF(M86="H",-0.02*K86,-0.05*K86)))</f>
        <v>-82925.406469536014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6555684.593530464</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-546307</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6009377.593530464</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546307.05395731493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249005.09353046399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301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302</v>
      </c>
      <c r="C123" s="221" t="s">
        <v>199</v>
      </c>
    </row>
    <row r="124" spans="2:3" hidden="1" x14ac:dyDescent="0.3">
      <c r="B124" s="225" t="s">
        <v>303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41808.602546296301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301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302</v>
      </c>
      <c r="C164" s="235" t="s">
        <v>244</v>
      </c>
      <c r="D164" s="231"/>
    </row>
    <row r="165" spans="1:4" hidden="1" x14ac:dyDescent="0.3">
      <c r="A165" s="230" t="s">
        <v>245</v>
      </c>
      <c r="B165" s="234" t="s">
        <v>303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41808.602546296301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topLeftCell="A17" zoomScaleNormal="100" workbookViewId="0">
      <selection sqref="A1:XFD1"/>
    </sheetView>
  </sheetViews>
  <sheetFormatPr defaultColWidth="8.77734375" defaultRowHeight="10.199999999999999" x14ac:dyDescent="0.2"/>
  <cols>
    <col min="1" max="1" width="6.44140625" style="329" customWidth="1"/>
    <col min="2" max="2" width="47.44140625" style="299" bestFit="1" customWidth="1"/>
    <col min="3" max="3" width="1.5546875" style="299" customWidth="1"/>
    <col min="4" max="4" width="6.109375" style="331" customWidth="1"/>
    <col min="5" max="5" width="47.44140625" style="299" bestFit="1" customWidth="1"/>
    <col min="6" max="16384" width="8.77734375" style="299"/>
  </cols>
  <sheetData>
    <row r="1" spans="1:5" ht="14.25" hidden="1" customHeight="1" x14ac:dyDescent="0.2">
      <c r="B1" s="360">
        <f>SUM('0054:4072'!$L$92)+22041</f>
        <v>10830318.08857673</v>
      </c>
    </row>
    <row r="2" spans="1:5" ht="16.5" customHeight="1" x14ac:dyDescent="0.2"/>
    <row r="3" spans="1:5" x14ac:dyDescent="0.2">
      <c r="A3" s="325" t="s">
        <v>415</v>
      </c>
      <c r="D3" s="325" t="s">
        <v>416</v>
      </c>
    </row>
    <row r="4" spans="1:5" x14ac:dyDescent="0.2">
      <c r="A4" s="326" t="s">
        <v>417</v>
      </c>
      <c r="B4" s="298" t="s">
        <v>418</v>
      </c>
      <c r="D4" s="326" t="s">
        <v>417</v>
      </c>
      <c r="E4" s="298" t="s">
        <v>418</v>
      </c>
    </row>
    <row r="5" spans="1:5" x14ac:dyDescent="0.2">
      <c r="A5" s="327" t="s">
        <v>198</v>
      </c>
      <c r="B5" s="277" t="s">
        <v>200</v>
      </c>
      <c r="D5" s="327" t="s">
        <v>265</v>
      </c>
      <c r="E5" s="277" t="s">
        <v>471</v>
      </c>
    </row>
    <row r="6" spans="1:5" x14ac:dyDescent="0.2">
      <c r="A6" s="327" t="s">
        <v>262</v>
      </c>
      <c r="B6" s="277" t="s">
        <v>472</v>
      </c>
      <c r="D6" s="327">
        <v>3400</v>
      </c>
      <c r="E6" s="277" t="s">
        <v>419</v>
      </c>
    </row>
    <row r="7" spans="1:5" x14ac:dyDescent="0.2">
      <c r="A7" s="330" t="s">
        <v>265</v>
      </c>
      <c r="B7" s="277" t="s">
        <v>471</v>
      </c>
      <c r="D7" s="327">
        <v>4010</v>
      </c>
      <c r="E7" s="277" t="s">
        <v>473</v>
      </c>
    </row>
    <row r="8" spans="1:5" x14ac:dyDescent="0.2">
      <c r="A8" s="327">
        <v>1461</v>
      </c>
      <c r="B8" s="277" t="s">
        <v>475</v>
      </c>
      <c r="D8" s="327">
        <v>3941</v>
      </c>
      <c r="E8" s="277" t="s">
        <v>474</v>
      </c>
    </row>
    <row r="9" spans="1:5" x14ac:dyDescent="0.2">
      <c r="A9" s="327">
        <v>1571</v>
      </c>
      <c r="B9" s="277" t="s">
        <v>476</v>
      </c>
      <c r="D9" s="327" t="s">
        <v>198</v>
      </c>
      <c r="E9" s="277" t="s">
        <v>200</v>
      </c>
    </row>
    <row r="10" spans="1:5" x14ac:dyDescent="0.2">
      <c r="A10" s="327">
        <v>2521</v>
      </c>
      <c r="B10" s="277" t="s">
        <v>477</v>
      </c>
      <c r="D10" s="327">
        <v>3385</v>
      </c>
      <c r="E10" s="277" t="s">
        <v>312</v>
      </c>
    </row>
    <row r="11" spans="1:5" x14ac:dyDescent="0.2">
      <c r="A11" s="327">
        <v>2531</v>
      </c>
      <c r="B11" s="277" t="s">
        <v>478</v>
      </c>
      <c r="D11" s="327" t="s">
        <v>262</v>
      </c>
      <c r="E11" s="277" t="s">
        <v>472</v>
      </c>
    </row>
    <row r="12" spans="1:5" x14ac:dyDescent="0.2">
      <c r="A12" s="327">
        <v>2641</v>
      </c>
      <c r="B12" s="277" t="s">
        <v>479</v>
      </c>
      <c r="D12" s="329">
        <v>4072</v>
      </c>
      <c r="E12" s="299" t="s">
        <v>445</v>
      </c>
    </row>
    <row r="13" spans="1:5" x14ac:dyDescent="0.2">
      <c r="A13" s="327">
        <v>2791</v>
      </c>
      <c r="B13" s="277" t="s">
        <v>284</v>
      </c>
      <c r="D13" s="327">
        <v>2521</v>
      </c>
      <c r="E13" s="277" t="s">
        <v>477</v>
      </c>
    </row>
    <row r="14" spans="1:5" x14ac:dyDescent="0.2">
      <c r="A14" s="327">
        <v>2801</v>
      </c>
      <c r="B14" s="277" t="s">
        <v>480</v>
      </c>
      <c r="D14" s="327">
        <v>3398</v>
      </c>
      <c r="E14" s="277" t="s">
        <v>481</v>
      </c>
    </row>
    <row r="15" spans="1:5" x14ac:dyDescent="0.2">
      <c r="A15" s="329">
        <v>2911</v>
      </c>
      <c r="B15" s="299" t="s">
        <v>289</v>
      </c>
      <c r="D15" s="329" t="s">
        <v>420</v>
      </c>
      <c r="E15" s="299" t="s">
        <v>507</v>
      </c>
    </row>
    <row r="16" spans="1:5" x14ac:dyDescent="0.2">
      <c r="A16" s="327">
        <v>2941</v>
      </c>
      <c r="B16" s="277" t="s">
        <v>292</v>
      </c>
      <c r="D16" s="327">
        <v>4020</v>
      </c>
      <c r="E16" s="277" t="s">
        <v>482</v>
      </c>
    </row>
    <row r="17" spans="1:5" x14ac:dyDescent="0.2">
      <c r="A17" s="327">
        <v>3083</v>
      </c>
      <c r="B17" s="277" t="s">
        <v>294</v>
      </c>
      <c r="D17" s="334">
        <v>4021</v>
      </c>
      <c r="E17" s="299" t="s">
        <v>483</v>
      </c>
    </row>
    <row r="18" spans="1:5" x14ac:dyDescent="0.2">
      <c r="A18" s="327">
        <v>3345</v>
      </c>
      <c r="B18" s="277" t="s">
        <v>486</v>
      </c>
      <c r="D18" s="329">
        <v>4061</v>
      </c>
      <c r="E18" s="299" t="s">
        <v>484</v>
      </c>
    </row>
    <row r="19" spans="1:5" x14ac:dyDescent="0.2">
      <c r="A19" s="327">
        <v>3347</v>
      </c>
      <c r="B19" s="277" t="s">
        <v>300</v>
      </c>
      <c r="D19" s="327">
        <v>3961</v>
      </c>
      <c r="E19" s="277" t="s">
        <v>485</v>
      </c>
    </row>
    <row r="20" spans="1:5" x14ac:dyDescent="0.2">
      <c r="A20" s="327">
        <v>3381</v>
      </c>
      <c r="B20" s="277" t="s">
        <v>489</v>
      </c>
      <c r="D20" s="327">
        <v>3382</v>
      </c>
      <c r="E20" s="277" t="s">
        <v>487</v>
      </c>
    </row>
    <row r="21" spans="1:5" x14ac:dyDescent="0.2">
      <c r="A21" s="327">
        <v>3382</v>
      </c>
      <c r="B21" s="277" t="s">
        <v>487</v>
      </c>
      <c r="D21" s="327">
        <v>3396</v>
      </c>
      <c r="E21" s="277" t="s">
        <v>488</v>
      </c>
    </row>
    <row r="22" spans="1:5" x14ac:dyDescent="0.2">
      <c r="A22" s="327">
        <v>3384</v>
      </c>
      <c r="B22" s="277" t="s">
        <v>490</v>
      </c>
      <c r="D22" s="327">
        <v>3345</v>
      </c>
      <c r="E22" s="277" t="s">
        <v>486</v>
      </c>
    </row>
    <row r="23" spans="1:5" x14ac:dyDescent="0.2">
      <c r="A23" s="327">
        <v>3385</v>
      </c>
      <c r="B23" s="277" t="s">
        <v>312</v>
      </c>
      <c r="D23" s="327">
        <v>3384</v>
      </c>
      <c r="E23" s="277" t="s">
        <v>490</v>
      </c>
    </row>
    <row r="24" spans="1:5" x14ac:dyDescent="0.2">
      <c r="A24" s="329">
        <v>3386</v>
      </c>
      <c r="B24" s="299" t="s">
        <v>491</v>
      </c>
      <c r="D24" s="327">
        <v>3381</v>
      </c>
      <c r="E24" s="277" t="s">
        <v>489</v>
      </c>
    </row>
    <row r="25" spans="1:5" x14ac:dyDescent="0.2">
      <c r="A25" s="327">
        <v>3391</v>
      </c>
      <c r="B25" s="277" t="s">
        <v>493</v>
      </c>
      <c r="D25" s="327">
        <v>1461</v>
      </c>
      <c r="E25" s="277" t="s">
        <v>475</v>
      </c>
    </row>
    <row r="26" spans="1:5" x14ac:dyDescent="0.2">
      <c r="A26" s="327">
        <v>3394</v>
      </c>
      <c r="B26" s="277" t="s">
        <v>494</v>
      </c>
      <c r="D26" s="327">
        <v>3395</v>
      </c>
      <c r="E26" s="277" t="s">
        <v>492</v>
      </c>
    </row>
    <row r="27" spans="1:5" x14ac:dyDescent="0.2">
      <c r="A27" s="327">
        <v>3395</v>
      </c>
      <c r="B27" s="277" t="s">
        <v>492</v>
      </c>
      <c r="D27" s="327">
        <v>2641</v>
      </c>
      <c r="E27" s="277" t="s">
        <v>479</v>
      </c>
    </row>
    <row r="28" spans="1:5" x14ac:dyDescent="0.2">
      <c r="A28" s="327">
        <v>3396</v>
      </c>
      <c r="B28" s="277" t="s">
        <v>488</v>
      </c>
      <c r="D28" s="327">
        <v>3347</v>
      </c>
      <c r="E28" s="277" t="s">
        <v>300</v>
      </c>
    </row>
    <row r="29" spans="1:5" x14ac:dyDescent="0.2">
      <c r="A29" s="327">
        <v>3398</v>
      </c>
      <c r="B29" s="277" t="s">
        <v>481</v>
      </c>
      <c r="D29" s="327">
        <v>4037</v>
      </c>
      <c r="E29" s="277" t="s">
        <v>495</v>
      </c>
    </row>
    <row r="30" spans="1:5" x14ac:dyDescent="0.2">
      <c r="A30" s="327">
        <v>3400</v>
      </c>
      <c r="B30" s="277" t="s">
        <v>419</v>
      </c>
      <c r="D30" s="327">
        <v>3971</v>
      </c>
      <c r="E30" s="277" t="s">
        <v>496</v>
      </c>
    </row>
    <row r="31" spans="1:5" x14ac:dyDescent="0.2">
      <c r="A31" s="327">
        <v>3401</v>
      </c>
      <c r="B31" s="277" t="s">
        <v>336</v>
      </c>
      <c r="D31" s="327">
        <v>3394</v>
      </c>
      <c r="E31" s="277" t="s">
        <v>494</v>
      </c>
    </row>
    <row r="32" spans="1:5" x14ac:dyDescent="0.2">
      <c r="A32" s="327">
        <v>3413</v>
      </c>
      <c r="B32" s="277" t="s">
        <v>339</v>
      </c>
      <c r="D32" s="327">
        <v>2801</v>
      </c>
      <c r="E32" s="277" t="s">
        <v>480</v>
      </c>
    </row>
    <row r="33" spans="1:5" x14ac:dyDescent="0.2">
      <c r="A33" s="329">
        <v>3421</v>
      </c>
      <c r="B33" s="299" t="s">
        <v>342</v>
      </c>
      <c r="D33" s="327">
        <v>2941</v>
      </c>
      <c r="E33" s="277" t="s">
        <v>292</v>
      </c>
    </row>
    <row r="34" spans="1:5" x14ac:dyDescent="0.2">
      <c r="A34" s="327">
        <v>3431</v>
      </c>
      <c r="B34" s="277" t="s">
        <v>497</v>
      </c>
      <c r="D34" s="327">
        <v>3401</v>
      </c>
      <c r="E34" s="277" t="s">
        <v>336</v>
      </c>
    </row>
    <row r="35" spans="1:5" x14ac:dyDescent="0.2">
      <c r="A35" s="334">
        <v>3441</v>
      </c>
      <c r="B35" s="277" t="s">
        <v>499</v>
      </c>
      <c r="D35" s="327">
        <v>3431</v>
      </c>
      <c r="E35" s="277" t="s">
        <v>497</v>
      </c>
    </row>
    <row r="36" spans="1:5" x14ac:dyDescent="0.2">
      <c r="A36" s="327">
        <v>3443</v>
      </c>
      <c r="B36" s="277" t="s">
        <v>351</v>
      </c>
      <c r="D36" s="327">
        <v>4051</v>
      </c>
      <c r="E36" s="277" t="s">
        <v>511</v>
      </c>
    </row>
    <row r="37" spans="1:5" x14ac:dyDescent="0.2">
      <c r="A37" s="327">
        <v>3941</v>
      </c>
      <c r="B37" s="277" t="s">
        <v>474</v>
      </c>
      <c r="D37" s="327">
        <v>4050</v>
      </c>
      <c r="E37" s="277" t="s">
        <v>498</v>
      </c>
    </row>
    <row r="38" spans="1:5" x14ac:dyDescent="0.2">
      <c r="A38" s="327">
        <v>3961</v>
      </c>
      <c r="B38" s="277" t="s">
        <v>485</v>
      </c>
      <c r="D38" s="327">
        <v>4000</v>
      </c>
      <c r="E38" s="277" t="s">
        <v>500</v>
      </c>
    </row>
    <row r="39" spans="1:5" x14ac:dyDescent="0.2">
      <c r="A39" s="327">
        <v>3971</v>
      </c>
      <c r="B39" s="277" t="s">
        <v>496</v>
      </c>
      <c r="D39" s="327">
        <v>4002</v>
      </c>
      <c r="E39" s="277" t="s">
        <v>501</v>
      </c>
    </row>
    <row r="40" spans="1:5" x14ac:dyDescent="0.2">
      <c r="A40" s="327">
        <v>4000</v>
      </c>
      <c r="B40" s="277" t="s">
        <v>500</v>
      </c>
      <c r="D40" s="327">
        <v>4001</v>
      </c>
      <c r="E40" s="277" t="s">
        <v>502</v>
      </c>
    </row>
    <row r="41" spans="1:5" x14ac:dyDescent="0.2">
      <c r="A41" s="327">
        <v>4001</v>
      </c>
      <c r="B41" s="277" t="s">
        <v>502</v>
      </c>
      <c r="D41" s="327">
        <v>3083</v>
      </c>
      <c r="E41" s="277" t="s">
        <v>294</v>
      </c>
    </row>
    <row r="42" spans="1:5" x14ac:dyDescent="0.2">
      <c r="A42" s="327">
        <v>4002</v>
      </c>
      <c r="B42" s="277" t="s">
        <v>501</v>
      </c>
      <c r="D42" s="327">
        <v>2791</v>
      </c>
      <c r="E42" s="277" t="s">
        <v>284</v>
      </c>
    </row>
    <row r="43" spans="1:5" x14ac:dyDescent="0.2">
      <c r="A43" s="327">
        <v>4010</v>
      </c>
      <c r="B43" s="277" t="s">
        <v>473</v>
      </c>
      <c r="D43" s="327">
        <v>3443</v>
      </c>
      <c r="E43" s="277" t="s">
        <v>351</v>
      </c>
    </row>
    <row r="44" spans="1:5" x14ac:dyDescent="0.2">
      <c r="A44" s="327">
        <v>4012</v>
      </c>
      <c r="B44" s="277" t="s">
        <v>504</v>
      </c>
      <c r="D44" s="327">
        <v>3391</v>
      </c>
      <c r="E44" s="277" t="s">
        <v>493</v>
      </c>
    </row>
    <row r="45" spans="1:5" x14ac:dyDescent="0.2">
      <c r="A45" s="327">
        <v>4013</v>
      </c>
      <c r="B45" s="277" t="s">
        <v>503</v>
      </c>
      <c r="D45" s="329">
        <v>3413</v>
      </c>
      <c r="E45" s="299" t="s">
        <v>339</v>
      </c>
    </row>
    <row r="46" spans="1:5" x14ac:dyDescent="0.2">
      <c r="A46" s="327">
        <v>4020</v>
      </c>
      <c r="B46" s="277" t="s">
        <v>482</v>
      </c>
      <c r="D46" s="329" t="s">
        <v>383</v>
      </c>
      <c r="E46" s="299" t="s">
        <v>506</v>
      </c>
    </row>
    <row r="47" spans="1:5" x14ac:dyDescent="0.2">
      <c r="A47" s="327">
        <v>4021</v>
      </c>
      <c r="B47" s="277" t="s">
        <v>483</v>
      </c>
      <c r="D47" s="327">
        <v>4013</v>
      </c>
      <c r="E47" s="277" t="s">
        <v>503</v>
      </c>
    </row>
    <row r="48" spans="1:5" x14ac:dyDescent="0.2">
      <c r="A48" s="327">
        <v>4037</v>
      </c>
      <c r="B48" s="277" t="s">
        <v>495</v>
      </c>
      <c r="D48" s="334">
        <v>4012</v>
      </c>
      <c r="E48" s="277" t="s">
        <v>504</v>
      </c>
    </row>
    <row r="49" spans="1:5" x14ac:dyDescent="0.2">
      <c r="A49" s="329" t="s">
        <v>420</v>
      </c>
      <c r="B49" s="299" t="s">
        <v>507</v>
      </c>
      <c r="D49" s="327">
        <v>1571</v>
      </c>
      <c r="E49" s="277" t="s">
        <v>476</v>
      </c>
    </row>
    <row r="50" spans="1:5" x14ac:dyDescent="0.2">
      <c r="A50" s="329" t="s">
        <v>383</v>
      </c>
      <c r="B50" s="299" t="s">
        <v>506</v>
      </c>
      <c r="D50" s="327">
        <v>3441</v>
      </c>
      <c r="E50" s="277" t="s">
        <v>499</v>
      </c>
    </row>
    <row r="51" spans="1:5" x14ac:dyDescent="0.2">
      <c r="A51" s="327">
        <v>4050</v>
      </c>
      <c r="B51" s="277" t="s">
        <v>498</v>
      </c>
      <c r="D51" s="327">
        <v>2531</v>
      </c>
      <c r="E51" s="277" t="s">
        <v>478</v>
      </c>
    </row>
    <row r="52" spans="1:5" x14ac:dyDescent="0.2">
      <c r="A52" s="327">
        <v>4051</v>
      </c>
      <c r="B52" s="277" t="s">
        <v>511</v>
      </c>
      <c r="D52" s="327">
        <v>3386</v>
      </c>
      <c r="E52" s="277" t="s">
        <v>491</v>
      </c>
    </row>
    <row r="53" spans="1:5" x14ac:dyDescent="0.2">
      <c r="A53" s="327">
        <v>4061</v>
      </c>
      <c r="B53" s="277" t="s">
        <v>484</v>
      </c>
      <c r="D53" s="327">
        <v>4070</v>
      </c>
      <c r="E53" s="277" t="s">
        <v>505</v>
      </c>
    </row>
    <row r="54" spans="1:5" x14ac:dyDescent="0.2">
      <c r="A54" s="334">
        <v>4070</v>
      </c>
      <c r="B54" s="299" t="s">
        <v>505</v>
      </c>
      <c r="D54" s="330">
        <v>2911</v>
      </c>
      <c r="E54" s="277" t="s">
        <v>289</v>
      </c>
    </row>
    <row r="55" spans="1:5" x14ac:dyDescent="0.2">
      <c r="A55" s="327">
        <v>4072</v>
      </c>
      <c r="B55" s="277" t="s">
        <v>445</v>
      </c>
      <c r="D55" s="327">
        <v>3421</v>
      </c>
      <c r="E55" s="277" t="s">
        <v>342</v>
      </c>
    </row>
  </sheetData>
  <sortState ref="A5:B56">
    <sortCondition ref="A5:A56"/>
  </sortState>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'3382'!B2</f>
        <v>50</v>
      </c>
      <c r="W2" s="380" t="s">
        <v>4</v>
      </c>
      <c r="X2" s="381"/>
      <c r="Y2" s="382"/>
      <c r="Z2" s="382"/>
      <c r="AA2" s="382"/>
      <c r="AB2" s="382"/>
      <c r="AC2" s="382"/>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'3382'!G7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31.1</v>
      </c>
      <c r="E10" s="48">
        <v>29.57</v>
      </c>
      <c r="F10" s="48">
        <v>0</v>
      </c>
      <c r="G10" s="49">
        <f>IF($B$154&lt;8,D10*2,D10+E10)</f>
        <v>60.67</v>
      </c>
      <c r="H10" s="50"/>
      <c r="I10" s="51">
        <v>1.1259999999999999</v>
      </c>
      <c r="J10" s="51"/>
      <c r="K10" s="52">
        <f>ROUND(G10*I10,4)</f>
        <v>68.314400000000006</v>
      </c>
      <c r="L10" s="53">
        <f>ROUND(ROUND(K10*$G$7,4)*($K$7),0)</f>
        <v>283415</v>
      </c>
      <c r="N10" s="54">
        <v>5101</v>
      </c>
      <c r="O10" s="55">
        <v>101</v>
      </c>
      <c r="Q10" s="56"/>
      <c r="V10" s="391" t="s">
        <v>27</v>
      </c>
      <c r="W10" s="391"/>
      <c r="X10" s="392">
        <f>IF('3382'!K$84=1,'3382'!G10,0)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4.99</v>
      </c>
      <c r="E11" s="14">
        <v>4.49</v>
      </c>
      <c r="F11" s="14">
        <v>0</v>
      </c>
      <c r="G11" s="49">
        <f t="shared" ref="G11:G25" si="2">IF($B$154&lt;8,D11*2,D11+E11)</f>
        <v>9.48</v>
      </c>
      <c r="H11" s="50"/>
      <c r="I11" s="59">
        <f>I10</f>
        <v>1.1259999999999999</v>
      </c>
      <c r="J11" s="59"/>
      <c r="K11" s="52">
        <f t="shared" ref="K11:K25" si="3">ROUND(G11*I11,4)</f>
        <v>10.6745</v>
      </c>
      <c r="L11" s="53">
        <f t="shared" ref="L11:L25" si="4">ROUND(ROUND(K11*$G$7,4)*($K$7),0)</f>
        <v>44285</v>
      </c>
      <c r="M11" s="1" t="str">
        <f>IF(ROUND(G11,2)=ROUND(SUM(G28:G30),2)," ","CHECK 2. PK-3 Lines Below")</f>
        <v xml:space="preserve"> </v>
      </c>
      <c r="N11" s="54">
        <v>5101</v>
      </c>
      <c r="O11" s="60" t="s">
        <v>30</v>
      </c>
      <c r="Q11" s="56"/>
      <c r="V11" s="402" t="s">
        <v>29</v>
      </c>
      <c r="W11" s="402"/>
      <c r="X11" s="392">
        <f>IF('3382'!K$84=1,'3382'!G11,0)</f>
        <v>0</v>
      </c>
      <c r="Y11" s="392"/>
      <c r="Z11" s="403">
        <v>1</v>
      </c>
      <c r="AA11" s="403"/>
      <c r="AB11" s="57">
        <f t="shared" si="0"/>
        <v>0</v>
      </c>
      <c r="AC11" s="58">
        <f t="shared" si="1"/>
        <v>0</v>
      </c>
      <c r="AD11" s="9"/>
    </row>
    <row r="12" spans="1:30" x14ac:dyDescent="0.3">
      <c r="A12" s="1" t="s">
        <v>31</v>
      </c>
      <c r="B12" s="14" t="s">
        <v>32</v>
      </c>
      <c r="C12" s="14"/>
      <c r="D12" s="14">
        <v>16.559999999999999</v>
      </c>
      <c r="E12" s="14">
        <v>15.57</v>
      </c>
      <c r="F12" s="14">
        <v>0</v>
      </c>
      <c r="G12" s="49">
        <f t="shared" si="2"/>
        <v>32.129999999999995</v>
      </c>
      <c r="H12" s="50"/>
      <c r="I12" s="59">
        <v>1</v>
      </c>
      <c r="J12" s="59"/>
      <c r="K12" s="52">
        <f t="shared" si="3"/>
        <v>32.130000000000003</v>
      </c>
      <c r="L12" s="53">
        <f t="shared" si="4"/>
        <v>133297</v>
      </c>
      <c r="N12" s="54">
        <v>5102</v>
      </c>
      <c r="O12" s="55">
        <v>102</v>
      </c>
      <c r="Q12" s="56"/>
      <c r="V12" s="402" t="s">
        <v>32</v>
      </c>
      <c r="W12" s="402"/>
      <c r="X12" s="392">
        <f>IF('3382'!K$84=1,'3382'!G12,0)</f>
        <v>0</v>
      </c>
      <c r="Y12" s="392"/>
      <c r="Z12" s="403">
        <v>1</v>
      </c>
      <c r="AA12" s="403"/>
      <c r="AB12" s="57">
        <f t="shared" si="0"/>
        <v>0</v>
      </c>
      <c r="AC12" s="58">
        <f t="shared" si="1"/>
        <v>0</v>
      </c>
      <c r="AD12" s="9"/>
    </row>
    <row r="13" spans="1:30" x14ac:dyDescent="0.3">
      <c r="A13" s="1" t="s">
        <v>33</v>
      </c>
      <c r="B13" s="14" t="s">
        <v>34</v>
      </c>
      <c r="C13" s="14"/>
      <c r="D13" s="14">
        <v>6</v>
      </c>
      <c r="E13" s="14">
        <v>5.5</v>
      </c>
      <c r="F13" s="14">
        <v>0</v>
      </c>
      <c r="G13" s="49">
        <f t="shared" si="2"/>
        <v>11.5</v>
      </c>
      <c r="H13" s="50"/>
      <c r="I13" s="59">
        <f>I12</f>
        <v>1</v>
      </c>
      <c r="J13" s="59"/>
      <c r="K13" s="52">
        <f t="shared" si="3"/>
        <v>11.5</v>
      </c>
      <c r="L13" s="53">
        <f t="shared" si="4"/>
        <v>47710</v>
      </c>
      <c r="M13" s="1" t="str">
        <f>IF(ROUND(G13,2)=ROUND(SUM(G31:G33),2)," ","CHECK 2. 4-8 Lines Below")</f>
        <v xml:space="preserve"> </v>
      </c>
      <c r="N13" s="54">
        <v>5102</v>
      </c>
      <c r="O13" s="60" t="s">
        <v>35</v>
      </c>
      <c r="Q13" s="56"/>
      <c r="V13" s="402" t="s">
        <v>34</v>
      </c>
      <c r="W13" s="402"/>
      <c r="X13" s="392">
        <f>IF('3382'!K$84=1,'3382'!G13,0)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IF('3382'!K$84=1,'3382'!G14,0)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IF('3382'!K$84=1,'3382'!G15,0)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IF('3382'!K$84=1,'3382'!G16,0)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IF('3382'!K$84=1,'3382'!G17,0)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IF('3382'!K$84=1,'3382'!G18,0)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IF('3382'!K$84=1,'3382'!G19,0)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IF('3382'!K$84=1,'3382'!G20,0)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IF('3382'!K$84=1,'3382'!G21,0)</f>
        <v>0</v>
      </c>
      <c r="Y21" s="392"/>
      <c r="Z21" s="403">
        <v>1</v>
      </c>
      <c r="AA21" s="403"/>
      <c r="AB21" s="57">
        <f t="shared" si="0"/>
        <v>0</v>
      </c>
      <c r="AC21" s="58">
        <f t="shared" si="1"/>
        <v>0</v>
      </c>
      <c r="AD21" s="9"/>
    </row>
    <row r="22" spans="1:30" ht="16.2" x14ac:dyDescent="0.35">
      <c r="A22" s="1" t="s">
        <v>53</v>
      </c>
      <c r="B22" s="14" t="s">
        <v>54</v>
      </c>
      <c r="C22" s="14"/>
      <c r="D22" s="14">
        <v>1.36</v>
      </c>
      <c r="E22" s="14">
        <v>1.36</v>
      </c>
      <c r="F22" s="14">
        <v>0</v>
      </c>
      <c r="G22" s="49">
        <f t="shared" si="2"/>
        <v>2.72</v>
      </c>
      <c r="H22" s="50"/>
      <c r="I22" s="59">
        <v>1.147</v>
      </c>
      <c r="J22" s="59"/>
      <c r="K22" s="52">
        <f t="shared" si="3"/>
        <v>3.1198000000000001</v>
      </c>
      <c r="L22" s="53">
        <f t="shared" si="4"/>
        <v>12943</v>
      </c>
      <c r="N22" s="54">
        <v>5101</v>
      </c>
      <c r="O22" s="55">
        <v>130</v>
      </c>
      <c r="Q22" s="56"/>
      <c r="V22" s="402" t="s">
        <v>54</v>
      </c>
      <c r="W22" s="402"/>
      <c r="X22" s="392">
        <f>IF('3382'!K$84=1,'3382'!G22,0)</f>
        <v>0</v>
      </c>
      <c r="Y22" s="392"/>
      <c r="Z22" s="403">
        <v>1</v>
      </c>
      <c r="AA22" s="403"/>
      <c r="AB22" s="57">
        <f t="shared" si="0"/>
        <v>0</v>
      </c>
      <c r="AC22" s="58">
        <f t="shared" si="1"/>
        <v>0</v>
      </c>
      <c r="AD22" s="9"/>
    </row>
    <row r="23" spans="1:30" ht="16.2" x14ac:dyDescent="0.35">
      <c r="A23" s="1" t="s">
        <v>55</v>
      </c>
      <c r="B23" s="14" t="s">
        <v>56</v>
      </c>
      <c r="C23" s="14"/>
      <c r="D23" s="14">
        <v>0.9</v>
      </c>
      <c r="E23" s="14">
        <v>0.9</v>
      </c>
      <c r="F23" s="14">
        <v>0</v>
      </c>
      <c r="G23" s="49">
        <f t="shared" si="2"/>
        <v>1.8</v>
      </c>
      <c r="H23" s="50"/>
      <c r="I23" s="59">
        <f>I22</f>
        <v>1.147</v>
      </c>
      <c r="J23" s="59"/>
      <c r="K23" s="52">
        <f t="shared" si="3"/>
        <v>2.0646</v>
      </c>
      <c r="L23" s="53">
        <f t="shared" si="4"/>
        <v>8565</v>
      </c>
      <c r="N23" s="54">
        <v>5102</v>
      </c>
      <c r="O23" s="55">
        <v>130</v>
      </c>
      <c r="Q23" s="56"/>
      <c r="V23" s="402" t="s">
        <v>56</v>
      </c>
      <c r="W23" s="402"/>
      <c r="X23" s="392">
        <f>IF('3382'!K$84=1,'3382'!G23,0)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IF('3382'!K$84=1,'3382'!G24,0)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IF('3382'!K$84=1,'3382'!G25,0)</f>
        <v>0</v>
      </c>
      <c r="Y25" s="392"/>
      <c r="Z25" s="403">
        <v>1</v>
      </c>
      <c r="AA25" s="403"/>
      <c r="AB25" s="57">
        <f t="shared" si="0"/>
        <v>0</v>
      </c>
      <c r="AC25" s="58">
        <f t="shared" si="1"/>
        <v>0</v>
      </c>
      <c r="AD25" s="9"/>
    </row>
    <row r="26" spans="1:30" ht="20.25" customHeight="1" thickBot="1" x14ac:dyDescent="0.35">
      <c r="B26" s="63" t="s">
        <v>61</v>
      </c>
      <c r="C26" s="63"/>
      <c r="D26" s="64">
        <f t="shared" ref="D26:E26" si="5">SUM(D10:D25)</f>
        <v>60.910000000000004</v>
      </c>
      <c r="E26" s="64">
        <f t="shared" si="5"/>
        <v>57.39</v>
      </c>
      <c r="F26" s="64"/>
      <c r="G26" s="64">
        <f>SUM(G10:G25)</f>
        <v>118.3</v>
      </c>
      <c r="H26" s="65"/>
      <c r="I26" s="65"/>
      <c r="J26" s="66"/>
      <c r="K26" s="67">
        <f>SUM(K10:K25)</f>
        <v>127.80329999999999</v>
      </c>
      <c r="L26" s="68">
        <f>SUM(L10:L25)</f>
        <v>530215</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4.49</v>
      </c>
      <c r="E28" s="14">
        <v>4.4800000000000004</v>
      </c>
      <c r="F28" s="79">
        <v>0</v>
      </c>
      <c r="G28" s="49">
        <f t="shared" ref="G28:G36" si="6">IF($B$154&lt;8,D28*2,D28+E28)</f>
        <v>8.9700000000000006</v>
      </c>
      <c r="H28" s="80"/>
      <c r="I28" s="81" t="s">
        <v>69</v>
      </c>
      <c r="J28" s="54">
        <v>251</v>
      </c>
      <c r="K28" s="82">
        <v>1047</v>
      </c>
      <c r="L28" s="83">
        <f>ROUND(G28*K28,0)</f>
        <v>9392</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0.5</v>
      </c>
      <c r="E29" s="14">
        <v>0.01</v>
      </c>
      <c r="F29" s="90">
        <v>0</v>
      </c>
      <c r="G29" s="49">
        <f t="shared" si="6"/>
        <v>0.51</v>
      </c>
      <c r="H29" s="80"/>
      <c r="I29" s="54" t="s">
        <v>69</v>
      </c>
      <c r="J29" s="54">
        <v>252</v>
      </c>
      <c r="K29" s="82">
        <v>3380</v>
      </c>
      <c r="L29" s="83">
        <f t="shared" ref="L29:L36" si="8">ROUND(G29*K29,0)</f>
        <v>1724</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5.5</v>
      </c>
      <c r="E31" s="14">
        <v>5</v>
      </c>
      <c r="F31" s="90">
        <v>0</v>
      </c>
      <c r="G31" s="49">
        <f t="shared" si="6"/>
        <v>10.5</v>
      </c>
      <c r="H31" s="80"/>
      <c r="I31" s="91" t="s">
        <v>73</v>
      </c>
      <c r="J31" s="54">
        <v>251</v>
      </c>
      <c r="K31" s="82">
        <v>1173</v>
      </c>
      <c r="L31" s="83">
        <f t="shared" si="8"/>
        <v>12317</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0.5</v>
      </c>
      <c r="E32" s="14">
        <v>0.5</v>
      </c>
      <c r="F32" s="90">
        <v>0</v>
      </c>
      <c r="G32" s="49">
        <f t="shared" si="6"/>
        <v>1</v>
      </c>
      <c r="H32" s="80"/>
      <c r="I32" s="91" t="s">
        <v>73</v>
      </c>
      <c r="J32" s="54">
        <v>252</v>
      </c>
      <c r="K32" s="82">
        <v>3506</v>
      </c>
      <c r="L32" s="83">
        <f t="shared" si="8"/>
        <v>3506</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10.99</v>
      </c>
      <c r="E37" s="64">
        <f t="shared" si="10"/>
        <v>9.99</v>
      </c>
      <c r="F37" s="64"/>
      <c r="G37" s="64">
        <f>SUM(G28:G36)</f>
        <v>20.98</v>
      </c>
      <c r="H37" s="65"/>
      <c r="I37" s="14" t="s">
        <v>81</v>
      </c>
      <c r="J37" s="14"/>
      <c r="K37" s="14"/>
      <c r="L37" s="53">
        <f>SUM(L28:L36)</f>
        <v>26939</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22595</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579749</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82.108699999999999</v>
      </c>
      <c r="D47" s="123"/>
      <c r="E47" s="123"/>
      <c r="F47" s="123"/>
      <c r="G47" s="124">
        <f>K7</f>
        <v>1.0289999999999999</v>
      </c>
      <c r="H47" s="124"/>
      <c r="I47" s="125">
        <v>1325.01</v>
      </c>
      <c r="J47" s="126" t="s">
        <v>96</v>
      </c>
      <c r="K47" s="127">
        <f>ROUND(C47*G47*I47,0)</f>
        <v>111950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45.694600000000001</v>
      </c>
      <c r="D48" s="123"/>
      <c r="E48" s="123"/>
      <c r="F48" s="123"/>
      <c r="G48" s="124">
        <f>K7</f>
        <v>1.0289999999999999</v>
      </c>
      <c r="H48" s="124"/>
      <c r="I48" s="125">
        <v>903.8</v>
      </c>
      <c r="J48" s="126" t="s">
        <v>96</v>
      </c>
      <c r="K48" s="127">
        <f>ROUND(C48*G48*I48,0)</f>
        <v>42496</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127.80330000000001</v>
      </c>
      <c r="D50" s="146"/>
      <c r="E50" s="147"/>
      <c r="F50" s="147"/>
      <c r="G50" s="148" t="s">
        <v>98</v>
      </c>
      <c r="H50" s="148"/>
      <c r="I50" s="148"/>
      <c r="J50" s="148"/>
      <c r="K50" s="148"/>
      <c r="L50" s="53">
        <f>IF(B2=75,0,K49+K48+K47)</f>
        <v>154446</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127.80329999999999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6.4499999999999996E-4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118.3</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6.5200000000000002E-4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6.4499999999999996E-4</v>
      </c>
      <c r="L59" s="53">
        <f>ROUND(I59*K59,0)</f>
        <v>2729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6.4499999999999996E-4</v>
      </c>
      <c r="L67" s="53">
        <f>ROUND(I67*K67,0)</f>
        <v>66886</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6.5200000000000002E-4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6.4499999999999996E-4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6.4499999999999996E-4</v>
      </c>
      <c r="L71" s="53">
        <f>ROUND(I71*K71,0)</f>
        <v>1203</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6.5200000000000002E-4</v>
      </c>
      <c r="L72" s="53">
        <f>ROUND(I72*K72,0)</f>
        <v>9104</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6.5200000000000002E-4</v>
      </c>
      <c r="L77" s="53">
        <f>ROUND(I77*K77,0)</f>
        <v>1119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6.4499999999999996E-4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815236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'3382'!AC81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815236</v>
      </c>
      <c r="L86" s="83">
        <f>IF(G26=0,0,IF(G26&gt;250,-(((250/G26)*K86)*IF(M86="H",0.02,0.05)),IF(M86="H",-0.02*K86,-0.05*K86)))</f>
        <v>-16304.720000000001</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798931.28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-66578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732353.28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66577.570909090908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304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305</v>
      </c>
      <c r="C123" s="221" t="s">
        <v>199</v>
      </c>
    </row>
    <row r="124" spans="2:3" hidden="1" x14ac:dyDescent="0.3">
      <c r="B124" s="225" t="s">
        <v>306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41808.602557870399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304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305</v>
      </c>
      <c r="C164" s="235" t="s">
        <v>244</v>
      </c>
      <c r="D164" s="231"/>
    </row>
    <row r="165" spans="1:4" hidden="1" x14ac:dyDescent="0.3">
      <c r="A165" s="230" t="s">
        <v>245</v>
      </c>
      <c r="B165" s="234" t="s">
        <v>306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41808.602557870399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'3384'!B2</f>
        <v>50</v>
      </c>
      <c r="W2" s="380" t="s">
        <v>4</v>
      </c>
      <c r="X2" s="381"/>
      <c r="Y2" s="382"/>
      <c r="Z2" s="382"/>
      <c r="AA2" s="382"/>
      <c r="AB2" s="382"/>
      <c r="AC2" s="382"/>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'3384'!G7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6.95</v>
      </c>
      <c r="E10" s="48">
        <v>5.87</v>
      </c>
      <c r="F10" s="48">
        <v>0</v>
      </c>
      <c r="G10" s="49">
        <f>IF($B$154&lt;8,D10*2,D10+E10)</f>
        <v>12.82</v>
      </c>
      <c r="H10" s="50"/>
      <c r="I10" s="51">
        <v>1.1259999999999999</v>
      </c>
      <c r="J10" s="51"/>
      <c r="K10" s="52">
        <f>ROUND(G10*I10,4)</f>
        <v>14.4353</v>
      </c>
      <c r="L10" s="53">
        <f>ROUND(ROUND(K10*$G$7,4)*($K$7),0)</f>
        <v>59888</v>
      </c>
      <c r="N10" s="54">
        <v>5101</v>
      </c>
      <c r="O10" s="55">
        <v>101</v>
      </c>
      <c r="Q10" s="56"/>
      <c r="V10" s="391" t="s">
        <v>27</v>
      </c>
      <c r="W10" s="391"/>
      <c r="X10" s="392">
        <f>IF('3384'!K$84=1,'3384'!G10,0)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0.5</v>
      </c>
      <c r="E11" s="14">
        <v>0</v>
      </c>
      <c r="F11" s="14">
        <v>0</v>
      </c>
      <c r="G11" s="49">
        <f t="shared" ref="G11:G25" si="2">IF($B$154&lt;8,D11*2,D11+E11)</f>
        <v>0.5</v>
      </c>
      <c r="H11" s="50"/>
      <c r="I11" s="59">
        <f>I10</f>
        <v>1.1259999999999999</v>
      </c>
      <c r="J11" s="59"/>
      <c r="K11" s="52">
        <f t="shared" ref="K11:K25" si="3">ROUND(G11*I11,4)</f>
        <v>0.56299999999999994</v>
      </c>
      <c r="L11" s="53">
        <f t="shared" ref="L11:L25" si="4">ROUND(ROUND(K11*$G$7,4)*($K$7),0)</f>
        <v>2336</v>
      </c>
      <c r="M11" s="1" t="str">
        <f>IF(ROUND(G11,2)=ROUND(SUM(G28:G30),2)," ","CHECK 2. PK-3 Lines Below")</f>
        <v xml:space="preserve"> </v>
      </c>
      <c r="N11" s="54">
        <v>5101</v>
      </c>
      <c r="O11" s="60" t="s">
        <v>30</v>
      </c>
      <c r="Q11" s="56"/>
      <c r="V11" s="402" t="s">
        <v>29</v>
      </c>
      <c r="W11" s="402"/>
      <c r="X11" s="392">
        <f>IF('3384'!K$84=1,'3384'!G11,0)</f>
        <v>0</v>
      </c>
      <c r="Y11" s="392"/>
      <c r="Z11" s="403">
        <v>1</v>
      </c>
      <c r="AA11" s="403"/>
      <c r="AB11" s="57">
        <f t="shared" si="0"/>
        <v>0</v>
      </c>
      <c r="AC11" s="58">
        <f t="shared" si="1"/>
        <v>0</v>
      </c>
      <c r="AD11" s="9"/>
    </row>
    <row r="12" spans="1:30" x14ac:dyDescent="0.3">
      <c r="A12" s="1" t="s">
        <v>31</v>
      </c>
      <c r="B12" s="14" t="s">
        <v>32</v>
      </c>
      <c r="C12" s="14"/>
      <c r="D12" s="14">
        <v>3.08</v>
      </c>
      <c r="E12" s="14">
        <v>3.64</v>
      </c>
      <c r="F12" s="14">
        <v>0</v>
      </c>
      <c r="G12" s="49">
        <f t="shared" si="2"/>
        <v>6.7200000000000006</v>
      </c>
      <c r="H12" s="50"/>
      <c r="I12" s="59">
        <v>1</v>
      </c>
      <c r="J12" s="59"/>
      <c r="K12" s="52">
        <f t="shared" si="3"/>
        <v>6.72</v>
      </c>
      <c r="L12" s="53">
        <f t="shared" si="4"/>
        <v>27879</v>
      </c>
      <c r="N12" s="54">
        <v>5102</v>
      </c>
      <c r="O12" s="55">
        <v>102</v>
      </c>
      <c r="Q12" s="56"/>
      <c r="V12" s="402" t="s">
        <v>32</v>
      </c>
      <c r="W12" s="402"/>
      <c r="X12" s="392">
        <f>IF('3384'!K$84=1,'3384'!G12,0)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IF('3384'!K$84=1,'3384'!G13,0)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IF('3384'!K$84=1,'3384'!G14,0)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IF('3384'!K$84=1,'3384'!G15,0)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IF('3384'!K$84=1,'3384'!G16,0)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IF('3384'!K$84=1,'3384'!G17,0)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IF('3384'!K$84=1,'3384'!G18,0)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IF('3384'!K$84=1,'3384'!G19,0)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IF('3384'!K$84=1,'3384'!G20,0)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IF('3384'!K$84=1,'3384'!G21,0)</f>
        <v>0</v>
      </c>
      <c r="Y21" s="392"/>
      <c r="Z21" s="403">
        <v>1</v>
      </c>
      <c r="AA21" s="403"/>
      <c r="AB21" s="57">
        <f t="shared" si="0"/>
        <v>0</v>
      </c>
      <c r="AC21" s="58">
        <f t="shared" si="1"/>
        <v>0</v>
      </c>
      <c r="AD21" s="9"/>
    </row>
    <row r="22" spans="1:30" ht="16.2" x14ac:dyDescent="0.35">
      <c r="A22" s="1" t="s">
        <v>53</v>
      </c>
      <c r="B22" s="14" t="s">
        <v>54</v>
      </c>
      <c r="C22" s="14"/>
      <c r="D22" s="14">
        <v>4.1500000000000004</v>
      </c>
      <c r="E22" s="14">
        <v>3.67</v>
      </c>
      <c r="F22" s="14">
        <v>0</v>
      </c>
      <c r="G22" s="49">
        <f t="shared" si="2"/>
        <v>7.82</v>
      </c>
      <c r="H22" s="50"/>
      <c r="I22" s="59">
        <v>1.147</v>
      </c>
      <c r="J22" s="59"/>
      <c r="K22" s="52">
        <f t="shared" si="3"/>
        <v>8.9695</v>
      </c>
      <c r="L22" s="53">
        <f t="shared" si="4"/>
        <v>37212</v>
      </c>
      <c r="N22" s="54">
        <v>5101</v>
      </c>
      <c r="O22" s="55">
        <v>130</v>
      </c>
      <c r="Q22" s="56"/>
      <c r="V22" s="402" t="s">
        <v>54</v>
      </c>
      <c r="W22" s="402"/>
      <c r="X22" s="392">
        <f>IF('3384'!K$84=1,'3384'!G22,0)</f>
        <v>0</v>
      </c>
      <c r="Y22" s="392"/>
      <c r="Z22" s="403">
        <v>1</v>
      </c>
      <c r="AA22" s="403"/>
      <c r="AB22" s="57">
        <f t="shared" si="0"/>
        <v>0</v>
      </c>
      <c r="AC22" s="58">
        <f t="shared" si="1"/>
        <v>0</v>
      </c>
      <c r="AD22" s="9"/>
    </row>
    <row r="23" spans="1:30" ht="16.2" x14ac:dyDescent="0.35">
      <c r="A23" s="1" t="s">
        <v>55</v>
      </c>
      <c r="B23" s="14" t="s">
        <v>56</v>
      </c>
      <c r="C23" s="14"/>
      <c r="D23" s="14">
        <v>0.92</v>
      </c>
      <c r="E23" s="14">
        <v>0.92</v>
      </c>
      <c r="F23" s="14">
        <v>0</v>
      </c>
      <c r="G23" s="49">
        <f t="shared" si="2"/>
        <v>1.84</v>
      </c>
      <c r="H23" s="50"/>
      <c r="I23" s="59">
        <f>I22</f>
        <v>1.147</v>
      </c>
      <c r="J23" s="59"/>
      <c r="K23" s="52">
        <f t="shared" si="3"/>
        <v>2.1105</v>
      </c>
      <c r="L23" s="53">
        <f t="shared" si="4"/>
        <v>8756</v>
      </c>
      <c r="N23" s="54">
        <v>5102</v>
      </c>
      <c r="O23" s="55">
        <v>130</v>
      </c>
      <c r="Q23" s="56"/>
      <c r="V23" s="402" t="s">
        <v>56</v>
      </c>
      <c r="W23" s="402"/>
      <c r="X23" s="392">
        <f>IF('3384'!K$84=1,'3384'!G23,0)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IF('3384'!K$84=1,'3384'!G24,0)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IF('3384'!K$84=1,'3384'!G25,0)</f>
        <v>0</v>
      </c>
      <c r="Y25" s="392"/>
      <c r="Z25" s="403">
        <v>1</v>
      </c>
      <c r="AA25" s="403"/>
      <c r="AB25" s="57">
        <f t="shared" si="0"/>
        <v>0</v>
      </c>
      <c r="AC25" s="58">
        <f t="shared" si="1"/>
        <v>0</v>
      </c>
      <c r="AD25" s="9"/>
    </row>
    <row r="26" spans="1:30" ht="20.25" customHeight="1" thickBot="1" x14ac:dyDescent="0.35">
      <c r="B26" s="63" t="s">
        <v>61</v>
      </c>
      <c r="C26" s="63"/>
      <c r="D26" s="64">
        <f t="shared" ref="D26:E26" si="5">SUM(D10:D25)</f>
        <v>15.600000000000001</v>
      </c>
      <c r="E26" s="64">
        <f t="shared" si="5"/>
        <v>14.1</v>
      </c>
      <c r="F26" s="64"/>
      <c r="G26" s="64">
        <f>SUM(G10:G25)</f>
        <v>29.7</v>
      </c>
      <c r="H26" s="65"/>
      <c r="I26" s="65"/>
      <c r="J26" s="66"/>
      <c r="K26" s="67">
        <f>SUM(K10:K25)</f>
        <v>32.798299999999998</v>
      </c>
      <c r="L26" s="68">
        <f>SUM(L10:L25)</f>
        <v>136071</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0.5</v>
      </c>
      <c r="E28" s="14">
        <v>0</v>
      </c>
      <c r="F28" s="79">
        <v>0</v>
      </c>
      <c r="G28" s="49">
        <f t="shared" ref="G28:G36" si="6">IF($B$154&lt;8,D28*2,D28+E28)</f>
        <v>0.5</v>
      </c>
      <c r="H28" s="80"/>
      <c r="I28" s="81" t="s">
        <v>69</v>
      </c>
      <c r="J28" s="54">
        <v>251</v>
      </c>
      <c r="K28" s="82">
        <v>1047</v>
      </c>
      <c r="L28" s="83">
        <f>ROUND(G28*K28,0)</f>
        <v>524</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0.5</v>
      </c>
      <c r="E37" s="64">
        <f t="shared" si="10"/>
        <v>0</v>
      </c>
      <c r="F37" s="64"/>
      <c r="G37" s="64">
        <f>SUM(G28:G36)</f>
        <v>0.5</v>
      </c>
      <c r="H37" s="65"/>
      <c r="I37" s="14" t="s">
        <v>81</v>
      </c>
      <c r="J37" s="14"/>
      <c r="K37" s="14"/>
      <c r="L37" s="53">
        <f>SUM(L28:L36)</f>
        <v>524</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5673</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142268</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23.9678</v>
      </c>
      <c r="D47" s="123"/>
      <c r="E47" s="123"/>
      <c r="F47" s="123"/>
      <c r="G47" s="124">
        <f>K7</f>
        <v>1.0289999999999999</v>
      </c>
      <c r="H47" s="124"/>
      <c r="I47" s="125">
        <v>1325.01</v>
      </c>
      <c r="J47" s="126" t="s">
        <v>96</v>
      </c>
      <c r="K47" s="127">
        <f>ROUND(C47*G47*I47,0)</f>
        <v>32679</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8.8305000000000007</v>
      </c>
      <c r="D48" s="123"/>
      <c r="E48" s="123"/>
      <c r="F48" s="123"/>
      <c r="G48" s="124">
        <f>K7</f>
        <v>1.0289999999999999</v>
      </c>
      <c r="H48" s="124"/>
      <c r="I48" s="125">
        <v>903.8</v>
      </c>
      <c r="J48" s="126" t="s">
        <v>96</v>
      </c>
      <c r="K48" s="127">
        <f>ROUND(C48*G48*I48,0)</f>
        <v>8212</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32.798299999999998</v>
      </c>
      <c r="D50" s="146"/>
      <c r="E50" s="147"/>
      <c r="F50" s="147"/>
      <c r="G50" s="148" t="s">
        <v>98</v>
      </c>
      <c r="H50" s="148"/>
      <c r="I50" s="148"/>
      <c r="J50" s="148"/>
      <c r="K50" s="148"/>
      <c r="L50" s="53">
        <f>IF(B2=75,0,K49+K48+K47)</f>
        <v>40891</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32.798299999999998</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1.66E-4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29.7</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1.64E-4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1.66E-4</v>
      </c>
      <c r="L59" s="53">
        <f>ROUND(I59*K59,0)</f>
        <v>702</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1.66E-4</v>
      </c>
      <c r="L67" s="53">
        <f>ROUND(I67*K67,0)</f>
        <v>17214</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1.64E-4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1.66E-4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1.66E-4</v>
      </c>
      <c r="L71" s="53">
        <f>ROUND(I71*K71,0)</f>
        <v>310</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1.64E-4</v>
      </c>
      <c r="L72" s="53">
        <f>ROUND(I72*K72,0)</f>
        <v>2290</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21.5</v>
      </c>
      <c r="AA74" s="173" t="s">
        <v>130</v>
      </c>
      <c r="AB74" s="174">
        <f>+K75</f>
        <v>361</v>
      </c>
      <c r="AC74" s="58">
        <f>ROUND(AB74*Z74,0)</f>
        <v>7762</v>
      </c>
      <c r="AD74" s="9"/>
    </row>
    <row r="75" spans="1:30" ht="19.5" customHeight="1" x14ac:dyDescent="0.3">
      <c r="A75" s="1" t="s">
        <v>131</v>
      </c>
      <c r="B75" s="175" t="s">
        <v>128</v>
      </c>
      <c r="C75" s="176" t="s">
        <v>129</v>
      </c>
      <c r="D75" s="175">
        <v>18</v>
      </c>
      <c r="E75" s="175">
        <v>25</v>
      </c>
      <c r="F75" s="175">
        <v>0</v>
      </c>
      <c r="G75" s="177">
        <f>IF($B$154&lt;8,D75,E75)</f>
        <v>25</v>
      </c>
      <c r="H75" s="178"/>
      <c r="I75" s="179">
        <f>AVERAGE(G75,D75)</f>
        <v>21.5</v>
      </c>
      <c r="J75" s="180" t="s">
        <v>130</v>
      </c>
      <c r="K75" s="181">
        <v>361</v>
      </c>
      <c r="L75" s="53">
        <f>ROUND(K75*I75,0)</f>
        <v>7762</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1.64E-4</v>
      </c>
      <c r="L77" s="53">
        <f>ROUND(I77*K77,0)</f>
        <v>282</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1.66E-4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7762</v>
      </c>
      <c r="AD81" s="197"/>
    </row>
    <row r="82" spans="1:30" ht="22.5" customHeight="1" thickTop="1" thickBot="1" x14ac:dyDescent="0.35">
      <c r="B82" s="14" t="s">
        <v>140</v>
      </c>
      <c r="C82" s="14"/>
      <c r="D82" s="14"/>
      <c r="E82" s="14"/>
      <c r="F82" s="14"/>
      <c r="G82" s="14"/>
      <c r="H82" s="14"/>
      <c r="I82" s="14"/>
      <c r="J82" s="14"/>
      <c r="K82" s="14"/>
      <c r="L82" s="198">
        <f>SUM(L44:L81)</f>
        <v>211719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'3384'!AC81</f>
        <v>7762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211719</v>
      </c>
      <c r="L86" s="83">
        <f>IF(G26=0,0,IF(G26&gt;250,-(((250/G26)*K86)*IF(M86="H",0.02,0.05)),IF(M86="H",-0.02*K86,-0.05*K86)))</f>
        <v>-10585.95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201133.05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-16761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184372.05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16761.095454545455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307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308</v>
      </c>
      <c r="C123" s="221" t="s">
        <v>199</v>
      </c>
    </row>
    <row r="124" spans="2:3" hidden="1" x14ac:dyDescent="0.3">
      <c r="B124" s="225" t="s">
        <v>309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41808.602569444403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307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308</v>
      </c>
      <c r="C164" s="235" t="s">
        <v>244</v>
      </c>
      <c r="D164" s="231"/>
    </row>
    <row r="165" spans="1:4" hidden="1" x14ac:dyDescent="0.3">
      <c r="A165" s="230" t="s">
        <v>245</v>
      </c>
      <c r="B165" s="234" t="s">
        <v>309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41808.602569444403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'3385'!B2</f>
        <v>50</v>
      </c>
      <c r="W2" s="380" t="s">
        <v>4</v>
      </c>
      <c r="X2" s="381"/>
      <c r="Y2" s="382"/>
      <c r="Z2" s="382"/>
      <c r="AA2" s="382"/>
      <c r="AB2" s="382"/>
      <c r="AC2" s="382"/>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'3385'!G7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163.53</v>
      </c>
      <c r="E10" s="48">
        <v>164.45</v>
      </c>
      <c r="F10" s="48">
        <v>0</v>
      </c>
      <c r="G10" s="49">
        <f>IF($B$154&lt;8,D10*2,D10+E10)</f>
        <v>327.98</v>
      </c>
      <c r="H10" s="50"/>
      <c r="I10" s="51">
        <v>1.1259999999999999</v>
      </c>
      <c r="J10" s="51"/>
      <c r="K10" s="52">
        <f>ROUND(G10*I10,4)</f>
        <v>369.30549999999999</v>
      </c>
      <c r="L10" s="53">
        <f>ROUND(ROUND(K10*$G$7,4)*($K$7),0)</f>
        <v>1532135</v>
      </c>
      <c r="N10" s="54">
        <v>5101</v>
      </c>
      <c r="O10" s="55">
        <v>101</v>
      </c>
      <c r="Q10" s="56"/>
      <c r="V10" s="391" t="s">
        <v>27</v>
      </c>
      <c r="W10" s="391"/>
      <c r="X10" s="392">
        <f>IF('3385'!K$84=1,'3385'!G10,0)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12.01</v>
      </c>
      <c r="E11" s="14">
        <v>12.08</v>
      </c>
      <c r="F11" s="14">
        <v>0</v>
      </c>
      <c r="G11" s="49">
        <f t="shared" ref="G11:G25" si="2">IF($B$154&lt;8,D11*2,D11+E11)</f>
        <v>24.09</v>
      </c>
      <c r="H11" s="50"/>
      <c r="I11" s="59">
        <f>I10</f>
        <v>1.1259999999999999</v>
      </c>
      <c r="J11" s="59"/>
      <c r="K11" s="52">
        <f t="shared" ref="K11:K25" si="3">ROUND(G11*I11,4)</f>
        <v>27.125299999999999</v>
      </c>
      <c r="L11" s="53">
        <f t="shared" ref="L11:L25" si="4">ROUND(ROUND(K11*$G$7,4)*($K$7),0)</f>
        <v>112534</v>
      </c>
      <c r="M11" s="1" t="str">
        <f>IF(ROUND(G11,2)=ROUND(SUM(G28:G30),2)," ","CHECK 2. PK-3 Lines Below")</f>
        <v xml:space="preserve"> </v>
      </c>
      <c r="N11" s="54">
        <v>5101</v>
      </c>
      <c r="O11" s="60" t="s">
        <v>30</v>
      </c>
      <c r="Q11" s="56"/>
      <c r="V11" s="402" t="s">
        <v>29</v>
      </c>
      <c r="W11" s="402"/>
      <c r="X11" s="392">
        <f>IF('3385'!K$84=1,'3385'!G11,0)</f>
        <v>0</v>
      </c>
      <c r="Y11" s="392"/>
      <c r="Z11" s="403">
        <v>1</v>
      </c>
      <c r="AA11" s="403"/>
      <c r="AB11" s="57">
        <f t="shared" si="0"/>
        <v>0</v>
      </c>
      <c r="AC11" s="58">
        <f t="shared" si="1"/>
        <v>0</v>
      </c>
      <c r="AD11" s="9"/>
    </row>
    <row r="12" spans="1:30" x14ac:dyDescent="0.3">
      <c r="A12" s="1" t="s">
        <v>31</v>
      </c>
      <c r="B12" s="14" t="s">
        <v>32</v>
      </c>
      <c r="C12" s="14"/>
      <c r="D12" s="14">
        <v>174.65</v>
      </c>
      <c r="E12" s="14">
        <v>177.18</v>
      </c>
      <c r="F12" s="14">
        <v>0</v>
      </c>
      <c r="G12" s="49">
        <f t="shared" si="2"/>
        <v>351.83000000000004</v>
      </c>
      <c r="H12" s="50"/>
      <c r="I12" s="59">
        <v>1</v>
      </c>
      <c r="J12" s="59"/>
      <c r="K12" s="52">
        <f t="shared" si="3"/>
        <v>351.83</v>
      </c>
      <c r="L12" s="53">
        <f t="shared" si="4"/>
        <v>1459634</v>
      </c>
      <c r="N12" s="54">
        <v>5102</v>
      </c>
      <c r="O12" s="55">
        <v>102</v>
      </c>
      <c r="Q12" s="56"/>
      <c r="V12" s="402" t="s">
        <v>32</v>
      </c>
      <c r="W12" s="402"/>
      <c r="X12" s="392">
        <f>IF('3385'!K$84=1,'3385'!G12,0)</f>
        <v>0</v>
      </c>
      <c r="Y12" s="392"/>
      <c r="Z12" s="403">
        <v>1</v>
      </c>
      <c r="AA12" s="403"/>
      <c r="AB12" s="57">
        <f t="shared" si="0"/>
        <v>0</v>
      </c>
      <c r="AC12" s="58">
        <f t="shared" si="1"/>
        <v>0</v>
      </c>
      <c r="AD12" s="9"/>
    </row>
    <row r="13" spans="1:30" x14ac:dyDescent="0.3">
      <c r="A13" s="1" t="s">
        <v>33</v>
      </c>
      <c r="B13" s="14" t="s">
        <v>34</v>
      </c>
      <c r="C13" s="14"/>
      <c r="D13" s="14">
        <v>26</v>
      </c>
      <c r="E13" s="14">
        <v>25.11</v>
      </c>
      <c r="F13" s="14">
        <v>0</v>
      </c>
      <c r="G13" s="49">
        <f t="shared" si="2"/>
        <v>51.11</v>
      </c>
      <c r="H13" s="50"/>
      <c r="I13" s="59">
        <f>I12</f>
        <v>1</v>
      </c>
      <c r="J13" s="59"/>
      <c r="K13" s="52">
        <f t="shared" si="3"/>
        <v>51.11</v>
      </c>
      <c r="L13" s="53">
        <f t="shared" si="4"/>
        <v>212040</v>
      </c>
      <c r="M13" s="1" t="str">
        <f>IF(ROUND(G13,2)=ROUND(SUM(G31:G33),2)," ","CHECK 2. 4-8 Lines Below")</f>
        <v xml:space="preserve"> </v>
      </c>
      <c r="N13" s="54">
        <v>5102</v>
      </c>
      <c r="O13" s="60" t="s">
        <v>35</v>
      </c>
      <c r="Q13" s="56"/>
      <c r="V13" s="402" t="s">
        <v>34</v>
      </c>
      <c r="W13" s="402"/>
      <c r="X13" s="392">
        <f>IF('3385'!K$84=1,'3385'!G13,0)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IF('3385'!K$84=1,'3385'!G14,0)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IF('3385'!K$84=1,'3385'!G15,0)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IF('3385'!K$84=1,'3385'!G16,0)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IF('3385'!K$84=1,'3385'!G17,0)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IF('3385'!K$84=1,'3385'!G18,0)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IF('3385'!K$84=1,'3385'!G19,0)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IF('3385'!K$84=1,'3385'!G20,0)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IF('3385'!K$84=1,'3385'!G21,0)</f>
        <v>0</v>
      </c>
      <c r="Y21" s="392"/>
      <c r="Z21" s="403">
        <v>1</v>
      </c>
      <c r="AA21" s="403"/>
      <c r="AB21" s="57">
        <f t="shared" si="0"/>
        <v>0</v>
      </c>
      <c r="AC21" s="58">
        <f t="shared" si="1"/>
        <v>0</v>
      </c>
      <c r="AD21" s="9"/>
    </row>
    <row r="22" spans="1:30" ht="16.2" x14ac:dyDescent="0.35">
      <c r="A22" s="1" t="s">
        <v>53</v>
      </c>
      <c r="B22" s="14" t="s">
        <v>54</v>
      </c>
      <c r="C22" s="14"/>
      <c r="D22" s="14">
        <v>4.6500000000000004</v>
      </c>
      <c r="E22" s="14">
        <v>4.2300000000000004</v>
      </c>
      <c r="F22" s="14">
        <v>0</v>
      </c>
      <c r="G22" s="49">
        <f t="shared" si="2"/>
        <v>8.8800000000000008</v>
      </c>
      <c r="H22" s="50"/>
      <c r="I22" s="59">
        <v>1.147</v>
      </c>
      <c r="J22" s="59"/>
      <c r="K22" s="52">
        <f t="shared" si="3"/>
        <v>10.1854</v>
      </c>
      <c r="L22" s="53">
        <f t="shared" si="4"/>
        <v>42256</v>
      </c>
      <c r="N22" s="54">
        <v>5101</v>
      </c>
      <c r="O22" s="55">
        <v>130</v>
      </c>
      <c r="Q22" s="56"/>
      <c r="V22" s="402" t="s">
        <v>54</v>
      </c>
      <c r="W22" s="402"/>
      <c r="X22" s="392">
        <f>IF('3385'!K$84=1,'3385'!G22,0)</f>
        <v>0</v>
      </c>
      <c r="Y22" s="392"/>
      <c r="Z22" s="403">
        <v>1</v>
      </c>
      <c r="AA22" s="403"/>
      <c r="AB22" s="57">
        <f t="shared" si="0"/>
        <v>0</v>
      </c>
      <c r="AC22" s="58">
        <f t="shared" si="1"/>
        <v>0</v>
      </c>
      <c r="AD22" s="9"/>
    </row>
    <row r="23" spans="1:30" ht="16.2" x14ac:dyDescent="0.35">
      <c r="A23" s="1" t="s">
        <v>55</v>
      </c>
      <c r="B23" s="14" t="s">
        <v>56</v>
      </c>
      <c r="C23" s="14"/>
      <c r="D23" s="14">
        <v>1.31</v>
      </c>
      <c r="E23" s="14">
        <v>1.23</v>
      </c>
      <c r="F23" s="14">
        <v>0</v>
      </c>
      <c r="G23" s="49">
        <f t="shared" si="2"/>
        <v>2.54</v>
      </c>
      <c r="H23" s="50"/>
      <c r="I23" s="59">
        <f>I22</f>
        <v>1.147</v>
      </c>
      <c r="J23" s="59"/>
      <c r="K23" s="52">
        <f t="shared" si="3"/>
        <v>2.9134000000000002</v>
      </c>
      <c r="L23" s="53">
        <f t="shared" si="4"/>
        <v>12087</v>
      </c>
      <c r="N23" s="54">
        <v>5102</v>
      </c>
      <c r="O23" s="55">
        <v>130</v>
      </c>
      <c r="Q23" s="56"/>
      <c r="V23" s="402" t="s">
        <v>56</v>
      </c>
      <c r="W23" s="402"/>
      <c r="X23" s="392">
        <f>IF('3385'!K$84=1,'3385'!G23,0)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IF('3385'!K$84=1,'3385'!G24,0)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IF('3385'!K$84=1,'3385'!G25,0)</f>
        <v>0</v>
      </c>
      <c r="Y25" s="392"/>
      <c r="Z25" s="403">
        <v>1</v>
      </c>
      <c r="AA25" s="403"/>
      <c r="AB25" s="57">
        <f t="shared" si="0"/>
        <v>0</v>
      </c>
      <c r="AC25" s="58">
        <f t="shared" si="1"/>
        <v>0</v>
      </c>
      <c r="AD25" s="9"/>
    </row>
    <row r="26" spans="1:30" ht="20.25" customHeight="1" thickBot="1" x14ac:dyDescent="0.35">
      <c r="B26" s="63" t="s">
        <v>61</v>
      </c>
      <c r="C26" s="63"/>
      <c r="D26" s="64">
        <f t="shared" ref="D26:E26" si="5">SUM(D10:D25)</f>
        <v>382.15</v>
      </c>
      <c r="E26" s="64">
        <f t="shared" si="5"/>
        <v>384.28000000000009</v>
      </c>
      <c r="F26" s="64"/>
      <c r="G26" s="64">
        <f>SUM(G10:G25)</f>
        <v>766.43000000000006</v>
      </c>
      <c r="H26" s="65"/>
      <c r="I26" s="65"/>
      <c r="J26" s="66"/>
      <c r="K26" s="67">
        <f>SUM(K10:K25)</f>
        <v>812.46960000000001</v>
      </c>
      <c r="L26" s="68">
        <f>SUM(L10:L25)</f>
        <v>3370686</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10.52</v>
      </c>
      <c r="E28" s="14">
        <v>10.58</v>
      </c>
      <c r="F28" s="79">
        <v>0</v>
      </c>
      <c r="G28" s="49">
        <f t="shared" ref="G28:G36" si="6">IF($B$154&lt;8,D28*2,D28+E28)</f>
        <v>21.1</v>
      </c>
      <c r="H28" s="80"/>
      <c r="I28" s="81" t="s">
        <v>69</v>
      </c>
      <c r="J28" s="54">
        <v>251</v>
      </c>
      <c r="K28" s="82">
        <v>1047</v>
      </c>
      <c r="L28" s="83">
        <f>ROUND(G28*K28,0)</f>
        <v>22092</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1.49</v>
      </c>
      <c r="E29" s="14">
        <v>1.5</v>
      </c>
      <c r="F29" s="90">
        <v>0</v>
      </c>
      <c r="G29" s="49">
        <f t="shared" si="6"/>
        <v>2.99</v>
      </c>
      <c r="H29" s="80"/>
      <c r="I29" s="54" t="s">
        <v>69</v>
      </c>
      <c r="J29" s="54">
        <v>252</v>
      </c>
      <c r="K29" s="82">
        <v>3380</v>
      </c>
      <c r="L29" s="83">
        <f t="shared" ref="L29:L36" si="8">ROUND(G29*K29,0)</f>
        <v>10106</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24.5</v>
      </c>
      <c r="E31" s="14">
        <v>23.61</v>
      </c>
      <c r="F31" s="90">
        <v>0</v>
      </c>
      <c r="G31" s="49">
        <f t="shared" si="6"/>
        <v>48.11</v>
      </c>
      <c r="H31" s="80"/>
      <c r="I31" s="91" t="s">
        <v>73</v>
      </c>
      <c r="J31" s="54">
        <v>251</v>
      </c>
      <c r="K31" s="82">
        <v>1173</v>
      </c>
      <c r="L31" s="83">
        <f t="shared" si="8"/>
        <v>56433</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1.5</v>
      </c>
      <c r="E32" s="14">
        <v>1.5</v>
      </c>
      <c r="F32" s="90">
        <v>0</v>
      </c>
      <c r="G32" s="49">
        <f t="shared" si="6"/>
        <v>3</v>
      </c>
      <c r="H32" s="80"/>
      <c r="I32" s="91" t="s">
        <v>73</v>
      </c>
      <c r="J32" s="54">
        <v>252</v>
      </c>
      <c r="K32" s="82">
        <v>3506</v>
      </c>
      <c r="L32" s="83">
        <f t="shared" si="8"/>
        <v>10518</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38.01</v>
      </c>
      <c r="E37" s="64">
        <f t="shared" si="10"/>
        <v>37.19</v>
      </c>
      <c r="F37" s="64"/>
      <c r="G37" s="64">
        <f>SUM(G28:G36)</f>
        <v>75.2</v>
      </c>
      <c r="H37" s="65"/>
      <c r="I37" s="14" t="s">
        <v>81</v>
      </c>
      <c r="J37" s="14"/>
      <c r="K37" s="14"/>
      <c r="L37" s="53">
        <f>SUM(L28:L36)</f>
        <v>99149</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146388</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3616223</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406.61619999999999</v>
      </c>
      <c r="D47" s="123"/>
      <c r="E47" s="123"/>
      <c r="F47" s="123"/>
      <c r="G47" s="124">
        <f>K7</f>
        <v>1.0289999999999999</v>
      </c>
      <c r="H47" s="124"/>
      <c r="I47" s="125">
        <v>1325.01</v>
      </c>
      <c r="J47" s="126" t="s">
        <v>96</v>
      </c>
      <c r="K47" s="127">
        <f>ROUND(C47*G47*I47,0)</f>
        <v>554395</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405.85340000000002</v>
      </c>
      <c r="D48" s="123"/>
      <c r="E48" s="123"/>
      <c r="F48" s="123"/>
      <c r="G48" s="124">
        <f>K7</f>
        <v>1.0289999999999999</v>
      </c>
      <c r="H48" s="124"/>
      <c r="I48" s="125">
        <v>903.8</v>
      </c>
      <c r="J48" s="126" t="s">
        <v>96</v>
      </c>
      <c r="K48" s="127">
        <f>ROUND(C48*G48*I48,0)</f>
        <v>377448</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812.46960000000001</v>
      </c>
      <c r="D50" s="146"/>
      <c r="E50" s="147"/>
      <c r="F50" s="147"/>
      <c r="G50" s="148" t="s">
        <v>98</v>
      </c>
      <c r="H50" s="148"/>
      <c r="I50" s="148"/>
      <c r="J50" s="148"/>
      <c r="K50" s="148"/>
      <c r="L50" s="53">
        <f>IF(B2=75,0,K49+K48+K47)</f>
        <v>931843</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812.46960000000001</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4.1019999999999997E-3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766.43000000000006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4.2259999999999997E-3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4.1019999999999997E-3</v>
      </c>
      <c r="L59" s="53">
        <f>ROUND(I59*K59,0)</f>
        <v>17355</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4.1019999999999997E-3</v>
      </c>
      <c r="L67" s="53">
        <f>ROUND(I67*K67,0)</f>
        <v>425372</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4.2259999999999997E-3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4.1019999999999997E-3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4.1019999999999997E-3</v>
      </c>
      <c r="L71" s="53">
        <f>ROUND(I71*K71,0)</f>
        <v>7653</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4.2259999999999997E-3</v>
      </c>
      <c r="L72" s="53">
        <f>ROUND(I72*K72,0)</f>
        <v>59012</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364.5</v>
      </c>
      <c r="AA74" s="173" t="s">
        <v>130</v>
      </c>
      <c r="AB74" s="174">
        <f>+K75</f>
        <v>361</v>
      </c>
      <c r="AC74" s="58">
        <f>ROUND(AB74*Z74,0)</f>
        <v>131585</v>
      </c>
      <c r="AD74" s="9"/>
    </row>
    <row r="75" spans="1:30" ht="19.5" customHeight="1" x14ac:dyDescent="0.3">
      <c r="A75" s="1" t="s">
        <v>131</v>
      </c>
      <c r="B75" s="175" t="s">
        <v>128</v>
      </c>
      <c r="C75" s="176" t="s">
        <v>129</v>
      </c>
      <c r="D75" s="175">
        <v>336</v>
      </c>
      <c r="E75" s="175">
        <v>393</v>
      </c>
      <c r="F75" s="175">
        <v>0</v>
      </c>
      <c r="G75" s="177">
        <f>IF($B$154&lt;8,D75,E75)</f>
        <v>393</v>
      </c>
      <c r="H75" s="178"/>
      <c r="I75" s="179">
        <f>AVERAGE(G75,D75)</f>
        <v>364.5</v>
      </c>
      <c r="J75" s="180" t="s">
        <v>130</v>
      </c>
      <c r="K75" s="181">
        <v>361</v>
      </c>
      <c r="L75" s="53">
        <f>ROUND(K75*I75,0)</f>
        <v>131585</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4.2259999999999997E-3</v>
      </c>
      <c r="L77" s="53">
        <f>ROUND(I77*K77,0)</f>
        <v>7256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4.1019999999999997E-3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131585</v>
      </c>
      <c r="AD81" s="197"/>
    </row>
    <row r="82" spans="1:30" ht="22.5" customHeight="1" thickTop="1" thickBot="1" x14ac:dyDescent="0.35">
      <c r="B82" s="14" t="s">
        <v>140</v>
      </c>
      <c r="C82" s="14"/>
      <c r="D82" s="14"/>
      <c r="E82" s="14"/>
      <c r="F82" s="14"/>
      <c r="G82" s="14"/>
      <c r="H82" s="14"/>
      <c r="I82" s="14"/>
      <c r="J82" s="14"/>
      <c r="K82" s="14"/>
      <c r="L82" s="198">
        <f>SUM(L44:L81)</f>
        <v>5196299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'3385'!AC81</f>
        <v>131585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5196299</v>
      </c>
      <c r="L86" s="83">
        <f>IF(G26=0,0,IF(G26&gt;250,-(((250/G26)*K86)*IF(M86="H",0.02,0.05)),IF(M86="H",-0.02*K86,-0.05*K86)))</f>
        <v>-84748.427775530698</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5111550.5722244689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-425963</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4685587.5722244689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425962.50656586082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175066.52222446931</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311</v>
      </c>
      <c r="C123" s="221" t="s">
        <v>199</v>
      </c>
    </row>
    <row r="124" spans="2:3" hidden="1" x14ac:dyDescent="0.3">
      <c r="B124" s="225" t="s">
        <v>312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41808.602592592499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311</v>
      </c>
      <c r="C164" s="235" t="s">
        <v>244</v>
      </c>
      <c r="D164" s="231"/>
    </row>
    <row r="165" spans="1:4" hidden="1" x14ac:dyDescent="0.3">
      <c r="A165" s="230" t="s">
        <v>245</v>
      </c>
      <c r="B165" s="234" t="s">
        <v>312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41808.602592592499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'3386'!B2</f>
        <v>50</v>
      </c>
      <c r="W2" s="380" t="s">
        <v>4</v>
      </c>
      <c r="X2" s="381"/>
      <c r="Y2" s="382"/>
      <c r="Z2" s="382"/>
      <c r="AA2" s="382"/>
      <c r="AB2" s="382"/>
      <c r="AC2" s="382"/>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'3386'!G7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IF('3386'!K$84=1,'3386'!G10,0)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IF('3386'!K$84=1,'3386'!G11,0)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IF('3386'!K$84=1,'3386'!G12,0)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IF('3386'!K$84=1,'3386'!G13,0)</f>
        <v>0</v>
      </c>
      <c r="Y13" s="392"/>
      <c r="Z13" s="403">
        <v>1</v>
      </c>
      <c r="AA13" s="403"/>
      <c r="AB13" s="57">
        <f t="shared" si="0"/>
        <v>0</v>
      </c>
      <c r="AC13" s="58">
        <f t="shared" si="1"/>
        <v>0</v>
      </c>
      <c r="AD13" s="9"/>
    </row>
    <row r="14" spans="1:30" x14ac:dyDescent="0.3">
      <c r="A14" s="1" t="s">
        <v>36</v>
      </c>
      <c r="B14" s="14" t="s">
        <v>37</v>
      </c>
      <c r="C14" s="14"/>
      <c r="D14" s="14">
        <v>26.55</v>
      </c>
      <c r="E14" s="14">
        <v>24.75</v>
      </c>
      <c r="F14" s="14">
        <v>0</v>
      </c>
      <c r="G14" s="49">
        <f t="shared" si="2"/>
        <v>51.3</v>
      </c>
      <c r="H14" s="50"/>
      <c r="I14" s="59">
        <v>1.004</v>
      </c>
      <c r="J14" s="59"/>
      <c r="K14" s="52">
        <f t="shared" si="3"/>
        <v>51.505200000000002</v>
      </c>
      <c r="L14" s="53">
        <f t="shared" si="4"/>
        <v>213679</v>
      </c>
      <c r="N14" s="54">
        <v>5103</v>
      </c>
      <c r="O14" s="55">
        <v>103</v>
      </c>
      <c r="Q14" s="56"/>
      <c r="V14" s="402" t="s">
        <v>37</v>
      </c>
      <c r="W14" s="402"/>
      <c r="X14" s="392">
        <f>IF('3386'!K$84=1,'3386'!G14,0)</f>
        <v>0</v>
      </c>
      <c r="Y14" s="392"/>
      <c r="Z14" s="403">
        <v>1</v>
      </c>
      <c r="AA14" s="403"/>
      <c r="AB14" s="57">
        <f t="shared" si="0"/>
        <v>0</v>
      </c>
      <c r="AC14" s="58">
        <f t="shared" si="1"/>
        <v>0</v>
      </c>
      <c r="AD14" s="9"/>
    </row>
    <row r="15" spans="1:30" x14ac:dyDescent="0.3">
      <c r="A15" s="1" t="s">
        <v>38</v>
      </c>
      <c r="B15" s="14" t="s">
        <v>39</v>
      </c>
      <c r="C15" s="14"/>
      <c r="D15" s="14">
        <v>2.33</v>
      </c>
      <c r="E15" s="14">
        <v>2.65</v>
      </c>
      <c r="F15" s="14">
        <v>0</v>
      </c>
      <c r="G15" s="49">
        <f t="shared" si="2"/>
        <v>4.9800000000000004</v>
      </c>
      <c r="H15" s="50"/>
      <c r="I15" s="59">
        <f>I14</f>
        <v>1.004</v>
      </c>
      <c r="J15" s="59"/>
      <c r="K15" s="52">
        <f t="shared" si="3"/>
        <v>4.9999000000000002</v>
      </c>
      <c r="L15" s="61">
        <f t="shared" si="4"/>
        <v>20743</v>
      </c>
      <c r="M15" s="1" t="str">
        <f>IF(ROUND(G15,2)=ROUND(SUM(G34:G36),2)," ","CHECK 2. 9-12 Lines Below")</f>
        <v xml:space="preserve"> </v>
      </c>
      <c r="N15" s="54">
        <v>5103</v>
      </c>
      <c r="O15" s="60" t="s">
        <v>40</v>
      </c>
      <c r="Q15" s="56"/>
      <c r="V15" s="402" t="s">
        <v>39</v>
      </c>
      <c r="W15" s="402"/>
      <c r="X15" s="392">
        <f>IF('3386'!K$84=1,'3386'!G15,0)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IF('3386'!K$84=1,'3386'!G16,0)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IF('3386'!K$84=1,'3386'!G17,0)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IF('3386'!K$84=1,'3386'!G18,0)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IF('3386'!K$84=1,'3386'!G19,0)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IF('3386'!K$84=1,'3386'!G20,0)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IF('3386'!K$84=1,'3386'!G21,0)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IF('3386'!K$84=1,'3386'!G22,0)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IF('3386'!K$84=1,'3386'!G23,0)</f>
        <v>0</v>
      </c>
      <c r="Y23" s="392"/>
      <c r="Z23" s="403">
        <v>1</v>
      </c>
      <c r="AA23" s="403"/>
      <c r="AB23" s="57">
        <f t="shared" si="0"/>
        <v>0</v>
      </c>
      <c r="AC23" s="58">
        <f t="shared" si="1"/>
        <v>0</v>
      </c>
      <c r="AD23" s="9"/>
    </row>
    <row r="24" spans="1:30" ht="16.2" x14ac:dyDescent="0.35">
      <c r="A24" s="1" t="s">
        <v>57</v>
      </c>
      <c r="B24" s="14" t="s">
        <v>58</v>
      </c>
      <c r="C24" s="14"/>
      <c r="D24" s="14">
        <v>70.28</v>
      </c>
      <c r="E24" s="14">
        <v>64.11</v>
      </c>
      <c r="F24" s="14">
        <v>0</v>
      </c>
      <c r="G24" s="49">
        <f t="shared" si="2"/>
        <v>134.38999999999999</v>
      </c>
      <c r="H24" s="50"/>
      <c r="I24" s="59">
        <f>I23</f>
        <v>1.147</v>
      </c>
      <c r="J24" s="59"/>
      <c r="K24" s="52">
        <f t="shared" si="3"/>
        <v>154.14529999999999</v>
      </c>
      <c r="L24" s="53">
        <f t="shared" si="4"/>
        <v>639501</v>
      </c>
      <c r="N24" s="54">
        <v>5103</v>
      </c>
      <c r="O24" s="55">
        <v>130</v>
      </c>
      <c r="Q24" s="56"/>
      <c r="V24" s="402" t="s">
        <v>58</v>
      </c>
      <c r="W24" s="402"/>
      <c r="X24" s="392">
        <f>IF('3386'!K$84=1,'3386'!G24,0)</f>
        <v>0</v>
      </c>
      <c r="Y24" s="392"/>
      <c r="Z24" s="403">
        <v>1</v>
      </c>
      <c r="AA24" s="403"/>
      <c r="AB24" s="57">
        <f t="shared" si="0"/>
        <v>0</v>
      </c>
      <c r="AC24" s="58">
        <f t="shared" si="1"/>
        <v>0</v>
      </c>
      <c r="AD24" s="9"/>
    </row>
    <row r="25" spans="1:30" ht="16.8" thickBot="1" x14ac:dyDescent="0.4">
      <c r="A25" s="1" t="s">
        <v>59</v>
      </c>
      <c r="B25" s="14" t="s">
        <v>60</v>
      </c>
      <c r="C25" s="14"/>
      <c r="D25" s="14">
        <v>1.56</v>
      </c>
      <c r="E25" s="14">
        <v>2.71</v>
      </c>
      <c r="F25" s="14">
        <v>0</v>
      </c>
      <c r="G25" s="49">
        <f t="shared" si="2"/>
        <v>4.2699999999999996</v>
      </c>
      <c r="H25" s="50"/>
      <c r="I25" s="59">
        <v>1.004</v>
      </c>
      <c r="J25" s="59"/>
      <c r="K25" s="52">
        <f t="shared" si="3"/>
        <v>4.2870999999999997</v>
      </c>
      <c r="L25" s="53">
        <f t="shared" si="4"/>
        <v>17786</v>
      </c>
      <c r="N25" s="54">
        <v>5310</v>
      </c>
      <c r="O25" s="55">
        <v>300</v>
      </c>
      <c r="Q25" s="56"/>
      <c r="V25" s="402" t="s">
        <v>60</v>
      </c>
      <c r="W25" s="402"/>
      <c r="X25" s="392">
        <f>IF('3386'!K$84=1,'3386'!G25,0)</f>
        <v>0</v>
      </c>
      <c r="Y25" s="392"/>
      <c r="Z25" s="403">
        <v>1</v>
      </c>
      <c r="AA25" s="403"/>
      <c r="AB25" s="57">
        <f t="shared" si="0"/>
        <v>0</v>
      </c>
      <c r="AC25" s="58">
        <f t="shared" si="1"/>
        <v>0</v>
      </c>
      <c r="AD25" s="9"/>
    </row>
    <row r="26" spans="1:30" ht="20.25" customHeight="1" thickBot="1" x14ac:dyDescent="0.35">
      <c r="B26" s="63" t="s">
        <v>61</v>
      </c>
      <c r="C26" s="63"/>
      <c r="D26" s="64">
        <f t="shared" ref="D26:E26" si="5">SUM(D10:D25)</f>
        <v>100.72</v>
      </c>
      <c r="E26" s="64">
        <f t="shared" si="5"/>
        <v>94.219999999999985</v>
      </c>
      <c r="F26" s="64"/>
      <c r="G26" s="64">
        <f>SUM(G10:G25)</f>
        <v>194.94</v>
      </c>
      <c r="H26" s="65"/>
      <c r="I26" s="65"/>
      <c r="J26" s="66"/>
      <c r="K26" s="67">
        <f>SUM(K10:K25)</f>
        <v>214.9375</v>
      </c>
      <c r="L26" s="68">
        <f>SUM(L10:L25)</f>
        <v>891709</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2.33</v>
      </c>
      <c r="E34" s="14">
        <v>2.65</v>
      </c>
      <c r="F34" s="90">
        <v>0</v>
      </c>
      <c r="G34" s="49">
        <f t="shared" si="6"/>
        <v>4.9800000000000004</v>
      </c>
      <c r="H34" s="80"/>
      <c r="I34" s="91" t="s">
        <v>77</v>
      </c>
      <c r="J34" s="54">
        <v>251</v>
      </c>
      <c r="K34" s="82">
        <v>835</v>
      </c>
      <c r="L34" s="83">
        <f t="shared" si="8"/>
        <v>4158</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2.33</v>
      </c>
      <c r="E37" s="64">
        <f t="shared" si="10"/>
        <v>2.65</v>
      </c>
      <c r="F37" s="64"/>
      <c r="G37" s="64">
        <f>SUM(G28:G36)</f>
        <v>4.9800000000000004</v>
      </c>
      <c r="H37" s="65"/>
      <c r="I37" s="14" t="s">
        <v>81</v>
      </c>
      <c r="J37" s="14"/>
      <c r="K37" s="14"/>
      <c r="L37" s="53">
        <f>SUM(L28:L36)</f>
        <v>4158</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37234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933101</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214.9375</v>
      </c>
      <c r="D49" s="123"/>
      <c r="E49" s="123"/>
      <c r="F49" s="123"/>
      <c r="G49" s="124">
        <f>K7</f>
        <v>1.0289999999999999</v>
      </c>
      <c r="H49" s="124"/>
      <c r="I49" s="125">
        <v>905.98</v>
      </c>
      <c r="J49" s="126" t="s">
        <v>96</v>
      </c>
      <c r="K49" s="127">
        <f>ROUND(C49*G49*I49,0)</f>
        <v>200376</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214.9375</v>
      </c>
      <c r="D50" s="146"/>
      <c r="E50" s="147"/>
      <c r="F50" s="147"/>
      <c r="G50" s="148" t="s">
        <v>98</v>
      </c>
      <c r="H50" s="148"/>
      <c r="I50" s="148"/>
      <c r="J50" s="148"/>
      <c r="K50" s="148"/>
      <c r="L50" s="53">
        <f>IF(B2=75,0,K49+K48+K47)</f>
        <v>200376</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214.9375</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1.085E-3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194.94</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1.075E-3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1.085E-3</v>
      </c>
      <c r="L59" s="53">
        <f>ROUND(I59*K59,0)</f>
        <v>4591</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1.085E-3</v>
      </c>
      <c r="L67" s="53">
        <f>ROUND(I67*K67,0)</f>
        <v>112513</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1.075E-3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1.085E-3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1.085E-3</v>
      </c>
      <c r="L71" s="53">
        <f>ROUND(I71*K71,0)</f>
        <v>2024</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1.075E-3</v>
      </c>
      <c r="L72" s="53">
        <f>ROUND(I72*K72,0)</f>
        <v>15011</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143.5</v>
      </c>
      <c r="AA74" s="173" t="s">
        <v>130</v>
      </c>
      <c r="AB74" s="174">
        <f>+K75</f>
        <v>361</v>
      </c>
      <c r="AC74" s="58">
        <f>ROUND(AB74*Z74,0)</f>
        <v>51804</v>
      </c>
      <c r="AD74" s="9"/>
    </row>
    <row r="75" spans="1:30" ht="19.5" customHeight="1" x14ac:dyDescent="0.3">
      <c r="A75" s="1" t="s">
        <v>131</v>
      </c>
      <c r="B75" s="175" t="s">
        <v>128</v>
      </c>
      <c r="C75" s="176" t="s">
        <v>129</v>
      </c>
      <c r="D75" s="175">
        <v>125</v>
      </c>
      <c r="E75" s="175">
        <v>162</v>
      </c>
      <c r="F75" s="175">
        <v>0</v>
      </c>
      <c r="G75" s="177">
        <f>IF($B$154&lt;8,D75,E75)</f>
        <v>162</v>
      </c>
      <c r="H75" s="178"/>
      <c r="I75" s="179">
        <f>AVERAGE(G75,D75)</f>
        <v>143.5</v>
      </c>
      <c r="J75" s="180" t="s">
        <v>130</v>
      </c>
      <c r="K75" s="181">
        <v>361</v>
      </c>
      <c r="L75" s="53">
        <f>ROUND(K75*I75,0)</f>
        <v>51804</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1.075E-3</v>
      </c>
      <c r="L77" s="53">
        <f>ROUND(I77*K77,0)</f>
        <v>1846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1.085E-3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51804</v>
      </c>
      <c r="AD81" s="197"/>
    </row>
    <row r="82" spans="1:30" ht="22.5" customHeight="1" thickTop="1" thickBot="1" x14ac:dyDescent="0.35">
      <c r="B82" s="14" t="s">
        <v>140</v>
      </c>
      <c r="C82" s="14"/>
      <c r="D82" s="14"/>
      <c r="E82" s="14"/>
      <c r="F82" s="14"/>
      <c r="G82" s="14"/>
      <c r="H82" s="14"/>
      <c r="I82" s="14"/>
      <c r="J82" s="14"/>
      <c r="K82" s="14"/>
      <c r="L82" s="198">
        <f>SUM(L44:L81)</f>
        <v>1321266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'3386'!AC81</f>
        <v>51804</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1321266</v>
      </c>
      <c r="L86" s="83">
        <f>IF(G26=0,0,IF(G26&gt;250,-(((250/G26)*K86)*IF(M86="H",0.02,0.05)),IF(M86="H",-0.02*K86,-0.05*K86)))</f>
        <v>-66063.3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1255202.7</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-104600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1150602.7</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104600.24545454545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314</v>
      </c>
      <c r="C123" s="221" t="s">
        <v>199</v>
      </c>
    </row>
    <row r="124" spans="2:3" hidden="1" x14ac:dyDescent="0.3">
      <c r="B124" s="225" t="s">
        <v>315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41808.602604166699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314</v>
      </c>
      <c r="C164" s="235" t="s">
        <v>244</v>
      </c>
      <c r="D164" s="231"/>
    </row>
    <row r="165" spans="1:4" hidden="1" x14ac:dyDescent="0.3">
      <c r="A165" s="230" t="s">
        <v>245</v>
      </c>
      <c r="B165" s="234" t="s">
        <v>315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41808.602604166699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'3391'!B2</f>
        <v>50</v>
      </c>
      <c r="W2" s="380" t="s">
        <v>4</v>
      </c>
      <c r="X2" s="381"/>
      <c r="Y2" s="382"/>
      <c r="Z2" s="382"/>
      <c r="AA2" s="382"/>
      <c r="AB2" s="382"/>
      <c r="AC2" s="382"/>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'3391'!G7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IF('3391'!K$84=1,'3391'!G10,0)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IF('3391'!K$84=1,'3391'!G11,0)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IF('3391'!K$84=1,'3391'!G12,0)</f>
        <v>0</v>
      </c>
      <c r="Y12" s="392"/>
      <c r="Z12" s="403">
        <v>1</v>
      </c>
      <c r="AA12" s="403"/>
      <c r="AB12" s="57">
        <f t="shared" si="0"/>
        <v>0</v>
      </c>
      <c r="AC12" s="58">
        <f t="shared" si="1"/>
        <v>0</v>
      </c>
      <c r="AD12" s="9"/>
    </row>
    <row r="13" spans="1:30" x14ac:dyDescent="0.3">
      <c r="A13" s="1" t="s">
        <v>33</v>
      </c>
      <c r="B13" s="14" t="s">
        <v>34</v>
      </c>
      <c r="C13" s="14"/>
      <c r="D13" s="14">
        <v>4</v>
      </c>
      <c r="E13" s="14">
        <v>4</v>
      </c>
      <c r="F13" s="14">
        <v>0</v>
      </c>
      <c r="G13" s="49">
        <f t="shared" si="2"/>
        <v>8</v>
      </c>
      <c r="H13" s="50"/>
      <c r="I13" s="59">
        <f>I12</f>
        <v>1</v>
      </c>
      <c r="J13" s="59"/>
      <c r="K13" s="52">
        <f t="shared" si="3"/>
        <v>8</v>
      </c>
      <c r="L13" s="53">
        <f t="shared" si="4"/>
        <v>33190</v>
      </c>
      <c r="M13" s="1" t="str">
        <f>IF(ROUND(G13,2)=ROUND(SUM(G31:G33),2)," ","CHECK 2. 4-8 Lines Below")</f>
        <v xml:space="preserve"> </v>
      </c>
      <c r="N13" s="54">
        <v>5102</v>
      </c>
      <c r="O13" s="60" t="s">
        <v>35</v>
      </c>
      <c r="Q13" s="56"/>
      <c r="V13" s="402" t="s">
        <v>34</v>
      </c>
      <c r="W13" s="402"/>
      <c r="X13" s="392">
        <f>IF('3391'!K$84=1,'3391'!G13,0)</f>
        <v>8</v>
      </c>
      <c r="Y13" s="392"/>
      <c r="Z13" s="403">
        <v>1</v>
      </c>
      <c r="AA13" s="403"/>
      <c r="AB13" s="57">
        <f t="shared" si="0"/>
        <v>8</v>
      </c>
      <c r="AC13" s="58">
        <f t="shared" si="1"/>
        <v>33190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IF('3391'!K$84=1,'3391'!G14,0)</f>
        <v>0</v>
      </c>
      <c r="Y14" s="392"/>
      <c r="Z14" s="403">
        <v>1</v>
      </c>
      <c r="AA14" s="403"/>
      <c r="AB14" s="57">
        <f t="shared" si="0"/>
        <v>0</v>
      </c>
      <c r="AC14" s="58">
        <f t="shared" si="1"/>
        <v>0</v>
      </c>
      <c r="AD14" s="9"/>
    </row>
    <row r="15" spans="1:30" x14ac:dyDescent="0.3">
      <c r="A15" s="1" t="s">
        <v>38</v>
      </c>
      <c r="B15" s="14" t="s">
        <v>39</v>
      </c>
      <c r="C15" s="14"/>
      <c r="D15" s="14">
        <v>27.15</v>
      </c>
      <c r="E15" s="14">
        <v>29.36</v>
      </c>
      <c r="F15" s="14">
        <v>0</v>
      </c>
      <c r="G15" s="49">
        <f t="shared" si="2"/>
        <v>56.51</v>
      </c>
      <c r="H15" s="50"/>
      <c r="I15" s="59">
        <f>I14</f>
        <v>1.004</v>
      </c>
      <c r="J15" s="59"/>
      <c r="K15" s="52">
        <f t="shared" si="3"/>
        <v>56.735999999999997</v>
      </c>
      <c r="L15" s="61">
        <f t="shared" si="4"/>
        <v>235380</v>
      </c>
      <c r="M15" s="1" t="str">
        <f>IF(ROUND(G15,2)=ROUND(SUM(G34:G36),2)," ","CHECK 2. 9-12 Lines Below")</f>
        <v xml:space="preserve"> </v>
      </c>
      <c r="N15" s="54">
        <v>5103</v>
      </c>
      <c r="O15" s="60" t="s">
        <v>40</v>
      </c>
      <c r="Q15" s="56"/>
      <c r="V15" s="402" t="s">
        <v>39</v>
      </c>
      <c r="W15" s="402"/>
      <c r="X15" s="392">
        <f>IF('3391'!K$84=1,'3391'!G15,0)</f>
        <v>56.51</v>
      </c>
      <c r="Y15" s="392"/>
      <c r="Z15" s="403">
        <v>1</v>
      </c>
      <c r="AA15" s="403"/>
      <c r="AB15" s="57">
        <f t="shared" si="0"/>
        <v>56.51</v>
      </c>
      <c r="AC15" s="62">
        <f t="shared" si="1"/>
        <v>234443</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IF('3391'!K$84=1,'3391'!G16,0)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IF('3391'!K$84=1,'3391'!G17,0)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IF('3391'!K$84=1,'3391'!G18,0)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IF('3391'!K$84=1,'3391'!G19,0)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IF('3391'!K$84=1,'3391'!G20,0)</f>
        <v>0</v>
      </c>
      <c r="Y20" s="392"/>
      <c r="Z20" s="403">
        <v>1</v>
      </c>
      <c r="AA20" s="403"/>
      <c r="AB20" s="57">
        <f t="shared" si="0"/>
        <v>0</v>
      </c>
      <c r="AC20" s="58">
        <f t="shared" si="1"/>
        <v>0</v>
      </c>
      <c r="AD20" s="9"/>
    </row>
    <row r="21" spans="1:30" ht="15" customHeight="1" x14ac:dyDescent="0.35">
      <c r="A21" s="1" t="s">
        <v>51</v>
      </c>
      <c r="B21" s="14" t="s">
        <v>52</v>
      </c>
      <c r="C21" s="14"/>
      <c r="D21" s="14">
        <v>0</v>
      </c>
      <c r="E21" s="14">
        <v>0.5</v>
      </c>
      <c r="F21" s="14">
        <v>0</v>
      </c>
      <c r="G21" s="49">
        <f t="shared" si="2"/>
        <v>0.5</v>
      </c>
      <c r="H21" s="50"/>
      <c r="I21" s="59">
        <f>I20</f>
        <v>5.1040000000000001</v>
      </c>
      <c r="J21" s="59"/>
      <c r="K21" s="52">
        <f t="shared" si="3"/>
        <v>2.552</v>
      </c>
      <c r="L21" s="53">
        <f t="shared" si="4"/>
        <v>10587</v>
      </c>
      <c r="N21" s="54">
        <v>5103</v>
      </c>
      <c r="O21" s="56">
        <v>255</v>
      </c>
      <c r="Q21" s="56"/>
      <c r="V21" s="402" t="s">
        <v>52</v>
      </c>
      <c r="W21" s="402"/>
      <c r="X21" s="392">
        <f>IF('3391'!K$84=1,'3391'!G21,0)</f>
        <v>0.5</v>
      </c>
      <c r="Y21" s="392"/>
      <c r="Z21" s="403">
        <v>1</v>
      </c>
      <c r="AA21" s="403"/>
      <c r="AB21" s="57">
        <f t="shared" si="0"/>
        <v>0.5</v>
      </c>
      <c r="AC21" s="58">
        <f t="shared" si="1"/>
        <v>2074</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IF('3391'!K$84=1,'3391'!G22,0)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IF('3391'!K$84=1,'3391'!G23,0)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IF('3391'!K$84=1,'3391'!G24,0)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IF('3391'!K$84=1,'3391'!G25,0)</f>
        <v>0</v>
      </c>
      <c r="Y25" s="392"/>
      <c r="Z25" s="403">
        <v>1</v>
      </c>
      <c r="AA25" s="403"/>
      <c r="AB25" s="57">
        <f t="shared" si="0"/>
        <v>0</v>
      </c>
      <c r="AC25" s="58">
        <f t="shared" si="1"/>
        <v>0</v>
      </c>
      <c r="AD25" s="9"/>
    </row>
    <row r="26" spans="1:30" ht="20.25" customHeight="1" thickBot="1" x14ac:dyDescent="0.35">
      <c r="B26" s="63" t="s">
        <v>61</v>
      </c>
      <c r="C26" s="63"/>
      <c r="D26" s="64">
        <f t="shared" ref="D26:E26" si="5">SUM(D10:D25)</f>
        <v>31.15</v>
      </c>
      <c r="E26" s="64">
        <f t="shared" si="5"/>
        <v>33.86</v>
      </c>
      <c r="F26" s="64"/>
      <c r="G26" s="64">
        <f>SUM(G10:G25)</f>
        <v>65.009999999999991</v>
      </c>
      <c r="H26" s="65"/>
      <c r="I26" s="65"/>
      <c r="J26" s="66"/>
      <c r="K26" s="67">
        <f>SUM(K10:K25)</f>
        <v>67.287999999999997</v>
      </c>
      <c r="L26" s="68">
        <f>SUM(L10:L25)</f>
        <v>279157</v>
      </c>
      <c r="N26" s="56"/>
      <c r="O26" s="69"/>
      <c r="P26" s="56"/>
      <c r="Q26" s="56"/>
      <c r="V26" s="404" t="s">
        <v>61</v>
      </c>
      <c r="W26" s="404"/>
      <c r="X26" s="405">
        <f>SUM(X10:X25)</f>
        <v>65.009999999999991</v>
      </c>
      <c r="Y26" s="405"/>
      <c r="Z26" s="406"/>
      <c r="AA26" s="407"/>
      <c r="AB26" s="70">
        <f>SUM(AB10:AB25)</f>
        <v>65.009999999999991</v>
      </c>
      <c r="AC26" s="71">
        <f>SUM(AC10:AC25)</f>
        <v>269707</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1.5</v>
      </c>
      <c r="E32" s="14">
        <v>1.5</v>
      </c>
      <c r="F32" s="90">
        <v>0</v>
      </c>
      <c r="G32" s="49">
        <f t="shared" si="6"/>
        <v>3</v>
      </c>
      <c r="H32" s="80"/>
      <c r="I32" s="91" t="s">
        <v>73</v>
      </c>
      <c r="J32" s="54">
        <v>252</v>
      </c>
      <c r="K32" s="82">
        <v>3506</v>
      </c>
      <c r="L32" s="83">
        <f t="shared" si="8"/>
        <v>10518</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2.5</v>
      </c>
      <c r="E33" s="14">
        <v>2.5</v>
      </c>
      <c r="F33" s="90">
        <v>0</v>
      </c>
      <c r="G33" s="49">
        <f t="shared" si="6"/>
        <v>5</v>
      </c>
      <c r="H33" s="80"/>
      <c r="I33" s="91" t="s">
        <v>73</v>
      </c>
      <c r="J33" s="54">
        <v>253</v>
      </c>
      <c r="K33" s="82">
        <v>7023</v>
      </c>
      <c r="L33" s="83">
        <f t="shared" si="8"/>
        <v>35115</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8.68</v>
      </c>
      <c r="E34" s="14">
        <v>8.33</v>
      </c>
      <c r="F34" s="90">
        <v>0</v>
      </c>
      <c r="G34" s="49">
        <f t="shared" si="6"/>
        <v>17.009999999999998</v>
      </c>
      <c r="H34" s="80"/>
      <c r="I34" s="91" t="s">
        <v>77</v>
      </c>
      <c r="J34" s="54">
        <v>251</v>
      </c>
      <c r="K34" s="82">
        <v>835</v>
      </c>
      <c r="L34" s="83">
        <f t="shared" si="8"/>
        <v>14203</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6.48</v>
      </c>
      <c r="E35" s="14">
        <v>6.52</v>
      </c>
      <c r="F35" s="90">
        <v>0</v>
      </c>
      <c r="G35" s="49">
        <f t="shared" si="6"/>
        <v>13</v>
      </c>
      <c r="H35" s="80"/>
      <c r="I35" s="91" t="s">
        <v>77</v>
      </c>
      <c r="J35" s="54">
        <v>252</v>
      </c>
      <c r="K35" s="82">
        <v>3168</v>
      </c>
      <c r="L35" s="83">
        <f t="shared" si="8"/>
        <v>41184</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11.99</v>
      </c>
      <c r="E36" s="14">
        <v>14.51</v>
      </c>
      <c r="F36" s="90">
        <v>0</v>
      </c>
      <c r="G36" s="49">
        <f t="shared" si="6"/>
        <v>26.5</v>
      </c>
      <c r="H36" s="80"/>
      <c r="I36" s="91" t="s">
        <v>77</v>
      </c>
      <c r="J36" s="54">
        <v>253</v>
      </c>
      <c r="K36" s="82">
        <v>6685</v>
      </c>
      <c r="L36" s="94">
        <f t="shared" si="8"/>
        <v>177153</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31.15</v>
      </c>
      <c r="E37" s="64">
        <f t="shared" si="10"/>
        <v>33.36</v>
      </c>
      <c r="F37" s="64"/>
      <c r="G37" s="64">
        <f>SUM(G28:G36)</f>
        <v>64.509999999999991</v>
      </c>
      <c r="H37" s="65"/>
      <c r="I37" s="14" t="s">
        <v>81</v>
      </c>
      <c r="J37" s="14"/>
      <c r="K37" s="14"/>
      <c r="L37" s="53">
        <f>SUM(L28:L36)</f>
        <v>278173</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12417</v>
      </c>
      <c r="N40" s="104"/>
      <c r="O40" s="104"/>
      <c r="P40" s="104"/>
      <c r="Q40" s="104"/>
      <c r="V40" s="422" t="s">
        <v>85</v>
      </c>
      <c r="W40" s="422"/>
      <c r="X40" s="423">
        <f>+G40</f>
        <v>181379.8</v>
      </c>
      <c r="Y40" s="423"/>
      <c r="Z40" s="423"/>
      <c r="AA40" s="423"/>
      <c r="AB40" s="58">
        <f>ROUND(X39/X40,0)</f>
        <v>191</v>
      </c>
      <c r="AC40" s="58">
        <f>ROUND(AB40*$X$26,0)</f>
        <v>12417</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569747</v>
      </c>
      <c r="O44" s="1"/>
      <c r="V44" s="433" t="s">
        <v>89</v>
      </c>
      <c r="W44" s="433"/>
      <c r="X44" s="433"/>
      <c r="Y44" s="433"/>
      <c r="Z44" s="433"/>
      <c r="AA44" s="433"/>
      <c r="AB44" s="433"/>
      <c r="AC44" s="112">
        <f>SUM(AC26,AC37,AC40)</f>
        <v>282124</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8</v>
      </c>
      <c r="D48" s="123"/>
      <c r="E48" s="123"/>
      <c r="F48" s="123"/>
      <c r="G48" s="124">
        <f>K7</f>
        <v>1.0289999999999999</v>
      </c>
      <c r="H48" s="124"/>
      <c r="I48" s="125">
        <v>903.8</v>
      </c>
      <c r="J48" s="126" t="s">
        <v>96</v>
      </c>
      <c r="K48" s="127">
        <f>ROUND(C48*G48*I48,0)</f>
        <v>7440</v>
      </c>
      <c r="L48" s="63"/>
      <c r="O48" s="1"/>
      <c r="V48" s="135" t="s">
        <v>73</v>
      </c>
      <c r="W48" s="129">
        <f>AB12+AB13+AB17+AB20+AB23</f>
        <v>8</v>
      </c>
      <c r="X48" s="426">
        <f>AB7</f>
        <v>1.0289999999999999</v>
      </c>
      <c r="Y48" s="426"/>
      <c r="Z48" s="130">
        <f>+I48</f>
        <v>903.8</v>
      </c>
      <c r="AA48" s="131" t="s">
        <v>96</v>
      </c>
      <c r="AB48" s="132">
        <f>ROUND(W48*X48*Z48,0)</f>
        <v>7440</v>
      </c>
      <c r="AC48" s="136"/>
      <c r="AD48" s="9"/>
    </row>
    <row r="49" spans="2:30" ht="19.5" customHeight="1" thickBot="1" x14ac:dyDescent="0.4">
      <c r="B49" s="137" t="s">
        <v>77</v>
      </c>
      <c r="C49" s="138">
        <f>K14+K15+K18+K21+K24+K25</f>
        <v>59.287999999999997</v>
      </c>
      <c r="D49" s="123"/>
      <c r="E49" s="123"/>
      <c r="F49" s="123"/>
      <c r="G49" s="124">
        <f>K7</f>
        <v>1.0289999999999999</v>
      </c>
      <c r="H49" s="124"/>
      <c r="I49" s="125">
        <v>905.98</v>
      </c>
      <c r="J49" s="126" t="s">
        <v>96</v>
      </c>
      <c r="K49" s="127">
        <f>ROUND(C49*G49*I49,0)</f>
        <v>55271</v>
      </c>
      <c r="L49" s="63"/>
      <c r="M49" s="109"/>
      <c r="N49" s="139"/>
      <c r="O49" s="140"/>
      <c r="P49" s="69"/>
      <c r="Q49" s="141"/>
      <c r="V49" s="142" t="s">
        <v>77</v>
      </c>
      <c r="W49" s="143">
        <f>AB14+AB15+AB18+AB21+AB24+AB25</f>
        <v>57.01</v>
      </c>
      <c r="X49" s="426">
        <f>AB7</f>
        <v>1.0289999999999999</v>
      </c>
      <c r="Y49" s="426"/>
      <c r="Z49" s="130">
        <f>+I49</f>
        <v>905.98</v>
      </c>
      <c r="AA49" s="131" t="s">
        <v>96</v>
      </c>
      <c r="AB49" s="132">
        <f>ROUND(W49*X49*Z49,0)</f>
        <v>53148</v>
      </c>
      <c r="AC49" s="136"/>
      <c r="AD49" s="110"/>
    </row>
    <row r="50" spans="2:30" ht="24" customHeight="1" thickBot="1" x14ac:dyDescent="0.35">
      <c r="B50" s="144" t="s">
        <v>97</v>
      </c>
      <c r="C50" s="145">
        <f>SUM(C47:C49)</f>
        <v>67.287999999999997</v>
      </c>
      <c r="D50" s="146"/>
      <c r="E50" s="147"/>
      <c r="F50" s="147"/>
      <c r="G50" s="148" t="s">
        <v>98</v>
      </c>
      <c r="H50" s="148"/>
      <c r="I50" s="148"/>
      <c r="J50" s="148"/>
      <c r="K50" s="148"/>
      <c r="L50" s="53">
        <f>IF(B2=75,0,K49+K48+K47)</f>
        <v>62711</v>
      </c>
      <c r="N50" s="3"/>
      <c r="O50" s="1"/>
      <c r="V50" s="149" t="s">
        <v>97</v>
      </c>
      <c r="W50" s="150">
        <f>SUM(W47:W49)</f>
        <v>65.009999999999991</v>
      </c>
      <c r="X50" s="427" t="s">
        <v>98</v>
      </c>
      <c r="Y50" s="428"/>
      <c r="Z50" s="428"/>
      <c r="AA50" s="428"/>
      <c r="AB50" s="428"/>
      <c r="AC50" s="58">
        <f>IF(V2=75,0,AB49+AB48+AB47)</f>
        <v>60588</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67.287999999999997</v>
      </c>
      <c r="H53" s="59" t="s">
        <v>102</v>
      </c>
      <c r="I53" s="59"/>
      <c r="J53" s="155">
        <v>198050.23</v>
      </c>
      <c r="K53" s="155"/>
      <c r="L53" s="155"/>
      <c r="N53" s="3"/>
      <c r="O53" s="1"/>
      <c r="V53" s="436" t="s">
        <v>101</v>
      </c>
      <c r="W53" s="436"/>
      <c r="X53" s="156">
        <f>AB26</f>
        <v>65.009999999999991</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3.4000000000000002E-4</v>
      </c>
      <c r="L54" s="157"/>
      <c r="N54" s="69"/>
      <c r="O54" s="1"/>
      <c r="V54" s="436" t="s">
        <v>103</v>
      </c>
      <c r="W54" s="436"/>
      <c r="X54" s="436"/>
      <c r="Y54" s="436"/>
      <c r="Z54" s="436"/>
      <c r="AA54" s="436"/>
      <c r="AB54" s="439">
        <f>ROUND(X53/AA53,6)</f>
        <v>3.28E-4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65.009999999999991</v>
      </c>
      <c r="H56" s="59" t="s">
        <v>106</v>
      </c>
      <c r="I56" s="59"/>
      <c r="J56" s="155">
        <f>+G40</f>
        <v>181379.8</v>
      </c>
      <c r="K56" s="155"/>
      <c r="L56" s="155"/>
      <c r="O56" s="1"/>
      <c r="V56" s="436" t="s">
        <v>105</v>
      </c>
      <c r="W56" s="436"/>
      <c r="X56" s="159">
        <f>X26</f>
        <v>65.009999999999991</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3.5799999999999997E-4</v>
      </c>
      <c r="L57" s="157"/>
      <c r="O57" s="1"/>
      <c r="V57" s="436" t="s">
        <v>107</v>
      </c>
      <c r="W57" s="436"/>
      <c r="X57" s="436"/>
      <c r="Y57" s="436"/>
      <c r="Z57" s="436"/>
      <c r="AA57" s="436"/>
      <c r="AB57" s="439">
        <f>ROUND(X56/AA56,6)</f>
        <v>3.5799999999999997E-4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3.28E-4</v>
      </c>
      <c r="AC58" s="58">
        <f>ROUND(Y58*AB58,0)</f>
        <v>1388</v>
      </c>
      <c r="AD58" s="9"/>
    </row>
    <row r="59" spans="2:30" x14ac:dyDescent="0.3">
      <c r="B59" s="63" t="s">
        <v>109</v>
      </c>
      <c r="C59" s="63"/>
      <c r="D59" s="63"/>
      <c r="E59" s="63"/>
      <c r="F59" s="63"/>
      <c r="G59" s="63"/>
      <c r="H59" s="163" t="s">
        <v>21</v>
      </c>
      <c r="I59" s="127">
        <v>4230917</v>
      </c>
      <c r="J59" s="164" t="s">
        <v>110</v>
      </c>
      <c r="K59" s="165">
        <f>K54</f>
        <v>3.4000000000000002E-4</v>
      </c>
      <c r="L59" s="53">
        <f>ROUND(I59*K59,0)</f>
        <v>1439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3.28E-4</v>
      </c>
      <c r="AC66" s="58">
        <f>ROUND(Y66*AB66,0)</f>
        <v>34013</v>
      </c>
      <c r="AD66" s="9"/>
    </row>
    <row r="67" spans="1:30" ht="20.25" customHeight="1" x14ac:dyDescent="0.3">
      <c r="B67" s="14" t="s">
        <v>118</v>
      </c>
      <c r="C67" s="14"/>
      <c r="D67" s="14"/>
      <c r="E67" s="14"/>
      <c r="F67" s="14"/>
      <c r="H67" s="163" t="s">
        <v>23</v>
      </c>
      <c r="I67" s="127">
        <v>103698709</v>
      </c>
      <c r="J67" s="164" t="s">
        <v>110</v>
      </c>
      <c r="K67" s="165">
        <f>K54</f>
        <v>3.4000000000000002E-4</v>
      </c>
      <c r="L67" s="53">
        <f>ROUND(I67*K67,0)</f>
        <v>35258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3.5799999999999997E-4</v>
      </c>
      <c r="AC68" s="58">
        <f>ROUND(Y68*AB68,0)</f>
        <v>0</v>
      </c>
      <c r="AD68" s="9"/>
    </row>
    <row r="69" spans="1:30" ht="15" customHeight="1" x14ac:dyDescent="0.3">
      <c r="B69" s="169" t="s">
        <v>120</v>
      </c>
      <c r="C69" s="14"/>
      <c r="D69" s="14"/>
      <c r="E69" s="14"/>
      <c r="F69" s="14"/>
      <c r="H69" s="163" t="s">
        <v>22</v>
      </c>
      <c r="I69" s="127">
        <v>0</v>
      </c>
      <c r="J69" s="164" t="s">
        <v>110</v>
      </c>
      <c r="K69" s="165">
        <f>K57</f>
        <v>3.5799999999999997E-4</v>
      </c>
      <c r="L69" s="53">
        <f>ROUND(I69*K69,0)</f>
        <v>0</v>
      </c>
      <c r="O69" s="1"/>
      <c r="V69" s="430" t="s">
        <v>121</v>
      </c>
      <c r="W69" s="430"/>
      <c r="X69" s="430"/>
      <c r="Y69" s="447">
        <f>+I70</f>
        <v>0</v>
      </c>
      <c r="Z69" s="447"/>
      <c r="AA69" s="161" t="s">
        <v>110</v>
      </c>
      <c r="AB69" s="162">
        <f>AB54</f>
        <v>3.28E-4</v>
      </c>
      <c r="AC69" s="58">
        <f>ROUND(Y69*AB69,0)</f>
        <v>0</v>
      </c>
      <c r="AD69" s="9"/>
    </row>
    <row r="70" spans="1:30" ht="20.25" customHeight="1" x14ac:dyDescent="0.3">
      <c r="B70" s="14" t="s">
        <v>121</v>
      </c>
      <c r="C70" s="14"/>
      <c r="D70" s="14"/>
      <c r="E70" s="14"/>
      <c r="F70" s="14"/>
      <c r="H70" s="163" t="s">
        <v>21</v>
      </c>
      <c r="I70" s="127">
        <v>0</v>
      </c>
      <c r="J70" s="164" t="s">
        <v>110</v>
      </c>
      <c r="K70" s="165">
        <f>K54</f>
        <v>3.4000000000000002E-4</v>
      </c>
      <c r="L70" s="53">
        <f>ROUND(I70*K70,0)</f>
        <v>0</v>
      </c>
      <c r="O70" s="1"/>
      <c r="V70" s="430" t="s">
        <v>122</v>
      </c>
      <c r="W70" s="430"/>
      <c r="X70" s="430"/>
      <c r="Y70" s="444">
        <f>+I71</f>
        <v>1865769</v>
      </c>
      <c r="Z70" s="444"/>
      <c r="AA70" s="161" t="s">
        <v>110</v>
      </c>
      <c r="AB70" s="162">
        <f>AB54</f>
        <v>3.28E-4</v>
      </c>
      <c r="AC70" s="58">
        <f>ROUND(Y70*AB70,0)</f>
        <v>612</v>
      </c>
      <c r="AD70" s="9"/>
    </row>
    <row r="71" spans="1:30" ht="20.25" customHeight="1" x14ac:dyDescent="0.3">
      <c r="B71" s="14" t="s">
        <v>122</v>
      </c>
      <c r="C71" s="14"/>
      <c r="D71" s="14"/>
      <c r="E71" s="14"/>
      <c r="F71" s="14"/>
      <c r="H71" s="163" t="s">
        <v>21</v>
      </c>
      <c r="I71" s="127">
        <v>1865769</v>
      </c>
      <c r="J71" s="164" t="s">
        <v>110</v>
      </c>
      <c r="K71" s="165">
        <f>K54</f>
        <v>3.4000000000000002E-4</v>
      </c>
      <c r="L71" s="53">
        <f>ROUND(I71*K71,0)</f>
        <v>634</v>
      </c>
      <c r="O71" s="1"/>
      <c r="V71" s="430" t="s">
        <v>123</v>
      </c>
      <c r="W71" s="430"/>
      <c r="X71" s="430"/>
      <c r="Y71" s="444">
        <f>+I72</f>
        <v>13963927</v>
      </c>
      <c r="Z71" s="444"/>
      <c r="AA71" s="161" t="s">
        <v>110</v>
      </c>
      <c r="AB71" s="162">
        <f>AB57</f>
        <v>3.5799999999999997E-4</v>
      </c>
      <c r="AC71" s="58">
        <f>ROUND(Y71*AB71,0)</f>
        <v>4999</v>
      </c>
      <c r="AD71" s="9"/>
    </row>
    <row r="72" spans="1:30" ht="21" customHeight="1" x14ac:dyDescent="0.35">
      <c r="B72" s="14" t="s">
        <v>123</v>
      </c>
      <c r="C72" s="14"/>
      <c r="D72" s="14"/>
      <c r="E72" s="14"/>
      <c r="F72" s="14"/>
      <c r="H72" s="163" t="s">
        <v>22</v>
      </c>
      <c r="I72" s="127">
        <v>13963927</v>
      </c>
      <c r="J72" s="164" t="s">
        <v>110</v>
      </c>
      <c r="K72" s="165">
        <f>K57</f>
        <v>3.5799999999999997E-4</v>
      </c>
      <c r="L72" s="53">
        <f>ROUND(I72*K72,0)</f>
        <v>4999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39.5</v>
      </c>
      <c r="AA74" s="173" t="s">
        <v>130</v>
      </c>
      <c r="AB74" s="174">
        <f>+K75</f>
        <v>361</v>
      </c>
      <c r="AC74" s="58">
        <f>ROUND(AB74*Z74,0)</f>
        <v>14260</v>
      </c>
      <c r="AD74" s="9"/>
    </row>
    <row r="75" spans="1:30" ht="19.5" customHeight="1" x14ac:dyDescent="0.3">
      <c r="A75" s="1" t="s">
        <v>131</v>
      </c>
      <c r="B75" s="175" t="s">
        <v>128</v>
      </c>
      <c r="C75" s="176" t="s">
        <v>129</v>
      </c>
      <c r="D75" s="175">
        <v>42</v>
      </c>
      <c r="E75" s="175">
        <v>37</v>
      </c>
      <c r="F75" s="175">
        <v>0</v>
      </c>
      <c r="G75" s="177">
        <f>IF($B$154&lt;8,D75,E75)</f>
        <v>37</v>
      </c>
      <c r="H75" s="178"/>
      <c r="I75" s="179">
        <f>AVERAGE(G75,D75)</f>
        <v>39.5</v>
      </c>
      <c r="J75" s="180" t="s">
        <v>130</v>
      </c>
      <c r="K75" s="181">
        <v>361</v>
      </c>
      <c r="L75" s="53">
        <f>ROUND(K75*I75,0)</f>
        <v>14260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3.5799999999999997E-4</v>
      </c>
      <c r="AC76" s="58">
        <f>ROUND(Y76*AB76,0)</f>
        <v>615</v>
      </c>
      <c r="AD76" s="9"/>
    </row>
    <row r="77" spans="1:30" ht="26.25" customHeight="1" x14ac:dyDescent="0.3">
      <c r="B77" s="14" t="s">
        <v>134</v>
      </c>
      <c r="C77" s="14"/>
      <c r="D77" s="14"/>
      <c r="E77" s="14"/>
      <c r="F77" s="14"/>
      <c r="H77" s="163" t="s">
        <v>25</v>
      </c>
      <c r="I77" s="186">
        <v>1716988</v>
      </c>
      <c r="J77" s="164" t="s">
        <v>110</v>
      </c>
      <c r="K77" s="165">
        <f>K57</f>
        <v>3.5799999999999997E-4</v>
      </c>
      <c r="L77" s="53">
        <f>ROUND(I77*K77,0)</f>
        <v>615</v>
      </c>
      <c r="O77" s="1"/>
      <c r="V77" s="430" t="str">
        <f>+B78</f>
        <v>15.  Florida Teachers Classroom Supply Assistance Program</v>
      </c>
      <c r="W77" s="430"/>
      <c r="X77" s="430"/>
      <c r="Y77" s="440">
        <f>+I78</f>
        <v>0</v>
      </c>
      <c r="Z77" s="440"/>
      <c r="AA77" s="173" t="s">
        <v>130</v>
      </c>
      <c r="AB77" s="162">
        <f>AB54</f>
        <v>3.28E-4</v>
      </c>
      <c r="AC77" s="58">
        <f>ROUND(Y77*AB77,0)</f>
        <v>0</v>
      </c>
      <c r="AD77" s="9"/>
    </row>
    <row r="78" spans="1:30" ht="26.25" customHeight="1" x14ac:dyDescent="0.3">
      <c r="B78" s="384" t="s">
        <v>135</v>
      </c>
      <c r="C78" s="384"/>
      <c r="D78" s="384"/>
      <c r="E78" s="14"/>
      <c r="F78" s="14"/>
      <c r="H78" s="163" t="s">
        <v>136</v>
      </c>
      <c r="I78" s="187">
        <v>0</v>
      </c>
      <c r="J78" s="164" t="s">
        <v>110</v>
      </c>
      <c r="K78" s="165">
        <f>K54</f>
        <v>3.4000000000000002E-4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398599</v>
      </c>
      <c r="AD81" s="197"/>
    </row>
    <row r="82" spans="1:30" ht="22.5" customHeight="1" thickTop="1" thickBot="1" x14ac:dyDescent="0.35">
      <c r="B82" s="14" t="s">
        <v>140</v>
      </c>
      <c r="C82" s="14"/>
      <c r="D82" s="14"/>
      <c r="E82" s="14"/>
      <c r="F82" s="14"/>
      <c r="G82" s="14"/>
      <c r="H82" s="14"/>
      <c r="I82" s="14"/>
      <c r="J82" s="14"/>
      <c r="K82" s="14"/>
      <c r="L82" s="198">
        <f>SUM(L44:L81)</f>
        <v>689663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'3391'!AC81</f>
        <v>398599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398599</v>
      </c>
      <c r="L86" s="83">
        <f>IF(G26=0,0,IF(G26&gt;250,-(((250/G26)*K86)*IF(M86="H",0.02,0.05)),IF(M86="H",-0.02*K86,-0.05*K86)))</f>
        <v>-19929.95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669733.05000000005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-55811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613922.05000000005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55811.095454545459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317</v>
      </c>
      <c r="C123" s="221" t="s">
        <v>199</v>
      </c>
    </row>
    <row r="124" spans="2:3" hidden="1" x14ac:dyDescent="0.3">
      <c r="B124" s="225" t="s">
        <v>318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41808.602615740703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317</v>
      </c>
      <c r="C164" s="235" t="s">
        <v>244</v>
      </c>
      <c r="D164" s="231"/>
    </row>
    <row r="165" spans="1:4" hidden="1" x14ac:dyDescent="0.3">
      <c r="A165" s="230" t="s">
        <v>245</v>
      </c>
      <c r="B165" s="234" t="s">
        <v>318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41808.602615740703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'3394'!B2</f>
        <v>50</v>
      </c>
      <c r="W2" s="380" t="s">
        <v>4</v>
      </c>
      <c r="X2" s="381"/>
      <c r="Y2" s="382"/>
      <c r="Z2" s="382"/>
      <c r="AA2" s="382"/>
      <c r="AB2" s="382"/>
      <c r="AC2" s="382"/>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'3394'!G7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18.489999999999998</v>
      </c>
      <c r="E10" s="48">
        <v>19.559999999999999</v>
      </c>
      <c r="F10" s="48">
        <v>0</v>
      </c>
      <c r="G10" s="49">
        <f>IF($B$154&lt;8,D10*2,D10+E10)</f>
        <v>38.049999999999997</v>
      </c>
      <c r="H10" s="50"/>
      <c r="I10" s="51">
        <v>1.1259999999999999</v>
      </c>
      <c r="J10" s="51"/>
      <c r="K10" s="52">
        <f>ROUND(G10*I10,4)</f>
        <v>42.844299999999997</v>
      </c>
      <c r="L10" s="53">
        <f>ROUND(ROUND(K10*$G$7,4)*($K$7),0)</f>
        <v>177748</v>
      </c>
      <c r="N10" s="54">
        <v>5101</v>
      </c>
      <c r="O10" s="55">
        <v>101</v>
      </c>
      <c r="Q10" s="56"/>
      <c r="V10" s="391" t="s">
        <v>27</v>
      </c>
      <c r="W10" s="391"/>
      <c r="X10" s="392">
        <f>IF('3394'!K$84=1,'3394'!G10,0)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43.44</v>
      </c>
      <c r="E11" s="14">
        <v>40.65</v>
      </c>
      <c r="F11" s="14">
        <v>0</v>
      </c>
      <c r="G11" s="49">
        <f t="shared" ref="G11:G25" si="2">IF($B$154&lt;8,D11*2,D11+E11)</f>
        <v>84.09</v>
      </c>
      <c r="H11" s="50"/>
      <c r="I11" s="59">
        <f>I10</f>
        <v>1.1259999999999999</v>
      </c>
      <c r="J11" s="59"/>
      <c r="K11" s="52">
        <f t="shared" ref="K11:K25" si="3">ROUND(G11*I11,4)</f>
        <v>94.685299999999998</v>
      </c>
      <c r="L11" s="53">
        <f t="shared" ref="L11:L25" si="4">ROUND(ROUND(K11*$G$7,4)*($K$7),0)</f>
        <v>392820</v>
      </c>
      <c r="M11" s="1" t="str">
        <f>IF(ROUND(G11,2)=ROUND(SUM(G28:G30),2)," ","CHECK 2. PK-3 Lines Below")</f>
        <v xml:space="preserve"> </v>
      </c>
      <c r="N11" s="54">
        <v>5101</v>
      </c>
      <c r="O11" s="60" t="s">
        <v>30</v>
      </c>
      <c r="Q11" s="56"/>
      <c r="V11" s="402" t="s">
        <v>29</v>
      </c>
      <c r="W11" s="402"/>
      <c r="X11" s="392">
        <f>IF('3394'!K$84=1,'3394'!G11,0)</f>
        <v>0</v>
      </c>
      <c r="Y11" s="392"/>
      <c r="Z11" s="403">
        <v>1</v>
      </c>
      <c r="AA11" s="403"/>
      <c r="AB11" s="57">
        <f t="shared" si="0"/>
        <v>0</v>
      </c>
      <c r="AC11" s="58">
        <f t="shared" si="1"/>
        <v>0</v>
      </c>
      <c r="AD11" s="9"/>
    </row>
    <row r="12" spans="1:30" x14ac:dyDescent="0.3">
      <c r="A12" s="1" t="s">
        <v>31</v>
      </c>
      <c r="B12" s="14" t="s">
        <v>32</v>
      </c>
      <c r="C12" s="14"/>
      <c r="D12" s="14">
        <v>17.22</v>
      </c>
      <c r="E12" s="14">
        <v>16.8</v>
      </c>
      <c r="F12" s="14">
        <v>0</v>
      </c>
      <c r="G12" s="49">
        <f t="shared" si="2"/>
        <v>34.019999999999996</v>
      </c>
      <c r="H12" s="50"/>
      <c r="I12" s="59">
        <v>1</v>
      </c>
      <c r="J12" s="59"/>
      <c r="K12" s="52">
        <f t="shared" si="3"/>
        <v>34.020000000000003</v>
      </c>
      <c r="L12" s="53">
        <f t="shared" si="4"/>
        <v>141138</v>
      </c>
      <c r="N12" s="54">
        <v>5102</v>
      </c>
      <c r="O12" s="55">
        <v>102</v>
      </c>
      <c r="Q12" s="56"/>
      <c r="V12" s="402" t="s">
        <v>32</v>
      </c>
      <c r="W12" s="402"/>
      <c r="X12" s="392">
        <f>IF('3394'!K$84=1,'3394'!G12,0)</f>
        <v>0</v>
      </c>
      <c r="Y12" s="392"/>
      <c r="Z12" s="403">
        <v>1</v>
      </c>
      <c r="AA12" s="403"/>
      <c r="AB12" s="57">
        <f t="shared" si="0"/>
        <v>0</v>
      </c>
      <c r="AC12" s="58">
        <f t="shared" si="1"/>
        <v>0</v>
      </c>
      <c r="AD12" s="9"/>
    </row>
    <row r="13" spans="1:30" x14ac:dyDescent="0.3">
      <c r="A13" s="1" t="s">
        <v>33</v>
      </c>
      <c r="B13" s="14" t="s">
        <v>34</v>
      </c>
      <c r="C13" s="14"/>
      <c r="D13" s="14">
        <v>9.51</v>
      </c>
      <c r="E13" s="14">
        <v>9</v>
      </c>
      <c r="F13" s="14">
        <v>0</v>
      </c>
      <c r="G13" s="49">
        <f t="shared" si="2"/>
        <v>18.509999999999998</v>
      </c>
      <c r="H13" s="50"/>
      <c r="I13" s="59">
        <f>I12</f>
        <v>1</v>
      </c>
      <c r="J13" s="59"/>
      <c r="K13" s="52">
        <f t="shared" si="3"/>
        <v>18.510000000000002</v>
      </c>
      <c r="L13" s="53">
        <f t="shared" si="4"/>
        <v>76792</v>
      </c>
      <c r="M13" s="1" t="str">
        <f>IF(ROUND(G13,2)=ROUND(SUM(G31:G33),2)," ","CHECK 2. 4-8 Lines Below")</f>
        <v xml:space="preserve"> </v>
      </c>
      <c r="N13" s="54">
        <v>5102</v>
      </c>
      <c r="O13" s="60" t="s">
        <v>35</v>
      </c>
      <c r="Q13" s="56"/>
      <c r="V13" s="402" t="s">
        <v>34</v>
      </c>
      <c r="W13" s="402"/>
      <c r="X13" s="392">
        <f>IF('3394'!K$84=1,'3394'!G13,0)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IF('3394'!K$84=1,'3394'!G14,0)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IF('3394'!K$84=1,'3394'!G15,0)</f>
        <v>0</v>
      </c>
      <c r="Y15" s="392"/>
      <c r="Z15" s="403">
        <v>1</v>
      </c>
      <c r="AA15" s="403"/>
      <c r="AB15" s="57">
        <f t="shared" si="0"/>
        <v>0</v>
      </c>
      <c r="AC15" s="62">
        <f t="shared" si="1"/>
        <v>0</v>
      </c>
      <c r="AD15" s="9"/>
    </row>
    <row r="16" spans="1:30" ht="16.2" x14ac:dyDescent="0.35">
      <c r="A16" s="1" t="s">
        <v>41</v>
      </c>
      <c r="B16" s="14" t="s">
        <v>42</v>
      </c>
      <c r="C16" s="14"/>
      <c r="D16" s="14">
        <v>0</v>
      </c>
      <c r="E16" s="14">
        <v>0.98</v>
      </c>
      <c r="F16" s="14">
        <v>0</v>
      </c>
      <c r="G16" s="49">
        <f t="shared" si="2"/>
        <v>0.98</v>
      </c>
      <c r="H16" s="50"/>
      <c r="I16" s="59">
        <v>3.548</v>
      </c>
      <c r="J16" s="59"/>
      <c r="K16" s="52">
        <f t="shared" si="3"/>
        <v>3.4769999999999999</v>
      </c>
      <c r="L16" s="53">
        <f t="shared" si="4"/>
        <v>14425</v>
      </c>
      <c r="N16" s="54">
        <v>5101</v>
      </c>
      <c r="O16" s="1">
        <v>254</v>
      </c>
      <c r="Q16" s="56"/>
      <c r="V16" s="402" t="s">
        <v>42</v>
      </c>
      <c r="W16" s="402"/>
      <c r="X16" s="392">
        <f>IF('3394'!K$84=1,'3394'!G16,0)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IF('3394'!K$84=1,'3394'!G17,0)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IF('3394'!K$84=1,'3394'!G18,0)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IF('3394'!K$84=1,'3394'!G19,0)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IF('3394'!K$84=1,'3394'!G20,0)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IF('3394'!K$84=1,'3394'!G21,0)</f>
        <v>0</v>
      </c>
      <c r="Y21" s="392"/>
      <c r="Z21" s="403">
        <v>1</v>
      </c>
      <c r="AA21" s="403"/>
      <c r="AB21" s="57">
        <f t="shared" si="0"/>
        <v>0</v>
      </c>
      <c r="AC21" s="58">
        <f t="shared" si="1"/>
        <v>0</v>
      </c>
      <c r="AD21" s="9"/>
    </row>
    <row r="22" spans="1:30" ht="16.2" x14ac:dyDescent="0.35">
      <c r="A22" s="1" t="s">
        <v>53</v>
      </c>
      <c r="B22" s="14" t="s">
        <v>54</v>
      </c>
      <c r="C22" s="14"/>
      <c r="D22" s="14">
        <v>9.8699999999999992</v>
      </c>
      <c r="E22" s="14">
        <v>11.44</v>
      </c>
      <c r="F22" s="14">
        <v>0</v>
      </c>
      <c r="G22" s="49">
        <f t="shared" si="2"/>
        <v>21.31</v>
      </c>
      <c r="H22" s="50"/>
      <c r="I22" s="59">
        <v>1.147</v>
      </c>
      <c r="J22" s="59"/>
      <c r="K22" s="52">
        <f t="shared" si="3"/>
        <v>24.442599999999999</v>
      </c>
      <c r="L22" s="53">
        <f t="shared" si="4"/>
        <v>101405</v>
      </c>
      <c r="N22" s="54">
        <v>5101</v>
      </c>
      <c r="O22" s="55">
        <v>130</v>
      </c>
      <c r="Q22" s="56"/>
      <c r="V22" s="402" t="s">
        <v>54</v>
      </c>
      <c r="W22" s="402"/>
      <c r="X22" s="392">
        <f>IF('3394'!K$84=1,'3394'!G22,0)</f>
        <v>0</v>
      </c>
      <c r="Y22" s="392"/>
      <c r="Z22" s="403">
        <v>1</v>
      </c>
      <c r="AA22" s="403"/>
      <c r="AB22" s="57">
        <f t="shared" si="0"/>
        <v>0</v>
      </c>
      <c r="AC22" s="58">
        <f t="shared" si="1"/>
        <v>0</v>
      </c>
      <c r="AD22" s="9"/>
    </row>
    <row r="23" spans="1:30" ht="16.2" x14ac:dyDescent="0.35">
      <c r="A23" s="1" t="s">
        <v>55</v>
      </c>
      <c r="B23" s="14" t="s">
        <v>56</v>
      </c>
      <c r="C23" s="14"/>
      <c r="D23" s="14">
        <v>1.95</v>
      </c>
      <c r="E23" s="14">
        <v>1.78</v>
      </c>
      <c r="F23" s="14">
        <v>0</v>
      </c>
      <c r="G23" s="49">
        <f t="shared" si="2"/>
        <v>3.73</v>
      </c>
      <c r="H23" s="50"/>
      <c r="I23" s="59">
        <f>I22</f>
        <v>1.147</v>
      </c>
      <c r="J23" s="59"/>
      <c r="K23" s="52">
        <f t="shared" si="3"/>
        <v>4.2782999999999998</v>
      </c>
      <c r="L23" s="53">
        <f t="shared" si="4"/>
        <v>17749</v>
      </c>
      <c r="N23" s="54">
        <v>5102</v>
      </c>
      <c r="O23" s="55">
        <v>130</v>
      </c>
      <c r="Q23" s="56"/>
      <c r="V23" s="402" t="s">
        <v>56</v>
      </c>
      <c r="W23" s="402"/>
      <c r="X23" s="392">
        <f>IF('3394'!K$84=1,'3394'!G23,0)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IF('3394'!K$84=1,'3394'!G24,0)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IF('3394'!K$84=1,'3394'!G25,0)</f>
        <v>0</v>
      </c>
      <c r="Y25" s="392"/>
      <c r="Z25" s="403">
        <v>1</v>
      </c>
      <c r="AA25" s="403"/>
      <c r="AB25" s="57">
        <f t="shared" si="0"/>
        <v>0</v>
      </c>
      <c r="AC25" s="58">
        <f t="shared" si="1"/>
        <v>0</v>
      </c>
      <c r="AD25" s="9"/>
    </row>
    <row r="26" spans="1:30" ht="20.25" customHeight="1" thickBot="1" x14ac:dyDescent="0.35">
      <c r="B26" s="63" t="s">
        <v>61</v>
      </c>
      <c r="C26" s="63"/>
      <c r="D26" s="64">
        <f t="shared" ref="D26:E26" si="5">SUM(D10:D25)</f>
        <v>100.48</v>
      </c>
      <c r="E26" s="64">
        <f t="shared" si="5"/>
        <v>100.21</v>
      </c>
      <c r="F26" s="64"/>
      <c r="G26" s="64">
        <f>SUM(G10:G25)</f>
        <v>200.68999999999997</v>
      </c>
      <c r="H26" s="65"/>
      <c r="I26" s="65"/>
      <c r="J26" s="66"/>
      <c r="K26" s="67">
        <f>SUM(K10:K25)</f>
        <v>222.25749999999999</v>
      </c>
      <c r="L26" s="68">
        <f>SUM(L10:L25)</f>
        <v>922077</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37.46</v>
      </c>
      <c r="E28" s="14">
        <v>35.5</v>
      </c>
      <c r="F28" s="79">
        <v>0</v>
      </c>
      <c r="G28" s="49">
        <f t="shared" ref="G28:G36" si="6">IF($B$154&lt;8,D28*2,D28+E28)</f>
        <v>72.960000000000008</v>
      </c>
      <c r="H28" s="80"/>
      <c r="I28" s="81" t="s">
        <v>69</v>
      </c>
      <c r="J28" s="54">
        <v>251</v>
      </c>
      <c r="K28" s="82">
        <v>1047</v>
      </c>
      <c r="L28" s="83">
        <f>ROUND(G28*K28,0)</f>
        <v>76389</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5.0999999999999996</v>
      </c>
      <c r="E29" s="14">
        <v>5.15</v>
      </c>
      <c r="F29" s="90">
        <v>0</v>
      </c>
      <c r="G29" s="49">
        <f t="shared" si="6"/>
        <v>10.25</v>
      </c>
      <c r="H29" s="80"/>
      <c r="I29" s="54" t="s">
        <v>69</v>
      </c>
      <c r="J29" s="54">
        <v>252</v>
      </c>
      <c r="K29" s="82">
        <v>3380</v>
      </c>
      <c r="L29" s="83">
        <f t="shared" ref="L29:L36" si="8">ROUND(G29*K29,0)</f>
        <v>34645</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0.88</v>
      </c>
      <c r="E30" s="14">
        <v>0</v>
      </c>
      <c r="F30" s="90">
        <v>0</v>
      </c>
      <c r="G30" s="49">
        <f t="shared" si="6"/>
        <v>0.88</v>
      </c>
      <c r="H30" s="80"/>
      <c r="I30" s="54" t="s">
        <v>69</v>
      </c>
      <c r="J30" s="54">
        <v>253</v>
      </c>
      <c r="K30" s="82">
        <v>6896</v>
      </c>
      <c r="L30" s="83">
        <f t="shared" si="8"/>
        <v>6068</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9.51</v>
      </c>
      <c r="E31" s="14">
        <v>9</v>
      </c>
      <c r="F31" s="90">
        <v>0</v>
      </c>
      <c r="G31" s="49">
        <f t="shared" si="6"/>
        <v>18.509999999999998</v>
      </c>
      <c r="H31" s="80"/>
      <c r="I31" s="91" t="s">
        <v>73</v>
      </c>
      <c r="J31" s="54">
        <v>251</v>
      </c>
      <c r="K31" s="82">
        <v>1173</v>
      </c>
      <c r="L31" s="83">
        <f t="shared" si="8"/>
        <v>21712</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52.95</v>
      </c>
      <c r="E37" s="64">
        <f t="shared" si="10"/>
        <v>49.65</v>
      </c>
      <c r="F37" s="64"/>
      <c r="G37" s="64">
        <f>SUM(G28:G36)</f>
        <v>102.6</v>
      </c>
      <c r="H37" s="65"/>
      <c r="I37" s="14" t="s">
        <v>81</v>
      </c>
      <c r="J37" s="14"/>
      <c r="K37" s="14"/>
      <c r="L37" s="53">
        <f>SUM(L28:L36)</f>
        <v>138814</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38332</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1099223</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165.44919999999999</v>
      </c>
      <c r="D47" s="123"/>
      <c r="E47" s="123"/>
      <c r="F47" s="123"/>
      <c r="G47" s="124">
        <f>K7</f>
        <v>1.0289999999999999</v>
      </c>
      <c r="H47" s="124"/>
      <c r="I47" s="125">
        <v>1325.01</v>
      </c>
      <c r="J47" s="126" t="s">
        <v>96</v>
      </c>
      <c r="K47" s="127">
        <f>ROUND(C47*G47*I47,0)</f>
        <v>225579</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56.808300000000003</v>
      </c>
      <c r="D48" s="123"/>
      <c r="E48" s="123"/>
      <c r="F48" s="123"/>
      <c r="G48" s="124">
        <f>K7</f>
        <v>1.0289999999999999</v>
      </c>
      <c r="H48" s="124"/>
      <c r="I48" s="125">
        <v>903.8</v>
      </c>
      <c r="J48" s="126" t="s">
        <v>96</v>
      </c>
      <c r="K48" s="127">
        <f>ROUND(C48*G48*I48,0)</f>
        <v>52832</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222.25749999999999</v>
      </c>
      <c r="D50" s="146"/>
      <c r="E50" s="147"/>
      <c r="F50" s="147"/>
      <c r="G50" s="148" t="s">
        <v>98</v>
      </c>
      <c r="H50" s="148"/>
      <c r="I50" s="148"/>
      <c r="J50" s="148"/>
      <c r="K50" s="148"/>
      <c r="L50" s="53">
        <f>IF(B2=75,0,K49+K48+K47)</f>
        <v>278411</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222.25749999999999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1.122E-3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200.68999999999997</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1.106E-3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1.122E-3</v>
      </c>
      <c r="L59" s="53">
        <f>ROUND(I59*K59,0)</f>
        <v>4747</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1.122E-3</v>
      </c>
      <c r="L67" s="53">
        <f>ROUND(I67*K67,0)</f>
        <v>116350</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1.106E-3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1.122E-3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1.122E-3</v>
      </c>
      <c r="L71" s="53">
        <f>ROUND(I71*K71,0)</f>
        <v>2093</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1.106E-3</v>
      </c>
      <c r="L72" s="53">
        <f>ROUND(I72*K72,0)</f>
        <v>15444</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54</v>
      </c>
      <c r="AA74" s="173" t="s">
        <v>130</v>
      </c>
      <c r="AB74" s="174">
        <f>+K75</f>
        <v>361</v>
      </c>
      <c r="AC74" s="58">
        <f>ROUND(AB74*Z74,0)</f>
        <v>19494</v>
      </c>
      <c r="AD74" s="9"/>
    </row>
    <row r="75" spans="1:30" ht="19.5" customHeight="1" x14ac:dyDescent="0.3">
      <c r="A75" s="1" t="s">
        <v>131</v>
      </c>
      <c r="B75" s="175" t="s">
        <v>128</v>
      </c>
      <c r="C75" s="176" t="s">
        <v>129</v>
      </c>
      <c r="D75" s="175">
        <v>43</v>
      </c>
      <c r="E75" s="175">
        <v>65</v>
      </c>
      <c r="F75" s="175">
        <v>0</v>
      </c>
      <c r="G75" s="177">
        <f>IF($B$154&lt;8,D75,E75)</f>
        <v>65</v>
      </c>
      <c r="H75" s="178"/>
      <c r="I75" s="179">
        <f>AVERAGE(G75,D75)</f>
        <v>54</v>
      </c>
      <c r="J75" s="180" t="s">
        <v>130</v>
      </c>
      <c r="K75" s="181">
        <v>361</v>
      </c>
      <c r="L75" s="53">
        <f>ROUND(K75*I75,0)</f>
        <v>19494</v>
      </c>
      <c r="N75" s="1">
        <v>7802</v>
      </c>
      <c r="O75" s="1">
        <v>0</v>
      </c>
      <c r="V75" s="445" t="s">
        <v>128</v>
      </c>
      <c r="W75" s="445"/>
      <c r="X75" s="170" t="s">
        <v>132</v>
      </c>
      <c r="Y75" s="182"/>
      <c r="Z75" s="183">
        <f>+I76</f>
        <v>4</v>
      </c>
      <c r="AA75" s="173" t="s">
        <v>130</v>
      </c>
      <c r="AB75" s="184">
        <f>+K76</f>
        <v>1357</v>
      </c>
      <c r="AC75" s="58">
        <f>ROUND(AB75*Z75,0)</f>
        <v>5428</v>
      </c>
      <c r="AD75" s="9"/>
    </row>
    <row r="76" spans="1:30" ht="19.5" customHeight="1" x14ac:dyDescent="0.3">
      <c r="A76" s="1" t="s">
        <v>133</v>
      </c>
      <c r="B76" s="175" t="s">
        <v>128</v>
      </c>
      <c r="C76" s="176" t="s">
        <v>132</v>
      </c>
      <c r="D76" s="175">
        <v>4</v>
      </c>
      <c r="E76" s="175">
        <v>4</v>
      </c>
      <c r="F76" s="175">
        <v>0</v>
      </c>
      <c r="G76" s="177">
        <f>IF($B$154&lt;8,D76,E76)</f>
        <v>4</v>
      </c>
      <c r="H76" s="178"/>
      <c r="I76" s="179">
        <f>AVERAGE(G76,D76)</f>
        <v>4</v>
      </c>
      <c r="J76" s="180" t="s">
        <v>130</v>
      </c>
      <c r="K76" s="185">
        <v>1357</v>
      </c>
      <c r="L76" s="53">
        <f>ROUND(K76*I76,0)</f>
        <v>5428</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1.106E-3</v>
      </c>
      <c r="L77" s="53">
        <f>ROUND(I77*K77,0)</f>
        <v>1899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1.122E-3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24922</v>
      </c>
      <c r="AD81" s="197"/>
    </row>
    <row r="82" spans="1:30" ht="22.5" customHeight="1" thickTop="1" thickBot="1" x14ac:dyDescent="0.35">
      <c r="B82" s="14" t="s">
        <v>140</v>
      </c>
      <c r="C82" s="14"/>
      <c r="D82" s="14"/>
      <c r="E82" s="14"/>
      <c r="F82" s="14"/>
      <c r="G82" s="14"/>
      <c r="H82" s="14"/>
      <c r="I82" s="14"/>
      <c r="J82" s="14"/>
      <c r="K82" s="14"/>
      <c r="L82" s="198">
        <f>SUM(L44:L81)</f>
        <v>1543089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'3394'!AC81</f>
        <v>24922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1543089</v>
      </c>
      <c r="L86" s="83">
        <f>IF(G26=0,0,IF(G26&gt;250,-(((250/G26)*K86)*IF(M86="H",0.02,0.05)),IF(M86="H",-0.02*K86,-0.05*K86)))</f>
        <v>-77154.45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1465934.55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-122161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1343773.55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122161.23181818183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320</v>
      </c>
      <c r="C123" s="221" t="s">
        <v>199</v>
      </c>
    </row>
    <row r="124" spans="2:3" hidden="1" x14ac:dyDescent="0.3">
      <c r="B124" s="225" t="s">
        <v>321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41808.602650462999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320</v>
      </c>
      <c r="C164" s="235" t="s">
        <v>244</v>
      </c>
      <c r="D164" s="231"/>
    </row>
    <row r="165" spans="1:4" hidden="1" x14ac:dyDescent="0.3">
      <c r="A165" s="230" t="s">
        <v>245</v>
      </c>
      <c r="B165" s="234" t="s">
        <v>321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41808.602650462999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'3395'!B2</f>
        <v>50</v>
      </c>
      <c r="W2" s="380" t="s">
        <v>4</v>
      </c>
      <c r="X2" s="381"/>
      <c r="Y2" s="382"/>
      <c r="Z2" s="382"/>
      <c r="AA2" s="382"/>
      <c r="AB2" s="382"/>
      <c r="AC2" s="382"/>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'3395'!G7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158.09</v>
      </c>
      <c r="E10" s="48">
        <v>155.66</v>
      </c>
      <c r="F10" s="48">
        <v>0</v>
      </c>
      <c r="G10" s="49">
        <f>IF($B$154&lt;8,D10*2,D10+E10)</f>
        <v>313.75</v>
      </c>
      <c r="H10" s="50"/>
      <c r="I10" s="51">
        <v>1.1259999999999999</v>
      </c>
      <c r="J10" s="51"/>
      <c r="K10" s="52">
        <f>ROUND(G10*I10,4)</f>
        <v>353.28250000000003</v>
      </c>
      <c r="L10" s="53">
        <f>ROUND(ROUND(K10*$G$7,4)*($K$7),0)</f>
        <v>1465660</v>
      </c>
      <c r="N10" s="54">
        <v>5101</v>
      </c>
      <c r="O10" s="55">
        <v>101</v>
      </c>
      <c r="Q10" s="56"/>
      <c r="V10" s="391" t="s">
        <v>27</v>
      </c>
      <c r="W10" s="391"/>
      <c r="X10" s="392">
        <f>IF('3395'!K$84=1,'3395'!G10,0)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18.98</v>
      </c>
      <c r="E11" s="14">
        <v>20.02</v>
      </c>
      <c r="F11" s="14">
        <v>0</v>
      </c>
      <c r="G11" s="49">
        <f t="shared" ref="G11:G25" si="2">IF($B$154&lt;8,D11*2,D11+E11)</f>
        <v>39</v>
      </c>
      <c r="H11" s="50"/>
      <c r="I11" s="59">
        <f>I10</f>
        <v>1.1259999999999999</v>
      </c>
      <c r="J11" s="59"/>
      <c r="K11" s="52">
        <f t="shared" ref="K11:K25" si="3">ROUND(G11*I11,4)</f>
        <v>43.914000000000001</v>
      </c>
      <c r="L11" s="53">
        <f t="shared" ref="L11:L25" si="4">ROUND(ROUND(K11*$G$7,4)*($K$7),0)</f>
        <v>182186</v>
      </c>
      <c r="M11" s="1" t="str">
        <f>IF(ROUND(G11,2)=ROUND(SUM(G28:G30),2)," ","CHECK 2. PK-3 Lines Below")</f>
        <v xml:space="preserve"> </v>
      </c>
      <c r="N11" s="54">
        <v>5101</v>
      </c>
      <c r="O11" s="60" t="s">
        <v>30</v>
      </c>
      <c r="Q11" s="56"/>
      <c r="V11" s="402" t="s">
        <v>29</v>
      </c>
      <c r="W11" s="402"/>
      <c r="X11" s="392">
        <f>IF('3395'!K$84=1,'3395'!G11,0)</f>
        <v>0</v>
      </c>
      <c r="Y11" s="392"/>
      <c r="Z11" s="403">
        <v>1</v>
      </c>
      <c r="AA11" s="403"/>
      <c r="AB11" s="57">
        <f t="shared" si="0"/>
        <v>0</v>
      </c>
      <c r="AC11" s="58">
        <f t="shared" si="1"/>
        <v>0</v>
      </c>
      <c r="AD11" s="9"/>
    </row>
    <row r="12" spans="1:30" x14ac:dyDescent="0.3">
      <c r="A12" s="1" t="s">
        <v>31</v>
      </c>
      <c r="B12" s="14" t="s">
        <v>32</v>
      </c>
      <c r="C12" s="14"/>
      <c r="D12" s="14">
        <v>67.39</v>
      </c>
      <c r="E12" s="14">
        <v>67.400000000000006</v>
      </c>
      <c r="F12" s="14">
        <v>0</v>
      </c>
      <c r="G12" s="49">
        <f t="shared" si="2"/>
        <v>134.79000000000002</v>
      </c>
      <c r="H12" s="50"/>
      <c r="I12" s="59">
        <v>1</v>
      </c>
      <c r="J12" s="59"/>
      <c r="K12" s="52">
        <f t="shared" si="3"/>
        <v>134.79</v>
      </c>
      <c r="L12" s="53">
        <f t="shared" si="4"/>
        <v>559202</v>
      </c>
      <c r="N12" s="54">
        <v>5102</v>
      </c>
      <c r="O12" s="55">
        <v>102</v>
      </c>
      <c r="Q12" s="56"/>
      <c r="V12" s="402" t="s">
        <v>32</v>
      </c>
      <c r="W12" s="402"/>
      <c r="X12" s="392">
        <f>IF('3395'!K$84=1,'3395'!G12,0)</f>
        <v>0</v>
      </c>
      <c r="Y12" s="392"/>
      <c r="Z12" s="403">
        <v>1</v>
      </c>
      <c r="AA12" s="403"/>
      <c r="AB12" s="57">
        <f t="shared" si="0"/>
        <v>0</v>
      </c>
      <c r="AC12" s="58">
        <f t="shared" si="1"/>
        <v>0</v>
      </c>
      <c r="AD12" s="9"/>
    </row>
    <row r="13" spans="1:30" x14ac:dyDescent="0.3">
      <c r="A13" s="1" t="s">
        <v>33</v>
      </c>
      <c r="B13" s="14" t="s">
        <v>34</v>
      </c>
      <c r="C13" s="14"/>
      <c r="D13" s="14">
        <v>7</v>
      </c>
      <c r="E13" s="14">
        <v>6.49</v>
      </c>
      <c r="F13" s="14">
        <v>0</v>
      </c>
      <c r="G13" s="49">
        <f t="shared" si="2"/>
        <v>13.49</v>
      </c>
      <c r="H13" s="50"/>
      <c r="I13" s="59">
        <f>I12</f>
        <v>1</v>
      </c>
      <c r="J13" s="59"/>
      <c r="K13" s="52">
        <f t="shared" si="3"/>
        <v>13.49</v>
      </c>
      <c r="L13" s="53">
        <f t="shared" si="4"/>
        <v>55966</v>
      </c>
      <c r="M13" s="1" t="str">
        <f>IF(ROUND(G13,2)=ROUND(SUM(G31:G33),2)," ","CHECK 2. 4-8 Lines Below")</f>
        <v xml:space="preserve"> </v>
      </c>
      <c r="N13" s="54">
        <v>5102</v>
      </c>
      <c r="O13" s="60" t="s">
        <v>35</v>
      </c>
      <c r="Q13" s="56"/>
      <c r="V13" s="402" t="s">
        <v>34</v>
      </c>
      <c r="W13" s="402"/>
      <c r="X13" s="392">
        <f>IF('3395'!K$84=1,'3395'!G13,0)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IF('3395'!K$84=1,'3395'!G14,0)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IF('3395'!K$84=1,'3395'!G15,0)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IF('3395'!K$84=1,'3395'!G16,0)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IF('3395'!K$84=1,'3395'!G17,0)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IF('3395'!K$84=1,'3395'!G18,0)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IF('3395'!K$84=1,'3395'!G19,0)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IF('3395'!K$84=1,'3395'!G20,0)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IF('3395'!K$84=1,'3395'!G21,0)</f>
        <v>0</v>
      </c>
      <c r="Y21" s="392"/>
      <c r="Z21" s="403">
        <v>1</v>
      </c>
      <c r="AA21" s="403"/>
      <c r="AB21" s="57">
        <f t="shared" si="0"/>
        <v>0</v>
      </c>
      <c r="AC21" s="58">
        <f t="shared" si="1"/>
        <v>0</v>
      </c>
      <c r="AD21" s="9"/>
    </row>
    <row r="22" spans="1:30" ht="16.2" x14ac:dyDescent="0.35">
      <c r="A22" s="1" t="s">
        <v>53</v>
      </c>
      <c r="B22" s="14" t="s">
        <v>54</v>
      </c>
      <c r="C22" s="14"/>
      <c r="D22" s="14">
        <v>5.92</v>
      </c>
      <c r="E22" s="14">
        <v>6.36</v>
      </c>
      <c r="F22" s="14">
        <v>0</v>
      </c>
      <c r="G22" s="49">
        <f t="shared" si="2"/>
        <v>12.280000000000001</v>
      </c>
      <c r="H22" s="50"/>
      <c r="I22" s="59">
        <v>1.147</v>
      </c>
      <c r="J22" s="59"/>
      <c r="K22" s="52">
        <f t="shared" si="3"/>
        <v>14.0852</v>
      </c>
      <c r="L22" s="53">
        <f t="shared" si="4"/>
        <v>58435</v>
      </c>
      <c r="N22" s="54">
        <v>5101</v>
      </c>
      <c r="O22" s="55">
        <v>130</v>
      </c>
      <c r="Q22" s="56"/>
      <c r="V22" s="402" t="s">
        <v>54</v>
      </c>
      <c r="W22" s="402"/>
      <c r="X22" s="392">
        <f>IF('3395'!K$84=1,'3395'!G22,0)</f>
        <v>0</v>
      </c>
      <c r="Y22" s="392"/>
      <c r="Z22" s="403">
        <v>1</v>
      </c>
      <c r="AA22" s="403"/>
      <c r="AB22" s="57">
        <f t="shared" si="0"/>
        <v>0</v>
      </c>
      <c r="AC22" s="58">
        <f t="shared" si="1"/>
        <v>0</v>
      </c>
      <c r="AD22" s="9"/>
    </row>
    <row r="23" spans="1:30" ht="16.2" x14ac:dyDescent="0.35">
      <c r="A23" s="1" t="s">
        <v>55</v>
      </c>
      <c r="B23" s="14" t="s">
        <v>56</v>
      </c>
      <c r="C23" s="14"/>
      <c r="D23" s="14">
        <v>2.1</v>
      </c>
      <c r="E23" s="14">
        <v>2.1</v>
      </c>
      <c r="F23" s="14">
        <v>0</v>
      </c>
      <c r="G23" s="49">
        <f t="shared" si="2"/>
        <v>4.2</v>
      </c>
      <c r="H23" s="50"/>
      <c r="I23" s="59">
        <f>I22</f>
        <v>1.147</v>
      </c>
      <c r="J23" s="59"/>
      <c r="K23" s="52">
        <f t="shared" si="3"/>
        <v>4.8174000000000001</v>
      </c>
      <c r="L23" s="53">
        <f t="shared" si="4"/>
        <v>19986</v>
      </c>
      <c r="N23" s="54">
        <v>5102</v>
      </c>
      <c r="O23" s="55">
        <v>130</v>
      </c>
      <c r="Q23" s="56"/>
      <c r="V23" s="402" t="s">
        <v>56</v>
      </c>
      <c r="W23" s="402"/>
      <c r="X23" s="392">
        <f>IF('3395'!K$84=1,'3395'!G23,0)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IF('3395'!K$84=1,'3395'!G24,0)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IF('3395'!K$84=1,'3395'!G25,0)</f>
        <v>0</v>
      </c>
      <c r="Y25" s="392"/>
      <c r="Z25" s="403">
        <v>1</v>
      </c>
      <c r="AA25" s="403"/>
      <c r="AB25" s="57">
        <f t="shared" si="0"/>
        <v>0</v>
      </c>
      <c r="AC25" s="58">
        <f t="shared" si="1"/>
        <v>0</v>
      </c>
      <c r="AD25" s="9"/>
    </row>
    <row r="26" spans="1:30" ht="20.25" customHeight="1" thickBot="1" x14ac:dyDescent="0.35">
      <c r="B26" s="63" t="s">
        <v>61</v>
      </c>
      <c r="C26" s="63"/>
      <c r="D26" s="64">
        <f t="shared" ref="D26:E26" si="5">SUM(D10:D25)</f>
        <v>259.48</v>
      </c>
      <c r="E26" s="64">
        <f t="shared" si="5"/>
        <v>258.03000000000003</v>
      </c>
      <c r="F26" s="64"/>
      <c r="G26" s="64">
        <f>SUM(G10:G25)</f>
        <v>517.5100000000001</v>
      </c>
      <c r="H26" s="65"/>
      <c r="I26" s="65"/>
      <c r="J26" s="66"/>
      <c r="K26" s="67">
        <f>SUM(K10:K25)</f>
        <v>564.37909999999999</v>
      </c>
      <c r="L26" s="68">
        <f>SUM(L10:L25)</f>
        <v>2341435</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18.48</v>
      </c>
      <c r="E28" s="14">
        <v>19.02</v>
      </c>
      <c r="F28" s="79">
        <v>0</v>
      </c>
      <c r="G28" s="49">
        <f t="shared" ref="G28:G36" si="6">IF($B$154&lt;8,D28*2,D28+E28)</f>
        <v>37.5</v>
      </c>
      <c r="H28" s="80"/>
      <c r="I28" s="81" t="s">
        <v>69</v>
      </c>
      <c r="J28" s="54">
        <v>251</v>
      </c>
      <c r="K28" s="82">
        <v>1047</v>
      </c>
      <c r="L28" s="83">
        <f>ROUND(G28*K28,0)</f>
        <v>39263</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0.5</v>
      </c>
      <c r="E29" s="14">
        <v>1</v>
      </c>
      <c r="F29" s="90">
        <v>0</v>
      </c>
      <c r="G29" s="49">
        <f t="shared" si="6"/>
        <v>1.5</v>
      </c>
      <c r="H29" s="80"/>
      <c r="I29" s="54" t="s">
        <v>69</v>
      </c>
      <c r="J29" s="54">
        <v>252</v>
      </c>
      <c r="K29" s="82">
        <v>3380</v>
      </c>
      <c r="L29" s="83">
        <f t="shared" ref="L29:L36" si="8">ROUND(G29*K29,0)</f>
        <v>5070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7</v>
      </c>
      <c r="E31" s="14">
        <v>6.49</v>
      </c>
      <c r="F31" s="90">
        <v>0</v>
      </c>
      <c r="G31" s="49">
        <f t="shared" si="6"/>
        <v>13.49</v>
      </c>
      <c r="H31" s="80"/>
      <c r="I31" s="91" t="s">
        <v>73</v>
      </c>
      <c r="J31" s="54">
        <v>251</v>
      </c>
      <c r="K31" s="82">
        <v>1173</v>
      </c>
      <c r="L31" s="83">
        <f t="shared" si="8"/>
        <v>15824</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25.98</v>
      </c>
      <c r="E37" s="64">
        <f t="shared" si="10"/>
        <v>26.509999999999998</v>
      </c>
      <c r="F37" s="64"/>
      <c r="G37" s="64">
        <f>SUM(G28:G36)</f>
        <v>52.49</v>
      </c>
      <c r="H37" s="65"/>
      <c r="I37" s="14" t="s">
        <v>81</v>
      </c>
      <c r="J37" s="14"/>
      <c r="K37" s="14"/>
      <c r="L37" s="53">
        <f>SUM(L28:L36)</f>
        <v>60157</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98844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2500436</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411.2817</v>
      </c>
      <c r="D47" s="123"/>
      <c r="E47" s="123"/>
      <c r="F47" s="123"/>
      <c r="G47" s="124">
        <f>K7</f>
        <v>1.0289999999999999</v>
      </c>
      <c r="H47" s="124"/>
      <c r="I47" s="125">
        <v>1325.01</v>
      </c>
      <c r="J47" s="126" t="s">
        <v>96</v>
      </c>
      <c r="K47" s="127">
        <f>ROUND(C47*G47*I47,0)</f>
        <v>560756</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153.09739999999999</v>
      </c>
      <c r="D48" s="123"/>
      <c r="E48" s="123"/>
      <c r="F48" s="123"/>
      <c r="G48" s="124">
        <f>K7</f>
        <v>1.0289999999999999</v>
      </c>
      <c r="H48" s="124"/>
      <c r="I48" s="125">
        <v>903.8</v>
      </c>
      <c r="J48" s="126" t="s">
        <v>96</v>
      </c>
      <c r="K48" s="127">
        <f>ROUND(C48*G48*I48,0)</f>
        <v>142382</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564.37909999999999</v>
      </c>
      <c r="D50" s="146"/>
      <c r="E50" s="147"/>
      <c r="F50" s="147"/>
      <c r="G50" s="148" t="s">
        <v>98</v>
      </c>
      <c r="H50" s="148"/>
      <c r="I50" s="148"/>
      <c r="J50" s="148"/>
      <c r="K50" s="148"/>
      <c r="L50" s="53">
        <f>IF(B2=75,0,K49+K48+K47)</f>
        <v>703138</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564.37909999999999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2.8500000000000001E-3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517.5100000000001</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2.8530000000000001E-3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2.8500000000000001E-3</v>
      </c>
      <c r="L59" s="53">
        <f>ROUND(I59*K59,0)</f>
        <v>12058</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2.8500000000000001E-3</v>
      </c>
      <c r="L67" s="53">
        <f>ROUND(I67*K67,0)</f>
        <v>295541</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2.8530000000000001E-3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2.8500000000000001E-3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2.8500000000000001E-3</v>
      </c>
      <c r="L71" s="53">
        <f>ROUND(I71*K71,0)</f>
        <v>5317</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2.8530000000000001E-3</v>
      </c>
      <c r="L72" s="53">
        <f>ROUND(I72*K72,0)</f>
        <v>39839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110.5</v>
      </c>
      <c r="AA74" s="173" t="s">
        <v>130</v>
      </c>
      <c r="AB74" s="174">
        <f>+K75</f>
        <v>361</v>
      </c>
      <c r="AC74" s="58">
        <f>ROUND(AB74*Z74,0)</f>
        <v>39891</v>
      </c>
      <c r="AD74" s="9"/>
    </row>
    <row r="75" spans="1:30" ht="19.5" customHeight="1" x14ac:dyDescent="0.3">
      <c r="A75" s="1" t="s">
        <v>131</v>
      </c>
      <c r="B75" s="175" t="s">
        <v>128</v>
      </c>
      <c r="C75" s="176" t="s">
        <v>129</v>
      </c>
      <c r="D75" s="175">
        <v>107</v>
      </c>
      <c r="E75" s="175">
        <v>114</v>
      </c>
      <c r="F75" s="175">
        <v>0</v>
      </c>
      <c r="G75" s="177">
        <f>IF($B$154&lt;8,D75,E75)</f>
        <v>114</v>
      </c>
      <c r="H75" s="178"/>
      <c r="I75" s="179">
        <f>AVERAGE(G75,D75)</f>
        <v>110.5</v>
      </c>
      <c r="J75" s="180" t="s">
        <v>130</v>
      </c>
      <c r="K75" s="181">
        <v>361</v>
      </c>
      <c r="L75" s="53">
        <f>ROUND(K75*I75,0)</f>
        <v>39891</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2.8530000000000001E-3</v>
      </c>
      <c r="L77" s="53">
        <f>ROUND(I77*K77,0)</f>
        <v>4899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2.8500000000000001E-3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39891</v>
      </c>
      <c r="AD81" s="197"/>
    </row>
    <row r="82" spans="1:30" ht="22.5" customHeight="1" thickTop="1" thickBot="1" x14ac:dyDescent="0.35">
      <c r="B82" s="14" t="s">
        <v>140</v>
      </c>
      <c r="C82" s="14"/>
      <c r="D82" s="14"/>
      <c r="E82" s="14"/>
      <c r="F82" s="14"/>
      <c r="G82" s="14"/>
      <c r="H82" s="14"/>
      <c r="I82" s="14"/>
      <c r="J82" s="14"/>
      <c r="K82" s="14"/>
      <c r="L82" s="198">
        <f>SUM(L44:L81)</f>
        <v>3601119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'3395'!AC81</f>
        <v>39891</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3601119</v>
      </c>
      <c r="L86" s="83">
        <f>IF(G26=0,0,IF(G26&gt;250,-(((250/G26)*K86)*IF(M86="H",0.02,0.05)),IF(M86="H",-0.02*K86,-0.05*K86)))</f>
        <v>-86981.869915557167</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3514137.1300844429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-292845</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3221292.1300844429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292844.73909858573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93074.080084442845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322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323</v>
      </c>
      <c r="C123" s="221" t="s">
        <v>199</v>
      </c>
    </row>
    <row r="124" spans="2:3" hidden="1" x14ac:dyDescent="0.3">
      <c r="B124" s="225" t="s">
        <v>324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41808.602673611102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322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323</v>
      </c>
      <c r="C164" s="235" t="s">
        <v>244</v>
      </c>
      <c r="D164" s="231"/>
    </row>
    <row r="165" spans="1:4" hidden="1" x14ac:dyDescent="0.3">
      <c r="A165" s="230" t="s">
        <v>245</v>
      </c>
      <c r="B165" s="234" t="s">
        <v>324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41808.602673611102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'3396'!B2</f>
        <v>50</v>
      </c>
      <c r="W2" s="380" t="s">
        <v>4</v>
      </c>
      <c r="X2" s="381"/>
      <c r="Y2" s="382"/>
      <c r="Z2" s="382"/>
      <c r="AA2" s="382"/>
      <c r="AB2" s="382"/>
      <c r="AC2" s="382"/>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'3396'!G7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IF('3396'!K$84=1,'3396'!G10,0)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IF('3396'!K$84=1,'3396'!G11,0)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IF('3396'!K$84=1,'3396'!G12,0)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IF('3396'!K$84=1,'3396'!G13,0)</f>
        <v>0</v>
      </c>
      <c r="Y13" s="392"/>
      <c r="Z13" s="403">
        <v>1</v>
      </c>
      <c r="AA13" s="403"/>
      <c r="AB13" s="57">
        <f t="shared" si="0"/>
        <v>0</v>
      </c>
      <c r="AC13" s="58">
        <f t="shared" si="1"/>
        <v>0</v>
      </c>
      <c r="AD13" s="9"/>
    </row>
    <row r="14" spans="1:30" x14ac:dyDescent="0.3">
      <c r="A14" s="1" t="s">
        <v>36</v>
      </c>
      <c r="B14" s="14" t="s">
        <v>37</v>
      </c>
      <c r="C14" s="14"/>
      <c r="D14" s="14">
        <v>438.4</v>
      </c>
      <c r="E14" s="14">
        <v>436.01</v>
      </c>
      <c r="F14" s="14">
        <v>0</v>
      </c>
      <c r="G14" s="49">
        <f t="shared" si="2"/>
        <v>874.41</v>
      </c>
      <c r="H14" s="50"/>
      <c r="I14" s="59">
        <v>1.004</v>
      </c>
      <c r="J14" s="59"/>
      <c r="K14" s="52">
        <f t="shared" si="3"/>
        <v>877.9076</v>
      </c>
      <c r="L14" s="53">
        <f t="shared" si="4"/>
        <v>3642168</v>
      </c>
      <c r="N14" s="54">
        <v>5103</v>
      </c>
      <c r="O14" s="55">
        <v>103</v>
      </c>
      <c r="Q14" s="56"/>
      <c r="V14" s="402" t="s">
        <v>37</v>
      </c>
      <c r="W14" s="402"/>
      <c r="X14" s="392">
        <f>IF('3396'!K$84=1,'3396'!G14,0)</f>
        <v>0</v>
      </c>
      <c r="Y14" s="392"/>
      <c r="Z14" s="403">
        <v>1</v>
      </c>
      <c r="AA14" s="403"/>
      <c r="AB14" s="57">
        <f t="shared" si="0"/>
        <v>0</v>
      </c>
      <c r="AC14" s="58">
        <f t="shared" si="1"/>
        <v>0</v>
      </c>
      <c r="AD14" s="9"/>
    </row>
    <row r="15" spans="1:30" x14ac:dyDescent="0.3">
      <c r="A15" s="1" t="s">
        <v>38</v>
      </c>
      <c r="B15" s="14" t="s">
        <v>39</v>
      </c>
      <c r="C15" s="14"/>
      <c r="D15" s="14">
        <v>40.74</v>
      </c>
      <c r="E15" s="14">
        <v>39.94</v>
      </c>
      <c r="F15" s="14">
        <v>0</v>
      </c>
      <c r="G15" s="49">
        <f t="shared" si="2"/>
        <v>80.680000000000007</v>
      </c>
      <c r="H15" s="50"/>
      <c r="I15" s="59">
        <f>I14</f>
        <v>1.004</v>
      </c>
      <c r="J15" s="59"/>
      <c r="K15" s="52">
        <f t="shared" si="3"/>
        <v>81.002700000000004</v>
      </c>
      <c r="L15" s="61">
        <f t="shared" si="4"/>
        <v>336055</v>
      </c>
      <c r="M15" s="1" t="str">
        <f>IF(ROUND(G15,2)=ROUND(SUM(G34:G36),2)," ","CHECK 2. 9-12 Lines Below")</f>
        <v xml:space="preserve"> </v>
      </c>
      <c r="N15" s="54">
        <v>5103</v>
      </c>
      <c r="O15" s="60" t="s">
        <v>40</v>
      </c>
      <c r="Q15" s="56"/>
      <c r="V15" s="402" t="s">
        <v>39</v>
      </c>
      <c r="W15" s="402"/>
      <c r="X15" s="392">
        <f>IF('3396'!K$84=1,'3396'!G15,0)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IF('3396'!K$84=1,'3396'!G16,0)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IF('3396'!K$84=1,'3396'!G17,0)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IF('3396'!K$84=1,'3396'!G18,0)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IF('3396'!K$84=1,'3396'!G19,0)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IF('3396'!K$84=1,'3396'!G20,0)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IF('3396'!K$84=1,'3396'!G21,0)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IF('3396'!K$84=1,'3396'!G22,0)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IF('3396'!K$84=1,'3396'!G23,0)</f>
        <v>0</v>
      </c>
      <c r="Y23" s="392"/>
      <c r="Z23" s="403">
        <v>1</v>
      </c>
      <c r="AA23" s="403"/>
      <c r="AB23" s="57">
        <f t="shared" si="0"/>
        <v>0</v>
      </c>
      <c r="AC23" s="58">
        <f t="shared" si="1"/>
        <v>0</v>
      </c>
      <c r="AD23" s="9"/>
    </row>
    <row r="24" spans="1:30" ht="16.2" x14ac:dyDescent="0.35">
      <c r="A24" s="1" t="s">
        <v>57</v>
      </c>
      <c r="B24" s="14" t="s">
        <v>58</v>
      </c>
      <c r="C24" s="14"/>
      <c r="D24" s="14">
        <v>0.28999999999999998</v>
      </c>
      <c r="E24" s="14">
        <v>0.56999999999999995</v>
      </c>
      <c r="F24" s="14">
        <v>0</v>
      </c>
      <c r="G24" s="49">
        <f t="shared" si="2"/>
        <v>0.85999999999999988</v>
      </c>
      <c r="H24" s="50"/>
      <c r="I24" s="59">
        <f>I23</f>
        <v>1.147</v>
      </c>
      <c r="J24" s="59"/>
      <c r="K24" s="52">
        <f t="shared" si="3"/>
        <v>0.98640000000000005</v>
      </c>
      <c r="L24" s="53">
        <f t="shared" si="4"/>
        <v>4092</v>
      </c>
      <c r="N24" s="54">
        <v>5103</v>
      </c>
      <c r="O24" s="55">
        <v>130</v>
      </c>
      <c r="Q24" s="56"/>
      <c r="V24" s="402" t="s">
        <v>58</v>
      </c>
      <c r="W24" s="402"/>
      <c r="X24" s="392">
        <f>IF('3396'!K$84=1,'3396'!G24,0)</f>
        <v>0</v>
      </c>
      <c r="Y24" s="392"/>
      <c r="Z24" s="403">
        <v>1</v>
      </c>
      <c r="AA24" s="403"/>
      <c r="AB24" s="57">
        <f t="shared" si="0"/>
        <v>0</v>
      </c>
      <c r="AC24" s="58">
        <f t="shared" si="1"/>
        <v>0</v>
      </c>
      <c r="AD24" s="9"/>
    </row>
    <row r="25" spans="1:30" ht="16.8" thickBot="1" x14ac:dyDescent="0.4">
      <c r="A25" s="1" t="s">
        <v>59</v>
      </c>
      <c r="B25" s="14" t="s">
        <v>60</v>
      </c>
      <c r="C25" s="14"/>
      <c r="D25" s="14">
        <v>47.64</v>
      </c>
      <c r="E25" s="14">
        <v>46.9</v>
      </c>
      <c r="F25" s="14">
        <v>0</v>
      </c>
      <c r="G25" s="49">
        <f t="shared" si="2"/>
        <v>94.539999999999992</v>
      </c>
      <c r="H25" s="50"/>
      <c r="I25" s="59">
        <v>1.004</v>
      </c>
      <c r="J25" s="59"/>
      <c r="K25" s="52">
        <f t="shared" si="3"/>
        <v>94.918199999999999</v>
      </c>
      <c r="L25" s="53">
        <f t="shared" si="4"/>
        <v>393786</v>
      </c>
      <c r="N25" s="54">
        <v>5310</v>
      </c>
      <c r="O25" s="55">
        <v>300</v>
      </c>
      <c r="Q25" s="56"/>
      <c r="V25" s="402" t="s">
        <v>60</v>
      </c>
      <c r="W25" s="402"/>
      <c r="X25" s="392">
        <f>IF('3396'!K$84=1,'3396'!G25,0)</f>
        <v>0</v>
      </c>
      <c r="Y25" s="392"/>
      <c r="Z25" s="403">
        <v>1</v>
      </c>
      <c r="AA25" s="403"/>
      <c r="AB25" s="57">
        <f t="shared" si="0"/>
        <v>0</v>
      </c>
      <c r="AC25" s="58">
        <f t="shared" si="1"/>
        <v>0</v>
      </c>
      <c r="AD25" s="9"/>
    </row>
    <row r="26" spans="1:30" ht="20.25" customHeight="1" thickBot="1" x14ac:dyDescent="0.35">
      <c r="B26" s="63" t="s">
        <v>61</v>
      </c>
      <c r="C26" s="63"/>
      <c r="D26" s="64">
        <f t="shared" ref="D26:E26" si="5">SUM(D10:D25)</f>
        <v>527.07000000000005</v>
      </c>
      <c r="E26" s="64">
        <f t="shared" si="5"/>
        <v>523.41999999999996</v>
      </c>
      <c r="F26" s="64"/>
      <c r="G26" s="64">
        <f>SUM(G10:G25)</f>
        <v>1050.49</v>
      </c>
      <c r="H26" s="65"/>
      <c r="I26" s="65"/>
      <c r="J26" s="66"/>
      <c r="K26" s="67">
        <f>SUM(K10:K25)</f>
        <v>1054.8149000000001</v>
      </c>
      <c r="L26" s="68">
        <f>SUM(L10:L25)</f>
        <v>4376101</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40.74</v>
      </c>
      <c r="E34" s="14">
        <v>39.94</v>
      </c>
      <c r="F34" s="90">
        <v>0</v>
      </c>
      <c r="G34" s="49">
        <f t="shared" si="6"/>
        <v>80.680000000000007</v>
      </c>
      <c r="H34" s="80"/>
      <c r="I34" s="91" t="s">
        <v>77</v>
      </c>
      <c r="J34" s="54">
        <v>251</v>
      </c>
      <c r="K34" s="82">
        <v>835</v>
      </c>
      <c r="L34" s="83">
        <f t="shared" si="8"/>
        <v>67368</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40.74</v>
      </c>
      <c r="E37" s="64">
        <f t="shared" si="10"/>
        <v>39.94</v>
      </c>
      <c r="F37" s="64"/>
      <c r="G37" s="64">
        <f>SUM(G28:G36)</f>
        <v>80.680000000000007</v>
      </c>
      <c r="H37" s="65"/>
      <c r="I37" s="14" t="s">
        <v>81</v>
      </c>
      <c r="J37" s="14"/>
      <c r="K37" s="14"/>
      <c r="L37" s="53">
        <f>SUM(L28:L36)</f>
        <v>67368</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200644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4644113</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1054.8149000000001</v>
      </c>
      <c r="D49" s="123"/>
      <c r="E49" s="123"/>
      <c r="F49" s="123"/>
      <c r="G49" s="124">
        <f>K7</f>
        <v>1.0289999999999999</v>
      </c>
      <c r="H49" s="124"/>
      <c r="I49" s="125">
        <v>905.98</v>
      </c>
      <c r="J49" s="126" t="s">
        <v>96</v>
      </c>
      <c r="K49" s="127">
        <f>ROUND(C49*G49*I49,0)</f>
        <v>983355</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1054.8149000000001</v>
      </c>
      <c r="D50" s="146"/>
      <c r="E50" s="147"/>
      <c r="F50" s="147"/>
      <c r="G50" s="148" t="s">
        <v>98</v>
      </c>
      <c r="H50" s="148"/>
      <c r="I50" s="148"/>
      <c r="J50" s="148"/>
      <c r="K50" s="148"/>
      <c r="L50" s="53">
        <f>IF(B2=75,0,K49+K48+K47)</f>
        <v>983355</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1054.8149000000001</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5.326E-3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1050.49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5.7920000000000003E-3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5.326E-3</v>
      </c>
      <c r="L59" s="53">
        <f>ROUND(I59*K59,0)</f>
        <v>22534</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5.326E-3</v>
      </c>
      <c r="L67" s="53">
        <f>ROUND(I67*K67,0)</f>
        <v>552299</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5.7920000000000003E-3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5.326E-3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5.326E-3</v>
      </c>
      <c r="L71" s="53">
        <f>ROUND(I71*K71,0)</f>
        <v>9937</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5.7920000000000003E-3</v>
      </c>
      <c r="L72" s="53">
        <f>ROUND(I72*K72,0)</f>
        <v>80879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624.5</v>
      </c>
      <c r="AA74" s="173" t="s">
        <v>130</v>
      </c>
      <c r="AB74" s="174">
        <f>+K75</f>
        <v>361</v>
      </c>
      <c r="AC74" s="58">
        <f>ROUND(AB74*Z74,0)</f>
        <v>225445</v>
      </c>
      <c r="AD74" s="9"/>
    </row>
    <row r="75" spans="1:30" ht="19.5" customHeight="1" x14ac:dyDescent="0.3">
      <c r="A75" s="1" t="s">
        <v>131</v>
      </c>
      <c r="B75" s="175" t="s">
        <v>128</v>
      </c>
      <c r="C75" s="176" t="s">
        <v>129</v>
      </c>
      <c r="D75" s="175">
        <v>594</v>
      </c>
      <c r="E75" s="175">
        <v>655</v>
      </c>
      <c r="F75" s="175">
        <v>0</v>
      </c>
      <c r="G75" s="177">
        <f>IF($B$154&lt;8,D75,E75)</f>
        <v>655</v>
      </c>
      <c r="H75" s="178"/>
      <c r="I75" s="179">
        <f>AVERAGE(G75,D75)</f>
        <v>624.5</v>
      </c>
      <c r="J75" s="180" t="s">
        <v>130</v>
      </c>
      <c r="K75" s="181">
        <v>361</v>
      </c>
      <c r="L75" s="53">
        <f>ROUND(K75*I75,0)</f>
        <v>225445</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5.7920000000000003E-3</v>
      </c>
      <c r="L77" s="53">
        <f>ROUND(I77*K77,0)</f>
        <v>9945</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5.326E-3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225445</v>
      </c>
      <c r="AD81" s="197"/>
    </row>
    <row r="82" spans="1:30" ht="22.5" customHeight="1" thickTop="1" thickBot="1" x14ac:dyDescent="0.35">
      <c r="B82" s="14" t="s">
        <v>140</v>
      </c>
      <c r="C82" s="14"/>
      <c r="D82" s="14"/>
      <c r="E82" s="14"/>
      <c r="F82" s="14"/>
      <c r="G82" s="14"/>
      <c r="H82" s="14"/>
      <c r="I82" s="14"/>
      <c r="J82" s="14"/>
      <c r="K82" s="14"/>
      <c r="L82" s="198">
        <f>SUM(L44:L81)</f>
        <v>6528507</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'3396'!AC81</f>
        <v>225445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6528507</v>
      </c>
      <c r="L86" s="83">
        <f>IF(G26=0,0,IF(G26&gt;250,-(((250/G26)*K86)*IF(M86="H",0.02,0.05)),IF(M86="H",-0.02*K86,-0.05*K86)))</f>
        <v>-31073.627545240794</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6497433.3724547597</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-541453</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5955980.3724547597</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541452.76113225089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99496.512454759213</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325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326</v>
      </c>
      <c r="C123" s="221" t="s">
        <v>199</v>
      </c>
    </row>
    <row r="124" spans="2:3" hidden="1" x14ac:dyDescent="0.3">
      <c r="B124" s="225" t="s">
        <v>327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41808.6026851852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325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326</v>
      </c>
      <c r="C164" s="235" t="s">
        <v>244</v>
      </c>
      <c r="D164" s="231"/>
    </row>
    <row r="165" spans="1:4" hidden="1" x14ac:dyDescent="0.3">
      <c r="A165" s="230" t="s">
        <v>245</v>
      </c>
      <c r="B165" s="234" t="s">
        <v>327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41808.6026851852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'3398'!B2</f>
        <v>50</v>
      </c>
      <c r="W2" s="380" t="s">
        <v>4</v>
      </c>
      <c r="X2" s="381"/>
      <c r="Y2" s="382"/>
      <c r="Z2" s="382"/>
      <c r="AA2" s="382"/>
      <c r="AB2" s="382"/>
      <c r="AC2" s="382"/>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'3398'!G7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IF('3398'!K$84=1,'3398'!G10,0)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IF('3398'!K$84=1,'3398'!G11,0)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IF('3398'!K$84=1,'3398'!G12,0)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IF('3398'!K$84=1,'3398'!G13,0)</f>
        <v>0</v>
      </c>
      <c r="Y13" s="392"/>
      <c r="Z13" s="403">
        <v>1</v>
      </c>
      <c r="AA13" s="403"/>
      <c r="AB13" s="57">
        <f t="shared" si="0"/>
        <v>0</v>
      </c>
      <c r="AC13" s="58">
        <f t="shared" si="1"/>
        <v>0</v>
      </c>
      <c r="AD13" s="9"/>
    </row>
    <row r="14" spans="1:30" x14ac:dyDescent="0.3">
      <c r="A14" s="1" t="s">
        <v>36</v>
      </c>
      <c r="B14" s="14" t="s">
        <v>37</v>
      </c>
      <c r="C14" s="14"/>
      <c r="D14" s="14">
        <v>27.87</v>
      </c>
      <c r="E14" s="14">
        <v>31.04</v>
      </c>
      <c r="F14" s="14">
        <v>0</v>
      </c>
      <c r="G14" s="49">
        <f t="shared" si="2"/>
        <v>58.91</v>
      </c>
      <c r="H14" s="50"/>
      <c r="I14" s="59">
        <v>1.004</v>
      </c>
      <c r="J14" s="59"/>
      <c r="K14" s="52">
        <f t="shared" si="3"/>
        <v>59.145600000000002</v>
      </c>
      <c r="L14" s="53">
        <f t="shared" si="4"/>
        <v>245377</v>
      </c>
      <c r="N14" s="54">
        <v>5103</v>
      </c>
      <c r="O14" s="55">
        <v>103</v>
      </c>
      <c r="Q14" s="56"/>
      <c r="V14" s="402" t="s">
        <v>37</v>
      </c>
      <c r="W14" s="402"/>
      <c r="X14" s="392">
        <f>IF('3398'!K$84=1,'3398'!G14,0)</f>
        <v>0</v>
      </c>
      <c r="Y14" s="392"/>
      <c r="Z14" s="403">
        <v>1</v>
      </c>
      <c r="AA14" s="403"/>
      <c r="AB14" s="57">
        <f t="shared" si="0"/>
        <v>0</v>
      </c>
      <c r="AC14" s="58">
        <f t="shared" si="1"/>
        <v>0</v>
      </c>
      <c r="AD14" s="9"/>
    </row>
    <row r="15" spans="1:30" x14ac:dyDescent="0.3">
      <c r="A15" s="1" t="s">
        <v>38</v>
      </c>
      <c r="B15" s="14" t="s">
        <v>39</v>
      </c>
      <c r="C15" s="14"/>
      <c r="D15" s="14">
        <v>13.54</v>
      </c>
      <c r="E15" s="14">
        <v>14.4</v>
      </c>
      <c r="F15" s="14">
        <v>0</v>
      </c>
      <c r="G15" s="49">
        <f t="shared" si="2"/>
        <v>27.939999999999998</v>
      </c>
      <c r="H15" s="50"/>
      <c r="I15" s="59">
        <f>I14</f>
        <v>1.004</v>
      </c>
      <c r="J15" s="59"/>
      <c r="K15" s="52">
        <f t="shared" si="3"/>
        <v>28.0518</v>
      </c>
      <c r="L15" s="61">
        <f t="shared" si="4"/>
        <v>116378</v>
      </c>
      <c r="M15" s="1" t="str">
        <f>IF(ROUND(G15,2)=ROUND(SUM(G34:G36),2)," ","CHECK 2. 9-12 Lines Below")</f>
        <v xml:space="preserve"> </v>
      </c>
      <c r="N15" s="54">
        <v>5103</v>
      </c>
      <c r="O15" s="60" t="s">
        <v>40</v>
      </c>
      <c r="Q15" s="56"/>
      <c r="V15" s="402" t="s">
        <v>39</v>
      </c>
      <c r="W15" s="402"/>
      <c r="X15" s="392">
        <f>IF('3398'!K$84=1,'3398'!G15,0)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IF('3398'!K$84=1,'3398'!G16,0)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IF('3398'!K$84=1,'3398'!G17,0)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IF('3398'!K$84=1,'3398'!G18,0)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IF('3398'!K$84=1,'3398'!G19,0)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IF('3398'!K$84=1,'3398'!G20,0)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IF('3398'!K$84=1,'3398'!G21,0)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IF('3398'!K$84=1,'3398'!G22,0)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IF('3398'!K$84=1,'3398'!G23,0)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IF('3398'!K$84=1,'3398'!G24,0)</f>
        <v>0</v>
      </c>
      <c r="Y24" s="392"/>
      <c r="Z24" s="403">
        <v>1</v>
      </c>
      <c r="AA24" s="403"/>
      <c r="AB24" s="57">
        <f t="shared" si="0"/>
        <v>0</v>
      </c>
      <c r="AC24" s="58">
        <f t="shared" si="1"/>
        <v>0</v>
      </c>
      <c r="AD24" s="9"/>
    </row>
    <row r="25" spans="1:30" ht="16.8" thickBot="1" x14ac:dyDescent="0.4">
      <c r="A25" s="1" t="s">
        <v>59</v>
      </c>
      <c r="B25" s="14" t="s">
        <v>60</v>
      </c>
      <c r="C25" s="14"/>
      <c r="D25" s="14">
        <v>3.37</v>
      </c>
      <c r="E25" s="14">
        <v>2.52</v>
      </c>
      <c r="F25" s="14">
        <v>0</v>
      </c>
      <c r="G25" s="49">
        <f t="shared" si="2"/>
        <v>5.8900000000000006</v>
      </c>
      <c r="H25" s="50"/>
      <c r="I25" s="59">
        <v>1.004</v>
      </c>
      <c r="J25" s="59"/>
      <c r="K25" s="52">
        <f t="shared" si="3"/>
        <v>5.9135999999999997</v>
      </c>
      <c r="L25" s="53">
        <f t="shared" si="4"/>
        <v>24534</v>
      </c>
      <c r="N25" s="54">
        <v>5310</v>
      </c>
      <c r="O25" s="55">
        <v>300</v>
      </c>
      <c r="Q25" s="56"/>
      <c r="V25" s="402" t="s">
        <v>60</v>
      </c>
      <c r="W25" s="402"/>
      <c r="X25" s="392">
        <f>IF('3398'!K$84=1,'3398'!G25,0)</f>
        <v>0</v>
      </c>
      <c r="Y25" s="392"/>
      <c r="Z25" s="403">
        <v>1</v>
      </c>
      <c r="AA25" s="403"/>
      <c r="AB25" s="57">
        <f t="shared" si="0"/>
        <v>0</v>
      </c>
      <c r="AC25" s="58">
        <f t="shared" si="1"/>
        <v>0</v>
      </c>
      <c r="AD25" s="9"/>
    </row>
    <row r="26" spans="1:30" ht="20.25" customHeight="1" thickBot="1" x14ac:dyDescent="0.35">
      <c r="B26" s="63" t="s">
        <v>61</v>
      </c>
      <c r="C26" s="63"/>
      <c r="D26" s="64">
        <f t="shared" ref="D26:E26" si="5">SUM(D10:D25)</f>
        <v>44.779999999999994</v>
      </c>
      <c r="E26" s="64">
        <f t="shared" si="5"/>
        <v>47.96</v>
      </c>
      <c r="F26" s="64"/>
      <c r="G26" s="64">
        <f>SUM(G10:G25)</f>
        <v>92.74</v>
      </c>
      <c r="H26" s="65"/>
      <c r="I26" s="65"/>
      <c r="J26" s="66"/>
      <c r="K26" s="67">
        <f>SUM(K10:K25)</f>
        <v>93.111000000000004</v>
      </c>
      <c r="L26" s="68">
        <f>SUM(L10:L25)</f>
        <v>386289</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10.98</v>
      </c>
      <c r="E34" s="14">
        <v>10.93</v>
      </c>
      <c r="F34" s="90">
        <v>0</v>
      </c>
      <c r="G34" s="49">
        <f t="shared" si="6"/>
        <v>21.91</v>
      </c>
      <c r="H34" s="80"/>
      <c r="I34" s="91" t="s">
        <v>77</v>
      </c>
      <c r="J34" s="54">
        <v>251</v>
      </c>
      <c r="K34" s="82">
        <v>835</v>
      </c>
      <c r="L34" s="83">
        <f t="shared" si="8"/>
        <v>18295</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2.56</v>
      </c>
      <c r="E35" s="14">
        <v>3.46</v>
      </c>
      <c r="F35" s="90">
        <v>0</v>
      </c>
      <c r="G35" s="49">
        <f t="shared" si="6"/>
        <v>6.02</v>
      </c>
      <c r="H35" s="80"/>
      <c r="I35" s="91" t="s">
        <v>77</v>
      </c>
      <c r="J35" s="54">
        <v>252</v>
      </c>
      <c r="K35" s="82">
        <v>3168</v>
      </c>
      <c r="L35" s="83">
        <f t="shared" si="8"/>
        <v>19071</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0.01</v>
      </c>
      <c r="F36" s="90">
        <v>0</v>
      </c>
      <c r="G36" s="49">
        <f t="shared" si="6"/>
        <v>0.01</v>
      </c>
      <c r="H36" s="80"/>
      <c r="I36" s="91" t="s">
        <v>77</v>
      </c>
      <c r="J36" s="54">
        <v>253</v>
      </c>
      <c r="K36" s="82">
        <v>6685</v>
      </c>
      <c r="L36" s="94">
        <f t="shared" si="8"/>
        <v>67</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13.540000000000001</v>
      </c>
      <c r="E37" s="64">
        <f t="shared" si="10"/>
        <v>14.4</v>
      </c>
      <c r="F37" s="64"/>
      <c r="G37" s="64">
        <f>SUM(G28:G36)</f>
        <v>27.94</v>
      </c>
      <c r="H37" s="65"/>
      <c r="I37" s="14" t="s">
        <v>81</v>
      </c>
      <c r="J37" s="14"/>
      <c r="K37" s="14"/>
      <c r="L37" s="53">
        <f>SUM(L28:L36)</f>
        <v>37433</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17713</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441435</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93.111000000000004</v>
      </c>
      <c r="D49" s="123"/>
      <c r="E49" s="123"/>
      <c r="F49" s="123"/>
      <c r="G49" s="124">
        <f>K7</f>
        <v>1.0289999999999999</v>
      </c>
      <c r="H49" s="124"/>
      <c r="I49" s="125">
        <v>905.98</v>
      </c>
      <c r="J49" s="126" t="s">
        <v>96</v>
      </c>
      <c r="K49" s="127">
        <f>ROUND(C49*G49*I49,0)</f>
        <v>86803</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93.111000000000004</v>
      </c>
      <c r="D50" s="146"/>
      <c r="E50" s="147"/>
      <c r="F50" s="147"/>
      <c r="G50" s="148" t="s">
        <v>98</v>
      </c>
      <c r="H50" s="148"/>
      <c r="I50" s="148"/>
      <c r="J50" s="148"/>
      <c r="K50" s="148"/>
      <c r="L50" s="53">
        <f>IF(B2=75,0,K49+K48+K47)</f>
        <v>86803</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93.111000000000004</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4.6999999999999999E-4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92.74</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5.1099999999999995E-4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4.6999999999999999E-4</v>
      </c>
      <c r="L59" s="53">
        <f>ROUND(I59*K59,0)</f>
        <v>1989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4.6999999999999999E-4</v>
      </c>
      <c r="L67" s="53">
        <f>ROUND(I67*K67,0)</f>
        <v>48738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5.1099999999999995E-4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4.6999999999999999E-4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4.6999999999999999E-4</v>
      </c>
      <c r="L71" s="53">
        <f>ROUND(I71*K71,0)</f>
        <v>877</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5.1099999999999995E-4</v>
      </c>
      <c r="L72" s="53">
        <f>ROUND(I72*K72,0)</f>
        <v>7136</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5.1099999999999995E-4</v>
      </c>
      <c r="L77" s="53">
        <f>ROUND(I77*K77,0)</f>
        <v>877</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4.6999999999999999E-4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587855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'3398'!AC81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587855</v>
      </c>
      <c r="L86" s="83">
        <f>IF(G26=0,0,IF(G26&gt;250,-(((250/G26)*K86)*IF(M86="H",0.02,0.05)),IF(M86="H",-0.02*K86,-0.05*K86)))</f>
        <v>-29392.75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558462.25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-46539</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511923.25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46538.477272727272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328</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329</v>
      </c>
      <c r="C123" s="221" t="s">
        <v>199</v>
      </c>
    </row>
    <row r="124" spans="2:3" hidden="1" x14ac:dyDescent="0.3">
      <c r="B124" s="225" t="s">
        <v>330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41808.602696759299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328</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329</v>
      </c>
      <c r="C164" s="235" t="s">
        <v>244</v>
      </c>
      <c r="D164" s="231"/>
    </row>
    <row r="165" spans="1:4" hidden="1" x14ac:dyDescent="0.3">
      <c r="A165" s="230" t="s">
        <v>245</v>
      </c>
      <c r="B165" s="234" t="s">
        <v>330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41808.602696759299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'3400'!B2</f>
        <v>50</v>
      </c>
      <c r="W2" s="380" t="s">
        <v>4</v>
      </c>
      <c r="X2" s="381"/>
      <c r="Y2" s="382"/>
      <c r="Z2" s="382"/>
      <c r="AA2" s="382"/>
      <c r="AB2" s="382"/>
      <c r="AC2" s="382"/>
      <c r="AD2" s="9"/>
    </row>
    <row r="3" spans="1:30" ht="20.399999999999999" x14ac:dyDescent="0.35">
      <c r="B3" s="10" t="str">
        <f>"Revenue Estimate Worksheet for "&amp;B124</f>
        <v>Revenue Estimate Worksheet for Believers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'3400'!G7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IF('3400'!K$84=1,'3400'!G10,0)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IF('3400'!K$84=1,'3400'!G11,0)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IF('3400'!K$84=1,'3400'!G12,0)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IF('3400'!K$84=1,'3400'!G13,0)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IF('3400'!K$84=1,'3400'!G14,0)</f>
        <v>0</v>
      </c>
      <c r="Y14" s="392"/>
      <c r="Z14" s="403">
        <v>1</v>
      </c>
      <c r="AA14" s="403"/>
      <c r="AB14" s="57">
        <f t="shared" si="0"/>
        <v>0</v>
      </c>
      <c r="AC14" s="58">
        <f t="shared" si="1"/>
        <v>0</v>
      </c>
      <c r="AD14" s="9"/>
    </row>
    <row r="15" spans="1:30" x14ac:dyDescent="0.3">
      <c r="A15" s="1" t="s">
        <v>38</v>
      </c>
      <c r="B15" s="14" t="s">
        <v>39</v>
      </c>
      <c r="C15" s="14"/>
      <c r="D15" s="14">
        <v>66.290000000000006</v>
      </c>
      <c r="E15" s="14">
        <v>67.459999999999994</v>
      </c>
      <c r="F15" s="14">
        <v>0</v>
      </c>
      <c r="G15" s="49">
        <f t="shared" si="2"/>
        <v>133.75</v>
      </c>
      <c r="H15" s="50"/>
      <c r="I15" s="59">
        <f>I14</f>
        <v>1.004</v>
      </c>
      <c r="J15" s="59"/>
      <c r="K15" s="52">
        <f t="shared" si="3"/>
        <v>134.285</v>
      </c>
      <c r="L15" s="61">
        <f t="shared" si="4"/>
        <v>557107</v>
      </c>
      <c r="M15" s="1" t="str">
        <f>IF(ROUND(G15,2)=ROUND(SUM(G34:G36),2)," ","CHECK 2. 9-12 Lines Below")</f>
        <v xml:space="preserve"> </v>
      </c>
      <c r="N15" s="54">
        <v>5103</v>
      </c>
      <c r="O15" s="60" t="s">
        <v>40</v>
      </c>
      <c r="Q15" s="56"/>
      <c r="V15" s="402" t="s">
        <v>39</v>
      </c>
      <c r="W15" s="402"/>
      <c r="X15" s="392">
        <f>IF('3400'!K$84=1,'3400'!G15,0)</f>
        <v>133.75</v>
      </c>
      <c r="Y15" s="392"/>
      <c r="Z15" s="403">
        <v>1</v>
      </c>
      <c r="AA15" s="403"/>
      <c r="AB15" s="57">
        <f t="shared" si="0"/>
        <v>133.75</v>
      </c>
      <c r="AC15" s="62">
        <f t="shared" si="1"/>
        <v>554887</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IF('3400'!K$84=1,'3400'!G16,0)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IF('3400'!K$84=1,'3400'!G17,0)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IF('3400'!K$84=1,'3400'!G18,0)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IF('3400'!K$84=1,'3400'!G19,0)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IF('3400'!K$84=1,'3400'!G20,0)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IF('3400'!K$84=1,'3400'!G21,0)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IF('3400'!K$84=1,'3400'!G22,0)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IF('3400'!K$84=1,'3400'!G23,0)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IF('3400'!K$84=1,'3400'!G24,0)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IF('3400'!K$84=1,'3400'!G25,0)</f>
        <v>0</v>
      </c>
      <c r="Y25" s="392"/>
      <c r="Z25" s="403">
        <v>1</v>
      </c>
      <c r="AA25" s="403"/>
      <c r="AB25" s="57">
        <f t="shared" si="0"/>
        <v>0</v>
      </c>
      <c r="AC25" s="58">
        <f t="shared" si="1"/>
        <v>0</v>
      </c>
      <c r="AD25" s="9"/>
    </row>
    <row r="26" spans="1:30" ht="20.25" customHeight="1" thickBot="1" x14ac:dyDescent="0.35">
      <c r="B26" s="63" t="s">
        <v>61</v>
      </c>
      <c r="C26" s="63"/>
      <c r="D26" s="64">
        <f t="shared" ref="D26:E26" si="5">SUM(D10:D25)</f>
        <v>66.290000000000006</v>
      </c>
      <c r="E26" s="64">
        <f t="shared" si="5"/>
        <v>67.459999999999994</v>
      </c>
      <c r="F26" s="64"/>
      <c r="G26" s="64">
        <f>SUM(G10:G25)</f>
        <v>133.75</v>
      </c>
      <c r="H26" s="65"/>
      <c r="I26" s="65"/>
      <c r="J26" s="66"/>
      <c r="K26" s="67">
        <f>SUM(K10:K25)</f>
        <v>134.285</v>
      </c>
      <c r="L26" s="68">
        <f>SUM(L10:L25)</f>
        <v>557107</v>
      </c>
      <c r="N26" s="56"/>
      <c r="O26" s="69"/>
      <c r="P26" s="56"/>
      <c r="Q26" s="56"/>
      <c r="V26" s="404" t="s">
        <v>61</v>
      </c>
      <c r="W26" s="404"/>
      <c r="X26" s="405">
        <f>SUM(X10:X25)</f>
        <v>133.75</v>
      </c>
      <c r="Y26" s="405"/>
      <c r="Z26" s="406"/>
      <c r="AA26" s="407"/>
      <c r="AB26" s="70">
        <f>SUM(AB10:AB25)</f>
        <v>133.75</v>
      </c>
      <c r="AC26" s="71">
        <f>SUM(AC10:AC25)</f>
        <v>554887</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10.57</v>
      </c>
      <c r="E34" s="14">
        <v>9.39</v>
      </c>
      <c r="F34" s="90">
        <v>0</v>
      </c>
      <c r="G34" s="49">
        <f t="shared" si="6"/>
        <v>19.96</v>
      </c>
      <c r="H34" s="80"/>
      <c r="I34" s="91" t="s">
        <v>77</v>
      </c>
      <c r="J34" s="54">
        <v>251</v>
      </c>
      <c r="K34" s="82">
        <v>835</v>
      </c>
      <c r="L34" s="83">
        <f t="shared" si="8"/>
        <v>16667</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31.73</v>
      </c>
      <c r="E35" s="14">
        <v>28.68</v>
      </c>
      <c r="F35" s="90">
        <v>0</v>
      </c>
      <c r="G35" s="49">
        <f t="shared" si="6"/>
        <v>60.41</v>
      </c>
      <c r="H35" s="80"/>
      <c r="I35" s="91" t="s">
        <v>77</v>
      </c>
      <c r="J35" s="54">
        <v>252</v>
      </c>
      <c r="K35" s="82">
        <v>3168</v>
      </c>
      <c r="L35" s="83">
        <f t="shared" si="8"/>
        <v>191379</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23.99</v>
      </c>
      <c r="E36" s="14">
        <v>29.39</v>
      </c>
      <c r="F36" s="90">
        <v>0</v>
      </c>
      <c r="G36" s="49">
        <f t="shared" si="6"/>
        <v>53.379999999999995</v>
      </c>
      <c r="H36" s="80"/>
      <c r="I36" s="91" t="s">
        <v>77</v>
      </c>
      <c r="J36" s="54">
        <v>253</v>
      </c>
      <c r="K36" s="82">
        <v>6685</v>
      </c>
      <c r="L36" s="94">
        <f t="shared" si="8"/>
        <v>356845</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66.289999999999992</v>
      </c>
      <c r="E37" s="64">
        <f t="shared" si="10"/>
        <v>67.460000000000008</v>
      </c>
      <c r="F37" s="64"/>
      <c r="G37" s="64">
        <f>SUM(G28:G36)</f>
        <v>133.75</v>
      </c>
      <c r="H37" s="65"/>
      <c r="I37" s="14" t="s">
        <v>81</v>
      </c>
      <c r="J37" s="14"/>
      <c r="K37" s="14"/>
      <c r="L37" s="53">
        <f>SUM(L28:L36)</f>
        <v>564891</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25546</v>
      </c>
      <c r="N40" s="104"/>
      <c r="O40" s="104"/>
      <c r="P40" s="104"/>
      <c r="Q40" s="104"/>
      <c r="V40" s="422" t="s">
        <v>85</v>
      </c>
      <c r="W40" s="422"/>
      <c r="X40" s="423">
        <f>+G40</f>
        <v>181379.8</v>
      </c>
      <c r="Y40" s="423"/>
      <c r="Z40" s="423"/>
      <c r="AA40" s="423"/>
      <c r="AB40" s="58">
        <f>ROUND(X39/X40,0)</f>
        <v>191</v>
      </c>
      <c r="AC40" s="58">
        <f>ROUND(AB40*$X$26,0)</f>
        <v>25546</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1147544</v>
      </c>
      <c r="O44" s="1"/>
      <c r="V44" s="433" t="s">
        <v>89</v>
      </c>
      <c r="W44" s="433"/>
      <c r="X44" s="433"/>
      <c r="Y44" s="433"/>
      <c r="Z44" s="433"/>
      <c r="AA44" s="433"/>
      <c r="AB44" s="433"/>
      <c r="AC44" s="112">
        <f>SUM(AC26,AC37,AC40)</f>
        <v>580433</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134.285</v>
      </c>
      <c r="D49" s="123"/>
      <c r="E49" s="123"/>
      <c r="F49" s="123"/>
      <c r="G49" s="124">
        <f>K7</f>
        <v>1.0289999999999999</v>
      </c>
      <c r="H49" s="124"/>
      <c r="I49" s="125">
        <v>905.98</v>
      </c>
      <c r="J49" s="126" t="s">
        <v>96</v>
      </c>
      <c r="K49" s="127">
        <f>ROUND(C49*G49*I49,0)</f>
        <v>125188</v>
      </c>
      <c r="L49" s="63"/>
      <c r="M49" s="109"/>
      <c r="N49" s="139"/>
      <c r="O49" s="140"/>
      <c r="P49" s="69"/>
      <c r="Q49" s="141"/>
      <c r="V49" s="142" t="s">
        <v>77</v>
      </c>
      <c r="W49" s="143">
        <f>AB14+AB15+AB18+AB21+AB24+AB25</f>
        <v>133.75</v>
      </c>
      <c r="X49" s="426">
        <f>AB7</f>
        <v>1.0289999999999999</v>
      </c>
      <c r="Y49" s="426"/>
      <c r="Z49" s="130">
        <f>+I49</f>
        <v>905.98</v>
      </c>
      <c r="AA49" s="131" t="s">
        <v>96</v>
      </c>
      <c r="AB49" s="132">
        <f>ROUND(W49*X49*Z49,0)</f>
        <v>124689</v>
      </c>
      <c r="AC49" s="136"/>
      <c r="AD49" s="110"/>
    </row>
    <row r="50" spans="2:30" ht="24" customHeight="1" thickBot="1" x14ac:dyDescent="0.35">
      <c r="B50" s="144" t="s">
        <v>97</v>
      </c>
      <c r="C50" s="145">
        <f>SUM(C47:C49)</f>
        <v>134.285</v>
      </c>
      <c r="D50" s="146"/>
      <c r="E50" s="147"/>
      <c r="F50" s="147"/>
      <c r="G50" s="148" t="s">
        <v>98</v>
      </c>
      <c r="H50" s="148"/>
      <c r="I50" s="148"/>
      <c r="J50" s="148"/>
      <c r="K50" s="148"/>
      <c r="L50" s="53">
        <f>IF(B2=75,0,K49+K48+K47)</f>
        <v>125188</v>
      </c>
      <c r="N50" s="3"/>
      <c r="O50" s="1"/>
      <c r="V50" s="149" t="s">
        <v>97</v>
      </c>
      <c r="W50" s="150">
        <f>SUM(W47:W49)</f>
        <v>133.75</v>
      </c>
      <c r="X50" s="427" t="s">
        <v>98</v>
      </c>
      <c r="Y50" s="428"/>
      <c r="Z50" s="428"/>
      <c r="AA50" s="428"/>
      <c r="AB50" s="428"/>
      <c r="AC50" s="58">
        <f>IF(V2=75,0,AB49+AB48+AB47)</f>
        <v>124689</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134.285</v>
      </c>
      <c r="H53" s="59" t="s">
        <v>102</v>
      </c>
      <c r="I53" s="59"/>
      <c r="J53" s="155">
        <v>198050.23</v>
      </c>
      <c r="K53" s="155"/>
      <c r="L53" s="155"/>
      <c r="N53" s="3"/>
      <c r="O53" s="1"/>
      <c r="V53" s="436" t="s">
        <v>101</v>
      </c>
      <c r="W53" s="436"/>
      <c r="X53" s="156">
        <f>AB26</f>
        <v>133.75</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6.78E-4</v>
      </c>
      <c r="L54" s="157"/>
      <c r="N54" s="69"/>
      <c r="O54" s="1"/>
      <c r="V54" s="436" t="s">
        <v>103</v>
      </c>
      <c r="W54" s="436"/>
      <c r="X54" s="436"/>
      <c r="Y54" s="436"/>
      <c r="Z54" s="436"/>
      <c r="AA54" s="436"/>
      <c r="AB54" s="439">
        <f>ROUND(X53/AA53,6)</f>
        <v>6.7500000000000004E-4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133.75</v>
      </c>
      <c r="H56" s="59" t="s">
        <v>106</v>
      </c>
      <c r="I56" s="59"/>
      <c r="J56" s="155">
        <f>+G40</f>
        <v>181379.8</v>
      </c>
      <c r="K56" s="155"/>
      <c r="L56" s="155"/>
      <c r="O56" s="1"/>
      <c r="V56" s="436" t="s">
        <v>105</v>
      </c>
      <c r="W56" s="436"/>
      <c r="X56" s="159">
        <f>X26</f>
        <v>133.75</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7.3700000000000002E-4</v>
      </c>
      <c r="L57" s="157"/>
      <c r="O57" s="1"/>
      <c r="V57" s="436" t="s">
        <v>107</v>
      </c>
      <c r="W57" s="436"/>
      <c r="X57" s="436"/>
      <c r="Y57" s="436"/>
      <c r="Z57" s="436"/>
      <c r="AA57" s="436"/>
      <c r="AB57" s="439">
        <f>ROUND(X56/AA56,6)</f>
        <v>7.3700000000000002E-4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6.7500000000000004E-4</v>
      </c>
      <c r="AC58" s="58">
        <f>ROUND(Y58*AB58,0)</f>
        <v>2856</v>
      </c>
      <c r="AD58" s="9"/>
    </row>
    <row r="59" spans="2:30" x14ac:dyDescent="0.3">
      <c r="B59" s="63" t="s">
        <v>109</v>
      </c>
      <c r="C59" s="63"/>
      <c r="D59" s="63"/>
      <c r="E59" s="63"/>
      <c r="F59" s="63"/>
      <c r="G59" s="63"/>
      <c r="H59" s="163" t="s">
        <v>21</v>
      </c>
      <c r="I59" s="127">
        <v>4230917</v>
      </c>
      <c r="J59" s="164" t="s">
        <v>110</v>
      </c>
      <c r="K59" s="165">
        <f>K54</f>
        <v>6.78E-4</v>
      </c>
      <c r="L59" s="53">
        <f>ROUND(I59*K59,0)</f>
        <v>2869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6.7500000000000004E-4</v>
      </c>
      <c r="AC66" s="58">
        <f>ROUND(Y66*AB66,0)</f>
        <v>69997</v>
      </c>
      <c r="AD66" s="9"/>
    </row>
    <row r="67" spans="1:30" ht="20.25" customHeight="1" x14ac:dyDescent="0.3">
      <c r="B67" s="14" t="s">
        <v>118</v>
      </c>
      <c r="C67" s="14"/>
      <c r="D67" s="14"/>
      <c r="E67" s="14"/>
      <c r="F67" s="14"/>
      <c r="H67" s="163" t="s">
        <v>23</v>
      </c>
      <c r="I67" s="127">
        <v>103698709</v>
      </c>
      <c r="J67" s="164" t="s">
        <v>110</v>
      </c>
      <c r="K67" s="165">
        <f>K54</f>
        <v>6.78E-4</v>
      </c>
      <c r="L67" s="53">
        <f>ROUND(I67*K67,0)</f>
        <v>70308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7.3700000000000002E-4</v>
      </c>
      <c r="AC68" s="58">
        <f>ROUND(Y68*AB68,0)</f>
        <v>0</v>
      </c>
      <c r="AD68" s="9"/>
    </row>
    <row r="69" spans="1:30" ht="15" customHeight="1" x14ac:dyDescent="0.3">
      <c r="B69" s="169" t="s">
        <v>120</v>
      </c>
      <c r="C69" s="14"/>
      <c r="D69" s="14"/>
      <c r="E69" s="14"/>
      <c r="F69" s="14"/>
      <c r="H69" s="163" t="s">
        <v>22</v>
      </c>
      <c r="I69" s="127">
        <v>0</v>
      </c>
      <c r="J69" s="164" t="s">
        <v>110</v>
      </c>
      <c r="K69" s="165">
        <f>K57</f>
        <v>7.3700000000000002E-4</v>
      </c>
      <c r="L69" s="53">
        <f>ROUND(I69*K69,0)</f>
        <v>0</v>
      </c>
      <c r="O69" s="1"/>
      <c r="V69" s="430" t="s">
        <v>121</v>
      </c>
      <c r="W69" s="430"/>
      <c r="X69" s="430"/>
      <c r="Y69" s="447">
        <f>+I70</f>
        <v>0</v>
      </c>
      <c r="Z69" s="447"/>
      <c r="AA69" s="161" t="s">
        <v>110</v>
      </c>
      <c r="AB69" s="162">
        <f>AB54</f>
        <v>6.7500000000000004E-4</v>
      </c>
      <c r="AC69" s="58">
        <f>ROUND(Y69*AB69,0)</f>
        <v>0</v>
      </c>
      <c r="AD69" s="9"/>
    </row>
    <row r="70" spans="1:30" ht="20.25" customHeight="1" x14ac:dyDescent="0.3">
      <c r="B70" s="14" t="s">
        <v>121</v>
      </c>
      <c r="C70" s="14"/>
      <c r="D70" s="14"/>
      <c r="E70" s="14"/>
      <c r="F70" s="14"/>
      <c r="H70" s="163" t="s">
        <v>21</v>
      </c>
      <c r="I70" s="127">
        <v>0</v>
      </c>
      <c r="J70" s="164" t="s">
        <v>110</v>
      </c>
      <c r="K70" s="165">
        <f>K54</f>
        <v>6.78E-4</v>
      </c>
      <c r="L70" s="53">
        <f>ROUND(I70*K70,0)</f>
        <v>0</v>
      </c>
      <c r="O70" s="1"/>
      <c r="V70" s="430" t="s">
        <v>122</v>
      </c>
      <c r="W70" s="430"/>
      <c r="X70" s="430"/>
      <c r="Y70" s="444">
        <f>+I71</f>
        <v>1865769</v>
      </c>
      <c r="Z70" s="444"/>
      <c r="AA70" s="161" t="s">
        <v>110</v>
      </c>
      <c r="AB70" s="162">
        <f>AB54</f>
        <v>6.7500000000000004E-4</v>
      </c>
      <c r="AC70" s="58">
        <f>ROUND(Y70*AB70,0)</f>
        <v>1259</v>
      </c>
      <c r="AD70" s="9"/>
    </row>
    <row r="71" spans="1:30" ht="20.25" customHeight="1" x14ac:dyDescent="0.3">
      <c r="B71" s="14" t="s">
        <v>122</v>
      </c>
      <c r="C71" s="14"/>
      <c r="D71" s="14"/>
      <c r="E71" s="14"/>
      <c r="F71" s="14"/>
      <c r="H71" s="163" t="s">
        <v>21</v>
      </c>
      <c r="I71" s="127">
        <v>1865769</v>
      </c>
      <c r="J71" s="164" t="s">
        <v>110</v>
      </c>
      <c r="K71" s="165">
        <f>K54</f>
        <v>6.78E-4</v>
      </c>
      <c r="L71" s="53">
        <f>ROUND(I71*K71,0)</f>
        <v>1265</v>
      </c>
      <c r="O71" s="1"/>
      <c r="V71" s="430" t="s">
        <v>123</v>
      </c>
      <c r="W71" s="430"/>
      <c r="X71" s="430"/>
      <c r="Y71" s="444">
        <f>+I72</f>
        <v>13963927</v>
      </c>
      <c r="Z71" s="444"/>
      <c r="AA71" s="161" t="s">
        <v>110</v>
      </c>
      <c r="AB71" s="162">
        <f>AB57</f>
        <v>7.3700000000000002E-4</v>
      </c>
      <c r="AC71" s="58">
        <f>ROUND(Y71*AB71,0)</f>
        <v>10291</v>
      </c>
      <c r="AD71" s="9"/>
    </row>
    <row r="72" spans="1:30" ht="21" customHeight="1" x14ac:dyDescent="0.35">
      <c r="B72" s="14" t="s">
        <v>123</v>
      </c>
      <c r="C72" s="14"/>
      <c r="D72" s="14"/>
      <c r="E72" s="14"/>
      <c r="F72" s="14"/>
      <c r="H72" s="163" t="s">
        <v>22</v>
      </c>
      <c r="I72" s="127">
        <v>13963927</v>
      </c>
      <c r="J72" s="164" t="s">
        <v>110</v>
      </c>
      <c r="K72" s="165">
        <f>K57</f>
        <v>7.3700000000000002E-4</v>
      </c>
      <c r="L72" s="53">
        <f>ROUND(I72*K72,0)</f>
        <v>10291</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109</v>
      </c>
      <c r="AA74" s="173" t="s">
        <v>130</v>
      </c>
      <c r="AB74" s="174">
        <f>+K75</f>
        <v>361</v>
      </c>
      <c r="AC74" s="58">
        <f>ROUND(AB74*Z74,0)</f>
        <v>39349</v>
      </c>
      <c r="AD74" s="9"/>
    </row>
    <row r="75" spans="1:30" ht="19.5" customHeight="1" x14ac:dyDescent="0.3">
      <c r="A75" s="1" t="s">
        <v>131</v>
      </c>
      <c r="B75" s="175" t="s">
        <v>128</v>
      </c>
      <c r="C75" s="176" t="s">
        <v>129</v>
      </c>
      <c r="D75" s="175">
        <v>121</v>
      </c>
      <c r="E75" s="175">
        <v>97</v>
      </c>
      <c r="F75" s="175">
        <v>0</v>
      </c>
      <c r="G75" s="177">
        <f>IF($B$154&lt;8,D75,E75)</f>
        <v>97</v>
      </c>
      <c r="H75" s="178"/>
      <c r="I75" s="179">
        <f>AVERAGE(G75,D75)</f>
        <v>109</v>
      </c>
      <c r="J75" s="180" t="s">
        <v>130</v>
      </c>
      <c r="K75" s="181">
        <v>361</v>
      </c>
      <c r="L75" s="53">
        <f>ROUND(K75*I75,0)</f>
        <v>39349</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7.3700000000000002E-4</v>
      </c>
      <c r="AC76" s="58">
        <f>ROUND(Y76*AB76,0)</f>
        <v>1265</v>
      </c>
      <c r="AD76" s="9"/>
    </row>
    <row r="77" spans="1:30" ht="26.25" customHeight="1" x14ac:dyDescent="0.3">
      <c r="B77" s="14" t="s">
        <v>134</v>
      </c>
      <c r="C77" s="14"/>
      <c r="D77" s="14"/>
      <c r="E77" s="14"/>
      <c r="F77" s="14"/>
      <c r="H77" s="163" t="s">
        <v>25</v>
      </c>
      <c r="I77" s="186">
        <v>1716988</v>
      </c>
      <c r="J77" s="164" t="s">
        <v>110</v>
      </c>
      <c r="K77" s="165">
        <f>K57</f>
        <v>7.3700000000000002E-4</v>
      </c>
      <c r="L77" s="53">
        <f>ROUND(I77*K77,0)</f>
        <v>1265</v>
      </c>
      <c r="O77" s="1"/>
      <c r="V77" s="430" t="str">
        <f>+B78</f>
        <v>15.  Florida Teachers Classroom Supply Assistance Program</v>
      </c>
      <c r="W77" s="430"/>
      <c r="X77" s="430"/>
      <c r="Y77" s="440">
        <f>+I78</f>
        <v>0</v>
      </c>
      <c r="Z77" s="440"/>
      <c r="AA77" s="173" t="s">
        <v>130</v>
      </c>
      <c r="AB77" s="162">
        <f>AB54</f>
        <v>6.7500000000000004E-4</v>
      </c>
      <c r="AC77" s="58">
        <f>ROUND(Y77*AB77,0)</f>
        <v>0</v>
      </c>
      <c r="AD77" s="9"/>
    </row>
    <row r="78" spans="1:30" ht="26.25" customHeight="1" x14ac:dyDescent="0.3">
      <c r="B78" s="384" t="s">
        <v>135</v>
      </c>
      <c r="C78" s="384"/>
      <c r="D78" s="384"/>
      <c r="E78" s="14"/>
      <c r="F78" s="14"/>
      <c r="H78" s="163" t="s">
        <v>136</v>
      </c>
      <c r="I78" s="187">
        <v>0</v>
      </c>
      <c r="J78" s="164" t="s">
        <v>110</v>
      </c>
      <c r="K78" s="165">
        <f>K54</f>
        <v>6.78E-4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830139</v>
      </c>
      <c r="AD81" s="197"/>
    </row>
    <row r="82" spans="1:30" ht="22.5" customHeight="1" thickTop="1" thickBot="1" x14ac:dyDescent="0.35">
      <c r="B82" s="14" t="s">
        <v>140</v>
      </c>
      <c r="C82" s="14"/>
      <c r="D82" s="14"/>
      <c r="E82" s="14"/>
      <c r="F82" s="14"/>
      <c r="G82" s="14"/>
      <c r="H82" s="14"/>
      <c r="I82" s="14"/>
      <c r="J82" s="14"/>
      <c r="K82" s="14"/>
      <c r="L82" s="198">
        <f>SUM(L44:L81)</f>
        <v>1398079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'3400'!AC81</f>
        <v>830139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830139</v>
      </c>
      <c r="L86" s="83">
        <f>IF(G26=0,0,IF(G26&gt;250,-(((250/G26)*K86)*IF(M86="H",0.02,0.05)),IF(M86="H",-0.02*K86,-0.05*K86)))</f>
        <v>-41506.950000000004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1356572.05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-113048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1243524.05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113047.64090909091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331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332</v>
      </c>
      <c r="C123" s="221" t="s">
        <v>199</v>
      </c>
    </row>
    <row r="124" spans="2:3" hidden="1" x14ac:dyDescent="0.3">
      <c r="B124" s="225" t="s">
        <v>333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41808.602719907401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331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332</v>
      </c>
      <c r="C164" s="235" t="s">
        <v>244</v>
      </c>
      <c r="D164" s="231"/>
    </row>
    <row r="165" spans="1:4" hidden="1" x14ac:dyDescent="0.3">
      <c r="A165" s="230" t="s">
        <v>245</v>
      </c>
      <c r="B165" s="234" t="s">
        <v>333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41808.602719907401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sqref="A1:H1"/>
    </sheetView>
  </sheetViews>
  <sheetFormatPr defaultColWidth="9.21875" defaultRowHeight="15.6" x14ac:dyDescent="0.3"/>
  <cols>
    <col min="1" max="1" width="10.21875" style="287" customWidth="1"/>
    <col min="2" max="2" width="33.44140625" style="283" customWidth="1"/>
    <col min="3" max="3" width="15.21875" style="283" customWidth="1"/>
    <col min="4" max="4" width="6.77734375" style="283" customWidth="1"/>
    <col min="5" max="5" width="13.77734375" style="283" customWidth="1"/>
    <col min="6" max="6" width="10" style="283" customWidth="1"/>
    <col min="7" max="7" width="13" style="283" customWidth="1"/>
    <col min="8" max="8" width="21.44140625" style="283" customWidth="1"/>
    <col min="9" max="9" width="29.21875" style="283" bestFit="1" customWidth="1"/>
    <col min="10" max="10" width="22.77734375" style="283" customWidth="1"/>
    <col min="11" max="11" width="15.5546875" style="284" customWidth="1"/>
    <col min="12" max="12" width="2" style="283" customWidth="1"/>
    <col min="13" max="13" width="7.21875" style="283" customWidth="1"/>
    <col min="14" max="14" width="1.5546875" style="283" customWidth="1"/>
    <col min="15" max="15" width="1" style="283" customWidth="1"/>
    <col min="16" max="16" width="16.44140625" style="285" customWidth="1"/>
    <col min="17" max="17" width="1.44140625" style="285" customWidth="1"/>
    <col min="18" max="18" width="2.44140625" style="283" customWidth="1"/>
    <col min="19" max="19" width="13" style="283" customWidth="1"/>
    <col min="20" max="20" width="3.21875" style="283" customWidth="1"/>
    <col min="21" max="21" width="21.44140625" style="119" customWidth="1"/>
    <col min="22" max="22" width="9.21875" style="283"/>
    <col min="23" max="23" width="10" style="283" bestFit="1" customWidth="1"/>
    <col min="24" max="24" width="9.77734375" style="283" bestFit="1" customWidth="1"/>
    <col min="25" max="256" width="9.21875" style="283"/>
    <col min="257" max="257" width="10.21875" style="283" customWidth="1"/>
    <col min="258" max="258" width="33.44140625" style="283" customWidth="1"/>
    <col min="259" max="259" width="15.21875" style="283" customWidth="1"/>
    <col min="260" max="260" width="6.77734375" style="283" customWidth="1"/>
    <col min="261" max="261" width="13.77734375" style="283" customWidth="1"/>
    <col min="262" max="262" width="10" style="283" customWidth="1"/>
    <col min="263" max="263" width="13" style="283" customWidth="1"/>
    <col min="264" max="264" width="21.44140625" style="283" customWidth="1"/>
    <col min="265" max="265" width="29.21875" style="283" bestFit="1" customWidth="1"/>
    <col min="266" max="266" width="22.77734375" style="283" customWidth="1"/>
    <col min="267" max="267" width="15.5546875" style="283" customWidth="1"/>
    <col min="268" max="268" width="2" style="283" customWidth="1"/>
    <col min="269" max="269" width="7.21875" style="283" customWidth="1"/>
    <col min="270" max="270" width="1.5546875" style="283" customWidth="1"/>
    <col min="271" max="271" width="1" style="283" customWidth="1"/>
    <col min="272" max="272" width="16.44140625" style="283" customWidth="1"/>
    <col min="273" max="273" width="1.44140625" style="283" customWidth="1"/>
    <col min="274" max="274" width="2.44140625" style="283" customWidth="1"/>
    <col min="275" max="275" width="13" style="283" customWidth="1"/>
    <col min="276" max="276" width="3.21875" style="283" customWidth="1"/>
    <col min="277" max="277" width="21.44140625" style="283" customWidth="1"/>
    <col min="278" max="278" width="9.21875" style="283"/>
    <col min="279" max="279" width="10" style="283" bestFit="1" customWidth="1"/>
    <col min="280" max="280" width="9.77734375" style="283" bestFit="1" customWidth="1"/>
    <col min="281" max="512" width="9.21875" style="283"/>
    <col min="513" max="513" width="10.21875" style="283" customWidth="1"/>
    <col min="514" max="514" width="33.44140625" style="283" customWidth="1"/>
    <col min="515" max="515" width="15.21875" style="283" customWidth="1"/>
    <col min="516" max="516" width="6.77734375" style="283" customWidth="1"/>
    <col min="517" max="517" width="13.77734375" style="283" customWidth="1"/>
    <col min="518" max="518" width="10" style="283" customWidth="1"/>
    <col min="519" max="519" width="13" style="283" customWidth="1"/>
    <col min="520" max="520" width="21.44140625" style="283" customWidth="1"/>
    <col min="521" max="521" width="29.21875" style="283" bestFit="1" customWidth="1"/>
    <col min="522" max="522" width="22.77734375" style="283" customWidth="1"/>
    <col min="523" max="523" width="15.5546875" style="283" customWidth="1"/>
    <col min="524" max="524" width="2" style="283" customWidth="1"/>
    <col min="525" max="525" width="7.21875" style="283" customWidth="1"/>
    <col min="526" max="526" width="1.5546875" style="283" customWidth="1"/>
    <col min="527" max="527" width="1" style="283" customWidth="1"/>
    <col min="528" max="528" width="16.44140625" style="283" customWidth="1"/>
    <col min="529" max="529" width="1.44140625" style="283" customWidth="1"/>
    <col min="530" max="530" width="2.44140625" style="283" customWidth="1"/>
    <col min="531" max="531" width="13" style="283" customWidth="1"/>
    <col min="532" max="532" width="3.21875" style="283" customWidth="1"/>
    <col min="533" max="533" width="21.44140625" style="283" customWidth="1"/>
    <col min="534" max="534" width="9.21875" style="283"/>
    <col min="535" max="535" width="10" style="283" bestFit="1" customWidth="1"/>
    <col min="536" max="536" width="9.77734375" style="283" bestFit="1" customWidth="1"/>
    <col min="537" max="768" width="9.21875" style="283"/>
    <col min="769" max="769" width="10.21875" style="283" customWidth="1"/>
    <col min="770" max="770" width="33.44140625" style="283" customWidth="1"/>
    <col min="771" max="771" width="15.21875" style="283" customWidth="1"/>
    <col min="772" max="772" width="6.77734375" style="283" customWidth="1"/>
    <col min="773" max="773" width="13.77734375" style="283" customWidth="1"/>
    <col min="774" max="774" width="10" style="283" customWidth="1"/>
    <col min="775" max="775" width="13" style="283" customWidth="1"/>
    <col min="776" max="776" width="21.44140625" style="283" customWidth="1"/>
    <col min="777" max="777" width="29.21875" style="283" bestFit="1" customWidth="1"/>
    <col min="778" max="778" width="22.77734375" style="283" customWidth="1"/>
    <col min="779" max="779" width="15.5546875" style="283" customWidth="1"/>
    <col min="780" max="780" width="2" style="283" customWidth="1"/>
    <col min="781" max="781" width="7.21875" style="283" customWidth="1"/>
    <col min="782" max="782" width="1.5546875" style="283" customWidth="1"/>
    <col min="783" max="783" width="1" style="283" customWidth="1"/>
    <col min="784" max="784" width="16.44140625" style="283" customWidth="1"/>
    <col min="785" max="785" width="1.44140625" style="283" customWidth="1"/>
    <col min="786" max="786" width="2.44140625" style="283" customWidth="1"/>
    <col min="787" max="787" width="13" style="283" customWidth="1"/>
    <col min="788" max="788" width="3.21875" style="283" customWidth="1"/>
    <col min="789" max="789" width="21.44140625" style="283" customWidth="1"/>
    <col min="790" max="790" width="9.21875" style="283"/>
    <col min="791" max="791" width="10" style="283" bestFit="1" customWidth="1"/>
    <col min="792" max="792" width="9.77734375" style="283" bestFit="1" customWidth="1"/>
    <col min="793" max="1024" width="9.21875" style="283"/>
    <col min="1025" max="1025" width="10.21875" style="283" customWidth="1"/>
    <col min="1026" max="1026" width="33.44140625" style="283" customWidth="1"/>
    <col min="1027" max="1027" width="15.21875" style="283" customWidth="1"/>
    <col min="1028" max="1028" width="6.77734375" style="283" customWidth="1"/>
    <col min="1029" max="1029" width="13.77734375" style="283" customWidth="1"/>
    <col min="1030" max="1030" width="10" style="283" customWidth="1"/>
    <col min="1031" max="1031" width="13" style="283" customWidth="1"/>
    <col min="1032" max="1032" width="21.44140625" style="283" customWidth="1"/>
    <col min="1033" max="1033" width="29.21875" style="283" bestFit="1" customWidth="1"/>
    <col min="1034" max="1034" width="22.77734375" style="283" customWidth="1"/>
    <col min="1035" max="1035" width="15.5546875" style="283" customWidth="1"/>
    <col min="1036" max="1036" width="2" style="283" customWidth="1"/>
    <col min="1037" max="1037" width="7.21875" style="283" customWidth="1"/>
    <col min="1038" max="1038" width="1.5546875" style="283" customWidth="1"/>
    <col min="1039" max="1039" width="1" style="283" customWidth="1"/>
    <col min="1040" max="1040" width="16.44140625" style="283" customWidth="1"/>
    <col min="1041" max="1041" width="1.44140625" style="283" customWidth="1"/>
    <col min="1042" max="1042" width="2.44140625" style="283" customWidth="1"/>
    <col min="1043" max="1043" width="13" style="283" customWidth="1"/>
    <col min="1044" max="1044" width="3.21875" style="283" customWidth="1"/>
    <col min="1045" max="1045" width="21.44140625" style="283" customWidth="1"/>
    <col min="1046" max="1046" width="9.21875" style="283"/>
    <col min="1047" max="1047" width="10" style="283" bestFit="1" customWidth="1"/>
    <col min="1048" max="1048" width="9.77734375" style="283" bestFit="1" customWidth="1"/>
    <col min="1049" max="1280" width="9.21875" style="283"/>
    <col min="1281" max="1281" width="10.21875" style="283" customWidth="1"/>
    <col min="1282" max="1282" width="33.44140625" style="283" customWidth="1"/>
    <col min="1283" max="1283" width="15.21875" style="283" customWidth="1"/>
    <col min="1284" max="1284" width="6.77734375" style="283" customWidth="1"/>
    <col min="1285" max="1285" width="13.77734375" style="283" customWidth="1"/>
    <col min="1286" max="1286" width="10" style="283" customWidth="1"/>
    <col min="1287" max="1287" width="13" style="283" customWidth="1"/>
    <col min="1288" max="1288" width="21.44140625" style="283" customWidth="1"/>
    <col min="1289" max="1289" width="29.21875" style="283" bestFit="1" customWidth="1"/>
    <col min="1290" max="1290" width="22.77734375" style="283" customWidth="1"/>
    <col min="1291" max="1291" width="15.5546875" style="283" customWidth="1"/>
    <col min="1292" max="1292" width="2" style="283" customWidth="1"/>
    <col min="1293" max="1293" width="7.21875" style="283" customWidth="1"/>
    <col min="1294" max="1294" width="1.5546875" style="283" customWidth="1"/>
    <col min="1295" max="1295" width="1" style="283" customWidth="1"/>
    <col min="1296" max="1296" width="16.44140625" style="283" customWidth="1"/>
    <col min="1297" max="1297" width="1.44140625" style="283" customWidth="1"/>
    <col min="1298" max="1298" width="2.44140625" style="283" customWidth="1"/>
    <col min="1299" max="1299" width="13" style="283" customWidth="1"/>
    <col min="1300" max="1300" width="3.21875" style="283" customWidth="1"/>
    <col min="1301" max="1301" width="21.44140625" style="283" customWidth="1"/>
    <col min="1302" max="1302" width="9.21875" style="283"/>
    <col min="1303" max="1303" width="10" style="283" bestFit="1" customWidth="1"/>
    <col min="1304" max="1304" width="9.77734375" style="283" bestFit="1" customWidth="1"/>
    <col min="1305" max="1536" width="9.21875" style="283"/>
    <col min="1537" max="1537" width="10.21875" style="283" customWidth="1"/>
    <col min="1538" max="1538" width="33.44140625" style="283" customWidth="1"/>
    <col min="1539" max="1539" width="15.21875" style="283" customWidth="1"/>
    <col min="1540" max="1540" width="6.77734375" style="283" customWidth="1"/>
    <col min="1541" max="1541" width="13.77734375" style="283" customWidth="1"/>
    <col min="1542" max="1542" width="10" style="283" customWidth="1"/>
    <col min="1543" max="1543" width="13" style="283" customWidth="1"/>
    <col min="1544" max="1544" width="21.44140625" style="283" customWidth="1"/>
    <col min="1545" max="1545" width="29.21875" style="283" bestFit="1" customWidth="1"/>
    <col min="1546" max="1546" width="22.77734375" style="283" customWidth="1"/>
    <col min="1547" max="1547" width="15.5546875" style="283" customWidth="1"/>
    <col min="1548" max="1548" width="2" style="283" customWidth="1"/>
    <col min="1549" max="1549" width="7.21875" style="283" customWidth="1"/>
    <col min="1550" max="1550" width="1.5546875" style="283" customWidth="1"/>
    <col min="1551" max="1551" width="1" style="283" customWidth="1"/>
    <col min="1552" max="1552" width="16.44140625" style="283" customWidth="1"/>
    <col min="1553" max="1553" width="1.44140625" style="283" customWidth="1"/>
    <col min="1554" max="1554" width="2.44140625" style="283" customWidth="1"/>
    <col min="1555" max="1555" width="13" style="283" customWidth="1"/>
    <col min="1556" max="1556" width="3.21875" style="283" customWidth="1"/>
    <col min="1557" max="1557" width="21.44140625" style="283" customWidth="1"/>
    <col min="1558" max="1558" width="9.21875" style="283"/>
    <col min="1559" max="1559" width="10" style="283" bestFit="1" customWidth="1"/>
    <col min="1560" max="1560" width="9.77734375" style="283" bestFit="1" customWidth="1"/>
    <col min="1561" max="1792" width="9.21875" style="283"/>
    <col min="1793" max="1793" width="10.21875" style="283" customWidth="1"/>
    <col min="1794" max="1794" width="33.44140625" style="283" customWidth="1"/>
    <col min="1795" max="1795" width="15.21875" style="283" customWidth="1"/>
    <col min="1796" max="1796" width="6.77734375" style="283" customWidth="1"/>
    <col min="1797" max="1797" width="13.77734375" style="283" customWidth="1"/>
    <col min="1798" max="1798" width="10" style="283" customWidth="1"/>
    <col min="1799" max="1799" width="13" style="283" customWidth="1"/>
    <col min="1800" max="1800" width="21.44140625" style="283" customWidth="1"/>
    <col min="1801" max="1801" width="29.21875" style="283" bestFit="1" customWidth="1"/>
    <col min="1802" max="1802" width="22.77734375" style="283" customWidth="1"/>
    <col min="1803" max="1803" width="15.5546875" style="283" customWidth="1"/>
    <col min="1804" max="1804" width="2" style="283" customWidth="1"/>
    <col min="1805" max="1805" width="7.21875" style="283" customWidth="1"/>
    <col min="1806" max="1806" width="1.5546875" style="283" customWidth="1"/>
    <col min="1807" max="1807" width="1" style="283" customWidth="1"/>
    <col min="1808" max="1808" width="16.44140625" style="283" customWidth="1"/>
    <col min="1809" max="1809" width="1.44140625" style="283" customWidth="1"/>
    <col min="1810" max="1810" width="2.44140625" style="283" customWidth="1"/>
    <col min="1811" max="1811" width="13" style="283" customWidth="1"/>
    <col min="1812" max="1812" width="3.21875" style="283" customWidth="1"/>
    <col min="1813" max="1813" width="21.44140625" style="283" customWidth="1"/>
    <col min="1814" max="1814" width="9.21875" style="283"/>
    <col min="1815" max="1815" width="10" style="283" bestFit="1" customWidth="1"/>
    <col min="1816" max="1816" width="9.77734375" style="283" bestFit="1" customWidth="1"/>
    <col min="1817" max="2048" width="9.21875" style="283"/>
    <col min="2049" max="2049" width="10.21875" style="283" customWidth="1"/>
    <col min="2050" max="2050" width="33.44140625" style="283" customWidth="1"/>
    <col min="2051" max="2051" width="15.21875" style="283" customWidth="1"/>
    <col min="2052" max="2052" width="6.77734375" style="283" customWidth="1"/>
    <col min="2053" max="2053" width="13.77734375" style="283" customWidth="1"/>
    <col min="2054" max="2054" width="10" style="283" customWidth="1"/>
    <col min="2055" max="2055" width="13" style="283" customWidth="1"/>
    <col min="2056" max="2056" width="21.44140625" style="283" customWidth="1"/>
    <col min="2057" max="2057" width="29.21875" style="283" bestFit="1" customWidth="1"/>
    <col min="2058" max="2058" width="22.77734375" style="283" customWidth="1"/>
    <col min="2059" max="2059" width="15.5546875" style="283" customWidth="1"/>
    <col min="2060" max="2060" width="2" style="283" customWidth="1"/>
    <col min="2061" max="2061" width="7.21875" style="283" customWidth="1"/>
    <col min="2062" max="2062" width="1.5546875" style="283" customWidth="1"/>
    <col min="2063" max="2063" width="1" style="283" customWidth="1"/>
    <col min="2064" max="2064" width="16.44140625" style="283" customWidth="1"/>
    <col min="2065" max="2065" width="1.44140625" style="283" customWidth="1"/>
    <col min="2066" max="2066" width="2.44140625" style="283" customWidth="1"/>
    <col min="2067" max="2067" width="13" style="283" customWidth="1"/>
    <col min="2068" max="2068" width="3.21875" style="283" customWidth="1"/>
    <col min="2069" max="2069" width="21.44140625" style="283" customWidth="1"/>
    <col min="2070" max="2070" width="9.21875" style="283"/>
    <col min="2071" max="2071" width="10" style="283" bestFit="1" customWidth="1"/>
    <col min="2072" max="2072" width="9.77734375" style="283" bestFit="1" customWidth="1"/>
    <col min="2073" max="2304" width="9.21875" style="283"/>
    <col min="2305" max="2305" width="10.21875" style="283" customWidth="1"/>
    <col min="2306" max="2306" width="33.44140625" style="283" customWidth="1"/>
    <col min="2307" max="2307" width="15.21875" style="283" customWidth="1"/>
    <col min="2308" max="2308" width="6.77734375" style="283" customWidth="1"/>
    <col min="2309" max="2309" width="13.77734375" style="283" customWidth="1"/>
    <col min="2310" max="2310" width="10" style="283" customWidth="1"/>
    <col min="2311" max="2311" width="13" style="283" customWidth="1"/>
    <col min="2312" max="2312" width="21.44140625" style="283" customWidth="1"/>
    <col min="2313" max="2313" width="29.21875" style="283" bestFit="1" customWidth="1"/>
    <col min="2314" max="2314" width="22.77734375" style="283" customWidth="1"/>
    <col min="2315" max="2315" width="15.5546875" style="283" customWidth="1"/>
    <col min="2316" max="2316" width="2" style="283" customWidth="1"/>
    <col min="2317" max="2317" width="7.21875" style="283" customWidth="1"/>
    <col min="2318" max="2318" width="1.5546875" style="283" customWidth="1"/>
    <col min="2319" max="2319" width="1" style="283" customWidth="1"/>
    <col min="2320" max="2320" width="16.44140625" style="283" customWidth="1"/>
    <col min="2321" max="2321" width="1.44140625" style="283" customWidth="1"/>
    <col min="2322" max="2322" width="2.44140625" style="283" customWidth="1"/>
    <col min="2323" max="2323" width="13" style="283" customWidth="1"/>
    <col min="2324" max="2324" width="3.21875" style="283" customWidth="1"/>
    <col min="2325" max="2325" width="21.44140625" style="283" customWidth="1"/>
    <col min="2326" max="2326" width="9.21875" style="283"/>
    <col min="2327" max="2327" width="10" style="283" bestFit="1" customWidth="1"/>
    <col min="2328" max="2328" width="9.77734375" style="283" bestFit="1" customWidth="1"/>
    <col min="2329" max="2560" width="9.21875" style="283"/>
    <col min="2561" max="2561" width="10.21875" style="283" customWidth="1"/>
    <col min="2562" max="2562" width="33.44140625" style="283" customWidth="1"/>
    <col min="2563" max="2563" width="15.21875" style="283" customWidth="1"/>
    <col min="2564" max="2564" width="6.77734375" style="283" customWidth="1"/>
    <col min="2565" max="2565" width="13.77734375" style="283" customWidth="1"/>
    <col min="2566" max="2566" width="10" style="283" customWidth="1"/>
    <col min="2567" max="2567" width="13" style="283" customWidth="1"/>
    <col min="2568" max="2568" width="21.44140625" style="283" customWidth="1"/>
    <col min="2569" max="2569" width="29.21875" style="283" bestFit="1" customWidth="1"/>
    <col min="2570" max="2570" width="22.77734375" style="283" customWidth="1"/>
    <col min="2571" max="2571" width="15.5546875" style="283" customWidth="1"/>
    <col min="2572" max="2572" width="2" style="283" customWidth="1"/>
    <col min="2573" max="2573" width="7.21875" style="283" customWidth="1"/>
    <col min="2574" max="2574" width="1.5546875" style="283" customWidth="1"/>
    <col min="2575" max="2575" width="1" style="283" customWidth="1"/>
    <col min="2576" max="2576" width="16.44140625" style="283" customWidth="1"/>
    <col min="2577" max="2577" width="1.44140625" style="283" customWidth="1"/>
    <col min="2578" max="2578" width="2.44140625" style="283" customWidth="1"/>
    <col min="2579" max="2579" width="13" style="283" customWidth="1"/>
    <col min="2580" max="2580" width="3.21875" style="283" customWidth="1"/>
    <col min="2581" max="2581" width="21.44140625" style="283" customWidth="1"/>
    <col min="2582" max="2582" width="9.21875" style="283"/>
    <col min="2583" max="2583" width="10" style="283" bestFit="1" customWidth="1"/>
    <col min="2584" max="2584" width="9.77734375" style="283" bestFit="1" customWidth="1"/>
    <col min="2585" max="2816" width="9.21875" style="283"/>
    <col min="2817" max="2817" width="10.21875" style="283" customWidth="1"/>
    <col min="2818" max="2818" width="33.44140625" style="283" customWidth="1"/>
    <col min="2819" max="2819" width="15.21875" style="283" customWidth="1"/>
    <col min="2820" max="2820" width="6.77734375" style="283" customWidth="1"/>
    <col min="2821" max="2821" width="13.77734375" style="283" customWidth="1"/>
    <col min="2822" max="2822" width="10" style="283" customWidth="1"/>
    <col min="2823" max="2823" width="13" style="283" customWidth="1"/>
    <col min="2824" max="2824" width="21.44140625" style="283" customWidth="1"/>
    <col min="2825" max="2825" width="29.21875" style="283" bestFit="1" customWidth="1"/>
    <col min="2826" max="2826" width="22.77734375" style="283" customWidth="1"/>
    <col min="2827" max="2827" width="15.5546875" style="283" customWidth="1"/>
    <col min="2828" max="2828" width="2" style="283" customWidth="1"/>
    <col min="2829" max="2829" width="7.21875" style="283" customWidth="1"/>
    <col min="2830" max="2830" width="1.5546875" style="283" customWidth="1"/>
    <col min="2831" max="2831" width="1" style="283" customWidth="1"/>
    <col min="2832" max="2832" width="16.44140625" style="283" customWidth="1"/>
    <col min="2833" max="2833" width="1.44140625" style="283" customWidth="1"/>
    <col min="2834" max="2834" width="2.44140625" style="283" customWidth="1"/>
    <col min="2835" max="2835" width="13" style="283" customWidth="1"/>
    <col min="2836" max="2836" width="3.21875" style="283" customWidth="1"/>
    <col min="2837" max="2837" width="21.44140625" style="283" customWidth="1"/>
    <col min="2838" max="2838" width="9.21875" style="283"/>
    <col min="2839" max="2839" width="10" style="283" bestFit="1" customWidth="1"/>
    <col min="2840" max="2840" width="9.77734375" style="283" bestFit="1" customWidth="1"/>
    <col min="2841" max="3072" width="9.21875" style="283"/>
    <col min="3073" max="3073" width="10.21875" style="283" customWidth="1"/>
    <col min="3074" max="3074" width="33.44140625" style="283" customWidth="1"/>
    <col min="3075" max="3075" width="15.21875" style="283" customWidth="1"/>
    <col min="3076" max="3076" width="6.77734375" style="283" customWidth="1"/>
    <col min="3077" max="3077" width="13.77734375" style="283" customWidth="1"/>
    <col min="3078" max="3078" width="10" style="283" customWidth="1"/>
    <col min="3079" max="3079" width="13" style="283" customWidth="1"/>
    <col min="3080" max="3080" width="21.44140625" style="283" customWidth="1"/>
    <col min="3081" max="3081" width="29.21875" style="283" bestFit="1" customWidth="1"/>
    <col min="3082" max="3082" width="22.77734375" style="283" customWidth="1"/>
    <col min="3083" max="3083" width="15.5546875" style="283" customWidth="1"/>
    <col min="3084" max="3084" width="2" style="283" customWidth="1"/>
    <col min="3085" max="3085" width="7.21875" style="283" customWidth="1"/>
    <col min="3086" max="3086" width="1.5546875" style="283" customWidth="1"/>
    <col min="3087" max="3087" width="1" style="283" customWidth="1"/>
    <col min="3088" max="3088" width="16.44140625" style="283" customWidth="1"/>
    <col min="3089" max="3089" width="1.44140625" style="283" customWidth="1"/>
    <col min="3090" max="3090" width="2.44140625" style="283" customWidth="1"/>
    <col min="3091" max="3091" width="13" style="283" customWidth="1"/>
    <col min="3092" max="3092" width="3.21875" style="283" customWidth="1"/>
    <col min="3093" max="3093" width="21.44140625" style="283" customWidth="1"/>
    <col min="3094" max="3094" width="9.21875" style="283"/>
    <col min="3095" max="3095" width="10" style="283" bestFit="1" customWidth="1"/>
    <col min="3096" max="3096" width="9.77734375" style="283" bestFit="1" customWidth="1"/>
    <col min="3097" max="3328" width="9.21875" style="283"/>
    <col min="3329" max="3329" width="10.21875" style="283" customWidth="1"/>
    <col min="3330" max="3330" width="33.44140625" style="283" customWidth="1"/>
    <col min="3331" max="3331" width="15.21875" style="283" customWidth="1"/>
    <col min="3332" max="3332" width="6.77734375" style="283" customWidth="1"/>
    <col min="3333" max="3333" width="13.77734375" style="283" customWidth="1"/>
    <col min="3334" max="3334" width="10" style="283" customWidth="1"/>
    <col min="3335" max="3335" width="13" style="283" customWidth="1"/>
    <col min="3336" max="3336" width="21.44140625" style="283" customWidth="1"/>
    <col min="3337" max="3337" width="29.21875" style="283" bestFit="1" customWidth="1"/>
    <col min="3338" max="3338" width="22.77734375" style="283" customWidth="1"/>
    <col min="3339" max="3339" width="15.5546875" style="283" customWidth="1"/>
    <col min="3340" max="3340" width="2" style="283" customWidth="1"/>
    <col min="3341" max="3341" width="7.21875" style="283" customWidth="1"/>
    <col min="3342" max="3342" width="1.5546875" style="283" customWidth="1"/>
    <col min="3343" max="3343" width="1" style="283" customWidth="1"/>
    <col min="3344" max="3344" width="16.44140625" style="283" customWidth="1"/>
    <col min="3345" max="3345" width="1.44140625" style="283" customWidth="1"/>
    <col min="3346" max="3346" width="2.44140625" style="283" customWidth="1"/>
    <col min="3347" max="3347" width="13" style="283" customWidth="1"/>
    <col min="3348" max="3348" width="3.21875" style="283" customWidth="1"/>
    <col min="3349" max="3349" width="21.44140625" style="283" customWidth="1"/>
    <col min="3350" max="3350" width="9.21875" style="283"/>
    <col min="3351" max="3351" width="10" style="283" bestFit="1" customWidth="1"/>
    <col min="3352" max="3352" width="9.77734375" style="283" bestFit="1" customWidth="1"/>
    <col min="3353" max="3584" width="9.21875" style="283"/>
    <col min="3585" max="3585" width="10.21875" style="283" customWidth="1"/>
    <col min="3586" max="3586" width="33.44140625" style="283" customWidth="1"/>
    <col min="3587" max="3587" width="15.21875" style="283" customWidth="1"/>
    <col min="3588" max="3588" width="6.77734375" style="283" customWidth="1"/>
    <col min="3589" max="3589" width="13.77734375" style="283" customWidth="1"/>
    <col min="3590" max="3590" width="10" style="283" customWidth="1"/>
    <col min="3591" max="3591" width="13" style="283" customWidth="1"/>
    <col min="3592" max="3592" width="21.44140625" style="283" customWidth="1"/>
    <col min="3593" max="3593" width="29.21875" style="283" bestFit="1" customWidth="1"/>
    <col min="3594" max="3594" width="22.77734375" style="283" customWidth="1"/>
    <col min="3595" max="3595" width="15.5546875" style="283" customWidth="1"/>
    <col min="3596" max="3596" width="2" style="283" customWidth="1"/>
    <col min="3597" max="3597" width="7.21875" style="283" customWidth="1"/>
    <col min="3598" max="3598" width="1.5546875" style="283" customWidth="1"/>
    <col min="3599" max="3599" width="1" style="283" customWidth="1"/>
    <col min="3600" max="3600" width="16.44140625" style="283" customWidth="1"/>
    <col min="3601" max="3601" width="1.44140625" style="283" customWidth="1"/>
    <col min="3602" max="3602" width="2.44140625" style="283" customWidth="1"/>
    <col min="3603" max="3603" width="13" style="283" customWidth="1"/>
    <col min="3604" max="3604" width="3.21875" style="283" customWidth="1"/>
    <col min="3605" max="3605" width="21.44140625" style="283" customWidth="1"/>
    <col min="3606" max="3606" width="9.21875" style="283"/>
    <col min="3607" max="3607" width="10" style="283" bestFit="1" customWidth="1"/>
    <col min="3608" max="3608" width="9.77734375" style="283" bestFit="1" customWidth="1"/>
    <col min="3609" max="3840" width="9.21875" style="283"/>
    <col min="3841" max="3841" width="10.21875" style="283" customWidth="1"/>
    <col min="3842" max="3842" width="33.44140625" style="283" customWidth="1"/>
    <col min="3843" max="3843" width="15.21875" style="283" customWidth="1"/>
    <col min="3844" max="3844" width="6.77734375" style="283" customWidth="1"/>
    <col min="3845" max="3845" width="13.77734375" style="283" customWidth="1"/>
    <col min="3846" max="3846" width="10" style="283" customWidth="1"/>
    <col min="3847" max="3847" width="13" style="283" customWidth="1"/>
    <col min="3848" max="3848" width="21.44140625" style="283" customWidth="1"/>
    <col min="3849" max="3849" width="29.21875" style="283" bestFit="1" customWidth="1"/>
    <col min="3850" max="3850" width="22.77734375" style="283" customWidth="1"/>
    <col min="3851" max="3851" width="15.5546875" style="283" customWidth="1"/>
    <col min="3852" max="3852" width="2" style="283" customWidth="1"/>
    <col min="3853" max="3853" width="7.21875" style="283" customWidth="1"/>
    <col min="3854" max="3854" width="1.5546875" style="283" customWidth="1"/>
    <col min="3855" max="3855" width="1" style="283" customWidth="1"/>
    <col min="3856" max="3856" width="16.44140625" style="283" customWidth="1"/>
    <col min="3857" max="3857" width="1.44140625" style="283" customWidth="1"/>
    <col min="3858" max="3858" width="2.44140625" style="283" customWidth="1"/>
    <col min="3859" max="3859" width="13" style="283" customWidth="1"/>
    <col min="3860" max="3860" width="3.21875" style="283" customWidth="1"/>
    <col min="3861" max="3861" width="21.44140625" style="283" customWidth="1"/>
    <col min="3862" max="3862" width="9.21875" style="283"/>
    <col min="3863" max="3863" width="10" style="283" bestFit="1" customWidth="1"/>
    <col min="3864" max="3864" width="9.77734375" style="283" bestFit="1" customWidth="1"/>
    <col min="3865" max="4096" width="9.21875" style="283"/>
    <col min="4097" max="4097" width="10.21875" style="283" customWidth="1"/>
    <col min="4098" max="4098" width="33.44140625" style="283" customWidth="1"/>
    <col min="4099" max="4099" width="15.21875" style="283" customWidth="1"/>
    <col min="4100" max="4100" width="6.77734375" style="283" customWidth="1"/>
    <col min="4101" max="4101" width="13.77734375" style="283" customWidth="1"/>
    <col min="4102" max="4102" width="10" style="283" customWidth="1"/>
    <col min="4103" max="4103" width="13" style="283" customWidth="1"/>
    <col min="4104" max="4104" width="21.44140625" style="283" customWidth="1"/>
    <col min="4105" max="4105" width="29.21875" style="283" bestFit="1" customWidth="1"/>
    <col min="4106" max="4106" width="22.77734375" style="283" customWidth="1"/>
    <col min="4107" max="4107" width="15.5546875" style="283" customWidth="1"/>
    <col min="4108" max="4108" width="2" style="283" customWidth="1"/>
    <col min="4109" max="4109" width="7.21875" style="283" customWidth="1"/>
    <col min="4110" max="4110" width="1.5546875" style="283" customWidth="1"/>
    <col min="4111" max="4111" width="1" style="283" customWidth="1"/>
    <col min="4112" max="4112" width="16.44140625" style="283" customWidth="1"/>
    <col min="4113" max="4113" width="1.44140625" style="283" customWidth="1"/>
    <col min="4114" max="4114" width="2.44140625" style="283" customWidth="1"/>
    <col min="4115" max="4115" width="13" style="283" customWidth="1"/>
    <col min="4116" max="4116" width="3.21875" style="283" customWidth="1"/>
    <col min="4117" max="4117" width="21.44140625" style="283" customWidth="1"/>
    <col min="4118" max="4118" width="9.21875" style="283"/>
    <col min="4119" max="4119" width="10" style="283" bestFit="1" customWidth="1"/>
    <col min="4120" max="4120" width="9.77734375" style="283" bestFit="1" customWidth="1"/>
    <col min="4121" max="4352" width="9.21875" style="283"/>
    <col min="4353" max="4353" width="10.21875" style="283" customWidth="1"/>
    <col min="4354" max="4354" width="33.44140625" style="283" customWidth="1"/>
    <col min="4355" max="4355" width="15.21875" style="283" customWidth="1"/>
    <col min="4356" max="4356" width="6.77734375" style="283" customWidth="1"/>
    <col min="4357" max="4357" width="13.77734375" style="283" customWidth="1"/>
    <col min="4358" max="4358" width="10" style="283" customWidth="1"/>
    <col min="4359" max="4359" width="13" style="283" customWidth="1"/>
    <col min="4360" max="4360" width="21.44140625" style="283" customWidth="1"/>
    <col min="4361" max="4361" width="29.21875" style="283" bestFit="1" customWidth="1"/>
    <col min="4362" max="4362" width="22.77734375" style="283" customWidth="1"/>
    <col min="4363" max="4363" width="15.5546875" style="283" customWidth="1"/>
    <col min="4364" max="4364" width="2" style="283" customWidth="1"/>
    <col min="4365" max="4365" width="7.21875" style="283" customWidth="1"/>
    <col min="4366" max="4366" width="1.5546875" style="283" customWidth="1"/>
    <col min="4367" max="4367" width="1" style="283" customWidth="1"/>
    <col min="4368" max="4368" width="16.44140625" style="283" customWidth="1"/>
    <col min="4369" max="4369" width="1.44140625" style="283" customWidth="1"/>
    <col min="4370" max="4370" width="2.44140625" style="283" customWidth="1"/>
    <col min="4371" max="4371" width="13" style="283" customWidth="1"/>
    <col min="4372" max="4372" width="3.21875" style="283" customWidth="1"/>
    <col min="4373" max="4373" width="21.44140625" style="283" customWidth="1"/>
    <col min="4374" max="4374" width="9.21875" style="283"/>
    <col min="4375" max="4375" width="10" style="283" bestFit="1" customWidth="1"/>
    <col min="4376" max="4376" width="9.77734375" style="283" bestFit="1" customWidth="1"/>
    <col min="4377" max="4608" width="9.21875" style="283"/>
    <col min="4609" max="4609" width="10.21875" style="283" customWidth="1"/>
    <col min="4610" max="4610" width="33.44140625" style="283" customWidth="1"/>
    <col min="4611" max="4611" width="15.21875" style="283" customWidth="1"/>
    <col min="4612" max="4612" width="6.77734375" style="283" customWidth="1"/>
    <col min="4613" max="4613" width="13.77734375" style="283" customWidth="1"/>
    <col min="4614" max="4614" width="10" style="283" customWidth="1"/>
    <col min="4615" max="4615" width="13" style="283" customWidth="1"/>
    <col min="4616" max="4616" width="21.44140625" style="283" customWidth="1"/>
    <col min="4617" max="4617" width="29.21875" style="283" bestFit="1" customWidth="1"/>
    <col min="4618" max="4618" width="22.77734375" style="283" customWidth="1"/>
    <col min="4619" max="4619" width="15.5546875" style="283" customWidth="1"/>
    <col min="4620" max="4620" width="2" style="283" customWidth="1"/>
    <col min="4621" max="4621" width="7.21875" style="283" customWidth="1"/>
    <col min="4622" max="4622" width="1.5546875" style="283" customWidth="1"/>
    <col min="4623" max="4623" width="1" style="283" customWidth="1"/>
    <col min="4624" max="4624" width="16.44140625" style="283" customWidth="1"/>
    <col min="4625" max="4625" width="1.44140625" style="283" customWidth="1"/>
    <col min="4626" max="4626" width="2.44140625" style="283" customWidth="1"/>
    <col min="4627" max="4627" width="13" style="283" customWidth="1"/>
    <col min="4628" max="4628" width="3.21875" style="283" customWidth="1"/>
    <col min="4629" max="4629" width="21.44140625" style="283" customWidth="1"/>
    <col min="4630" max="4630" width="9.21875" style="283"/>
    <col min="4631" max="4631" width="10" style="283" bestFit="1" customWidth="1"/>
    <col min="4632" max="4632" width="9.77734375" style="283" bestFit="1" customWidth="1"/>
    <col min="4633" max="4864" width="9.21875" style="283"/>
    <col min="4865" max="4865" width="10.21875" style="283" customWidth="1"/>
    <col min="4866" max="4866" width="33.44140625" style="283" customWidth="1"/>
    <col min="4867" max="4867" width="15.21875" style="283" customWidth="1"/>
    <col min="4868" max="4868" width="6.77734375" style="283" customWidth="1"/>
    <col min="4869" max="4869" width="13.77734375" style="283" customWidth="1"/>
    <col min="4870" max="4870" width="10" style="283" customWidth="1"/>
    <col min="4871" max="4871" width="13" style="283" customWidth="1"/>
    <col min="4872" max="4872" width="21.44140625" style="283" customWidth="1"/>
    <col min="4873" max="4873" width="29.21875" style="283" bestFit="1" customWidth="1"/>
    <col min="4874" max="4874" width="22.77734375" style="283" customWidth="1"/>
    <col min="4875" max="4875" width="15.5546875" style="283" customWidth="1"/>
    <col min="4876" max="4876" width="2" style="283" customWidth="1"/>
    <col min="4877" max="4877" width="7.21875" style="283" customWidth="1"/>
    <col min="4878" max="4878" width="1.5546875" style="283" customWidth="1"/>
    <col min="4879" max="4879" width="1" style="283" customWidth="1"/>
    <col min="4880" max="4880" width="16.44140625" style="283" customWidth="1"/>
    <col min="4881" max="4881" width="1.44140625" style="283" customWidth="1"/>
    <col min="4882" max="4882" width="2.44140625" style="283" customWidth="1"/>
    <col min="4883" max="4883" width="13" style="283" customWidth="1"/>
    <col min="4884" max="4884" width="3.21875" style="283" customWidth="1"/>
    <col min="4885" max="4885" width="21.44140625" style="283" customWidth="1"/>
    <col min="4886" max="4886" width="9.21875" style="283"/>
    <col min="4887" max="4887" width="10" style="283" bestFit="1" customWidth="1"/>
    <col min="4888" max="4888" width="9.77734375" style="283" bestFit="1" customWidth="1"/>
    <col min="4889" max="5120" width="9.21875" style="283"/>
    <col min="5121" max="5121" width="10.21875" style="283" customWidth="1"/>
    <col min="5122" max="5122" width="33.44140625" style="283" customWidth="1"/>
    <col min="5123" max="5123" width="15.21875" style="283" customWidth="1"/>
    <col min="5124" max="5124" width="6.77734375" style="283" customWidth="1"/>
    <col min="5125" max="5125" width="13.77734375" style="283" customWidth="1"/>
    <col min="5126" max="5126" width="10" style="283" customWidth="1"/>
    <col min="5127" max="5127" width="13" style="283" customWidth="1"/>
    <col min="5128" max="5128" width="21.44140625" style="283" customWidth="1"/>
    <col min="5129" max="5129" width="29.21875" style="283" bestFit="1" customWidth="1"/>
    <col min="5130" max="5130" width="22.77734375" style="283" customWidth="1"/>
    <col min="5131" max="5131" width="15.5546875" style="283" customWidth="1"/>
    <col min="5132" max="5132" width="2" style="283" customWidth="1"/>
    <col min="5133" max="5133" width="7.21875" style="283" customWidth="1"/>
    <col min="5134" max="5134" width="1.5546875" style="283" customWidth="1"/>
    <col min="5135" max="5135" width="1" style="283" customWidth="1"/>
    <col min="5136" max="5136" width="16.44140625" style="283" customWidth="1"/>
    <col min="5137" max="5137" width="1.44140625" style="283" customWidth="1"/>
    <col min="5138" max="5138" width="2.44140625" style="283" customWidth="1"/>
    <col min="5139" max="5139" width="13" style="283" customWidth="1"/>
    <col min="5140" max="5140" width="3.21875" style="283" customWidth="1"/>
    <col min="5141" max="5141" width="21.44140625" style="283" customWidth="1"/>
    <col min="5142" max="5142" width="9.21875" style="283"/>
    <col min="5143" max="5143" width="10" style="283" bestFit="1" customWidth="1"/>
    <col min="5144" max="5144" width="9.77734375" style="283" bestFit="1" customWidth="1"/>
    <col min="5145" max="5376" width="9.21875" style="283"/>
    <col min="5377" max="5377" width="10.21875" style="283" customWidth="1"/>
    <col min="5378" max="5378" width="33.44140625" style="283" customWidth="1"/>
    <col min="5379" max="5379" width="15.21875" style="283" customWidth="1"/>
    <col min="5380" max="5380" width="6.77734375" style="283" customWidth="1"/>
    <col min="5381" max="5381" width="13.77734375" style="283" customWidth="1"/>
    <col min="5382" max="5382" width="10" style="283" customWidth="1"/>
    <col min="5383" max="5383" width="13" style="283" customWidth="1"/>
    <col min="5384" max="5384" width="21.44140625" style="283" customWidth="1"/>
    <col min="5385" max="5385" width="29.21875" style="283" bestFit="1" customWidth="1"/>
    <col min="5386" max="5386" width="22.77734375" style="283" customWidth="1"/>
    <col min="5387" max="5387" width="15.5546875" style="283" customWidth="1"/>
    <col min="5388" max="5388" width="2" style="283" customWidth="1"/>
    <col min="5389" max="5389" width="7.21875" style="283" customWidth="1"/>
    <col min="5390" max="5390" width="1.5546875" style="283" customWidth="1"/>
    <col min="5391" max="5391" width="1" style="283" customWidth="1"/>
    <col min="5392" max="5392" width="16.44140625" style="283" customWidth="1"/>
    <col min="5393" max="5393" width="1.44140625" style="283" customWidth="1"/>
    <col min="5394" max="5394" width="2.44140625" style="283" customWidth="1"/>
    <col min="5395" max="5395" width="13" style="283" customWidth="1"/>
    <col min="5396" max="5396" width="3.21875" style="283" customWidth="1"/>
    <col min="5397" max="5397" width="21.44140625" style="283" customWidth="1"/>
    <col min="5398" max="5398" width="9.21875" style="283"/>
    <col min="5399" max="5399" width="10" style="283" bestFit="1" customWidth="1"/>
    <col min="5400" max="5400" width="9.77734375" style="283" bestFit="1" customWidth="1"/>
    <col min="5401" max="5632" width="9.21875" style="283"/>
    <col min="5633" max="5633" width="10.21875" style="283" customWidth="1"/>
    <col min="5634" max="5634" width="33.44140625" style="283" customWidth="1"/>
    <col min="5635" max="5635" width="15.21875" style="283" customWidth="1"/>
    <col min="5636" max="5636" width="6.77734375" style="283" customWidth="1"/>
    <col min="5637" max="5637" width="13.77734375" style="283" customWidth="1"/>
    <col min="5638" max="5638" width="10" style="283" customWidth="1"/>
    <col min="5639" max="5639" width="13" style="283" customWidth="1"/>
    <col min="5640" max="5640" width="21.44140625" style="283" customWidth="1"/>
    <col min="5641" max="5641" width="29.21875" style="283" bestFit="1" customWidth="1"/>
    <col min="5642" max="5642" width="22.77734375" style="283" customWidth="1"/>
    <col min="5643" max="5643" width="15.5546875" style="283" customWidth="1"/>
    <col min="5644" max="5644" width="2" style="283" customWidth="1"/>
    <col min="5645" max="5645" width="7.21875" style="283" customWidth="1"/>
    <col min="5646" max="5646" width="1.5546875" style="283" customWidth="1"/>
    <col min="5647" max="5647" width="1" style="283" customWidth="1"/>
    <col min="5648" max="5648" width="16.44140625" style="283" customWidth="1"/>
    <col min="5649" max="5649" width="1.44140625" style="283" customWidth="1"/>
    <col min="5650" max="5650" width="2.44140625" style="283" customWidth="1"/>
    <col min="5651" max="5651" width="13" style="283" customWidth="1"/>
    <col min="5652" max="5652" width="3.21875" style="283" customWidth="1"/>
    <col min="5653" max="5653" width="21.44140625" style="283" customWidth="1"/>
    <col min="5654" max="5654" width="9.21875" style="283"/>
    <col min="5655" max="5655" width="10" style="283" bestFit="1" customWidth="1"/>
    <col min="5656" max="5656" width="9.77734375" style="283" bestFit="1" customWidth="1"/>
    <col min="5657" max="5888" width="9.21875" style="283"/>
    <col min="5889" max="5889" width="10.21875" style="283" customWidth="1"/>
    <col min="5890" max="5890" width="33.44140625" style="283" customWidth="1"/>
    <col min="5891" max="5891" width="15.21875" style="283" customWidth="1"/>
    <col min="5892" max="5892" width="6.77734375" style="283" customWidth="1"/>
    <col min="5893" max="5893" width="13.77734375" style="283" customWidth="1"/>
    <col min="5894" max="5894" width="10" style="283" customWidth="1"/>
    <col min="5895" max="5895" width="13" style="283" customWidth="1"/>
    <col min="5896" max="5896" width="21.44140625" style="283" customWidth="1"/>
    <col min="5897" max="5897" width="29.21875" style="283" bestFit="1" customWidth="1"/>
    <col min="5898" max="5898" width="22.77734375" style="283" customWidth="1"/>
    <col min="5899" max="5899" width="15.5546875" style="283" customWidth="1"/>
    <col min="5900" max="5900" width="2" style="283" customWidth="1"/>
    <col min="5901" max="5901" width="7.21875" style="283" customWidth="1"/>
    <col min="5902" max="5902" width="1.5546875" style="283" customWidth="1"/>
    <col min="5903" max="5903" width="1" style="283" customWidth="1"/>
    <col min="5904" max="5904" width="16.44140625" style="283" customWidth="1"/>
    <col min="5905" max="5905" width="1.44140625" style="283" customWidth="1"/>
    <col min="5906" max="5906" width="2.44140625" style="283" customWidth="1"/>
    <col min="5907" max="5907" width="13" style="283" customWidth="1"/>
    <col min="5908" max="5908" width="3.21875" style="283" customWidth="1"/>
    <col min="5909" max="5909" width="21.44140625" style="283" customWidth="1"/>
    <col min="5910" max="5910" width="9.21875" style="283"/>
    <col min="5911" max="5911" width="10" style="283" bestFit="1" customWidth="1"/>
    <col min="5912" max="5912" width="9.77734375" style="283" bestFit="1" customWidth="1"/>
    <col min="5913" max="6144" width="9.21875" style="283"/>
    <col min="6145" max="6145" width="10.21875" style="283" customWidth="1"/>
    <col min="6146" max="6146" width="33.44140625" style="283" customWidth="1"/>
    <col min="6147" max="6147" width="15.21875" style="283" customWidth="1"/>
    <col min="6148" max="6148" width="6.77734375" style="283" customWidth="1"/>
    <col min="6149" max="6149" width="13.77734375" style="283" customWidth="1"/>
    <col min="6150" max="6150" width="10" style="283" customWidth="1"/>
    <col min="6151" max="6151" width="13" style="283" customWidth="1"/>
    <col min="6152" max="6152" width="21.44140625" style="283" customWidth="1"/>
    <col min="6153" max="6153" width="29.21875" style="283" bestFit="1" customWidth="1"/>
    <col min="6154" max="6154" width="22.77734375" style="283" customWidth="1"/>
    <col min="6155" max="6155" width="15.5546875" style="283" customWidth="1"/>
    <col min="6156" max="6156" width="2" style="283" customWidth="1"/>
    <col min="6157" max="6157" width="7.21875" style="283" customWidth="1"/>
    <col min="6158" max="6158" width="1.5546875" style="283" customWidth="1"/>
    <col min="6159" max="6159" width="1" style="283" customWidth="1"/>
    <col min="6160" max="6160" width="16.44140625" style="283" customWidth="1"/>
    <col min="6161" max="6161" width="1.44140625" style="283" customWidth="1"/>
    <col min="6162" max="6162" width="2.44140625" style="283" customWidth="1"/>
    <col min="6163" max="6163" width="13" style="283" customWidth="1"/>
    <col min="6164" max="6164" width="3.21875" style="283" customWidth="1"/>
    <col min="6165" max="6165" width="21.44140625" style="283" customWidth="1"/>
    <col min="6166" max="6166" width="9.21875" style="283"/>
    <col min="6167" max="6167" width="10" style="283" bestFit="1" customWidth="1"/>
    <col min="6168" max="6168" width="9.77734375" style="283" bestFit="1" customWidth="1"/>
    <col min="6169" max="6400" width="9.21875" style="283"/>
    <col min="6401" max="6401" width="10.21875" style="283" customWidth="1"/>
    <col min="6402" max="6402" width="33.44140625" style="283" customWidth="1"/>
    <col min="6403" max="6403" width="15.21875" style="283" customWidth="1"/>
    <col min="6404" max="6404" width="6.77734375" style="283" customWidth="1"/>
    <col min="6405" max="6405" width="13.77734375" style="283" customWidth="1"/>
    <col min="6406" max="6406" width="10" style="283" customWidth="1"/>
    <col min="6407" max="6407" width="13" style="283" customWidth="1"/>
    <col min="6408" max="6408" width="21.44140625" style="283" customWidth="1"/>
    <col min="6409" max="6409" width="29.21875" style="283" bestFit="1" customWidth="1"/>
    <col min="6410" max="6410" width="22.77734375" style="283" customWidth="1"/>
    <col min="6411" max="6411" width="15.5546875" style="283" customWidth="1"/>
    <col min="6412" max="6412" width="2" style="283" customWidth="1"/>
    <col min="6413" max="6413" width="7.21875" style="283" customWidth="1"/>
    <col min="6414" max="6414" width="1.5546875" style="283" customWidth="1"/>
    <col min="6415" max="6415" width="1" style="283" customWidth="1"/>
    <col min="6416" max="6416" width="16.44140625" style="283" customWidth="1"/>
    <col min="6417" max="6417" width="1.44140625" style="283" customWidth="1"/>
    <col min="6418" max="6418" width="2.44140625" style="283" customWidth="1"/>
    <col min="6419" max="6419" width="13" style="283" customWidth="1"/>
    <col min="6420" max="6420" width="3.21875" style="283" customWidth="1"/>
    <col min="6421" max="6421" width="21.44140625" style="283" customWidth="1"/>
    <col min="6422" max="6422" width="9.21875" style="283"/>
    <col min="6423" max="6423" width="10" style="283" bestFit="1" customWidth="1"/>
    <col min="6424" max="6424" width="9.77734375" style="283" bestFit="1" customWidth="1"/>
    <col min="6425" max="6656" width="9.21875" style="283"/>
    <col min="6657" max="6657" width="10.21875" style="283" customWidth="1"/>
    <col min="6658" max="6658" width="33.44140625" style="283" customWidth="1"/>
    <col min="6659" max="6659" width="15.21875" style="283" customWidth="1"/>
    <col min="6660" max="6660" width="6.77734375" style="283" customWidth="1"/>
    <col min="6661" max="6661" width="13.77734375" style="283" customWidth="1"/>
    <col min="6662" max="6662" width="10" style="283" customWidth="1"/>
    <col min="6663" max="6663" width="13" style="283" customWidth="1"/>
    <col min="6664" max="6664" width="21.44140625" style="283" customWidth="1"/>
    <col min="6665" max="6665" width="29.21875" style="283" bestFit="1" customWidth="1"/>
    <col min="6666" max="6666" width="22.77734375" style="283" customWidth="1"/>
    <col min="6667" max="6667" width="15.5546875" style="283" customWidth="1"/>
    <col min="6668" max="6668" width="2" style="283" customWidth="1"/>
    <col min="6669" max="6669" width="7.21875" style="283" customWidth="1"/>
    <col min="6670" max="6670" width="1.5546875" style="283" customWidth="1"/>
    <col min="6671" max="6671" width="1" style="283" customWidth="1"/>
    <col min="6672" max="6672" width="16.44140625" style="283" customWidth="1"/>
    <col min="6673" max="6673" width="1.44140625" style="283" customWidth="1"/>
    <col min="6674" max="6674" width="2.44140625" style="283" customWidth="1"/>
    <col min="6675" max="6675" width="13" style="283" customWidth="1"/>
    <col min="6676" max="6676" width="3.21875" style="283" customWidth="1"/>
    <col min="6677" max="6677" width="21.44140625" style="283" customWidth="1"/>
    <col min="6678" max="6678" width="9.21875" style="283"/>
    <col min="6679" max="6679" width="10" style="283" bestFit="1" customWidth="1"/>
    <col min="6680" max="6680" width="9.77734375" style="283" bestFit="1" customWidth="1"/>
    <col min="6681" max="6912" width="9.21875" style="283"/>
    <col min="6913" max="6913" width="10.21875" style="283" customWidth="1"/>
    <col min="6914" max="6914" width="33.44140625" style="283" customWidth="1"/>
    <col min="6915" max="6915" width="15.21875" style="283" customWidth="1"/>
    <col min="6916" max="6916" width="6.77734375" style="283" customWidth="1"/>
    <col min="6917" max="6917" width="13.77734375" style="283" customWidth="1"/>
    <col min="6918" max="6918" width="10" style="283" customWidth="1"/>
    <col min="6919" max="6919" width="13" style="283" customWidth="1"/>
    <col min="6920" max="6920" width="21.44140625" style="283" customWidth="1"/>
    <col min="6921" max="6921" width="29.21875" style="283" bestFit="1" customWidth="1"/>
    <col min="6922" max="6922" width="22.77734375" style="283" customWidth="1"/>
    <col min="6923" max="6923" width="15.5546875" style="283" customWidth="1"/>
    <col min="6924" max="6924" width="2" style="283" customWidth="1"/>
    <col min="6925" max="6925" width="7.21875" style="283" customWidth="1"/>
    <col min="6926" max="6926" width="1.5546875" style="283" customWidth="1"/>
    <col min="6927" max="6927" width="1" style="283" customWidth="1"/>
    <col min="6928" max="6928" width="16.44140625" style="283" customWidth="1"/>
    <col min="6929" max="6929" width="1.44140625" style="283" customWidth="1"/>
    <col min="6930" max="6930" width="2.44140625" style="283" customWidth="1"/>
    <col min="6931" max="6931" width="13" style="283" customWidth="1"/>
    <col min="6932" max="6932" width="3.21875" style="283" customWidth="1"/>
    <col min="6933" max="6933" width="21.44140625" style="283" customWidth="1"/>
    <col min="6934" max="6934" width="9.21875" style="283"/>
    <col min="6935" max="6935" width="10" style="283" bestFit="1" customWidth="1"/>
    <col min="6936" max="6936" width="9.77734375" style="283" bestFit="1" customWidth="1"/>
    <col min="6937" max="7168" width="9.21875" style="283"/>
    <col min="7169" max="7169" width="10.21875" style="283" customWidth="1"/>
    <col min="7170" max="7170" width="33.44140625" style="283" customWidth="1"/>
    <col min="7171" max="7171" width="15.21875" style="283" customWidth="1"/>
    <col min="7172" max="7172" width="6.77734375" style="283" customWidth="1"/>
    <col min="7173" max="7173" width="13.77734375" style="283" customWidth="1"/>
    <col min="7174" max="7174" width="10" style="283" customWidth="1"/>
    <col min="7175" max="7175" width="13" style="283" customWidth="1"/>
    <col min="7176" max="7176" width="21.44140625" style="283" customWidth="1"/>
    <col min="7177" max="7177" width="29.21875" style="283" bestFit="1" customWidth="1"/>
    <col min="7178" max="7178" width="22.77734375" style="283" customWidth="1"/>
    <col min="7179" max="7179" width="15.5546875" style="283" customWidth="1"/>
    <col min="7180" max="7180" width="2" style="283" customWidth="1"/>
    <col min="7181" max="7181" width="7.21875" style="283" customWidth="1"/>
    <col min="7182" max="7182" width="1.5546875" style="283" customWidth="1"/>
    <col min="7183" max="7183" width="1" style="283" customWidth="1"/>
    <col min="7184" max="7184" width="16.44140625" style="283" customWidth="1"/>
    <col min="7185" max="7185" width="1.44140625" style="283" customWidth="1"/>
    <col min="7186" max="7186" width="2.44140625" style="283" customWidth="1"/>
    <col min="7187" max="7187" width="13" style="283" customWidth="1"/>
    <col min="7188" max="7188" width="3.21875" style="283" customWidth="1"/>
    <col min="7189" max="7189" width="21.44140625" style="283" customWidth="1"/>
    <col min="7190" max="7190" width="9.21875" style="283"/>
    <col min="7191" max="7191" width="10" style="283" bestFit="1" customWidth="1"/>
    <col min="7192" max="7192" width="9.77734375" style="283" bestFit="1" customWidth="1"/>
    <col min="7193" max="7424" width="9.21875" style="283"/>
    <col min="7425" max="7425" width="10.21875" style="283" customWidth="1"/>
    <col min="7426" max="7426" width="33.44140625" style="283" customWidth="1"/>
    <col min="7427" max="7427" width="15.21875" style="283" customWidth="1"/>
    <col min="7428" max="7428" width="6.77734375" style="283" customWidth="1"/>
    <col min="7429" max="7429" width="13.77734375" style="283" customWidth="1"/>
    <col min="7430" max="7430" width="10" style="283" customWidth="1"/>
    <col min="7431" max="7431" width="13" style="283" customWidth="1"/>
    <col min="7432" max="7432" width="21.44140625" style="283" customWidth="1"/>
    <col min="7433" max="7433" width="29.21875" style="283" bestFit="1" customWidth="1"/>
    <col min="7434" max="7434" width="22.77734375" style="283" customWidth="1"/>
    <col min="7435" max="7435" width="15.5546875" style="283" customWidth="1"/>
    <col min="7436" max="7436" width="2" style="283" customWidth="1"/>
    <col min="7437" max="7437" width="7.21875" style="283" customWidth="1"/>
    <col min="7438" max="7438" width="1.5546875" style="283" customWidth="1"/>
    <col min="7439" max="7439" width="1" style="283" customWidth="1"/>
    <col min="7440" max="7440" width="16.44140625" style="283" customWidth="1"/>
    <col min="7441" max="7441" width="1.44140625" style="283" customWidth="1"/>
    <col min="7442" max="7442" width="2.44140625" style="283" customWidth="1"/>
    <col min="7443" max="7443" width="13" style="283" customWidth="1"/>
    <col min="7444" max="7444" width="3.21875" style="283" customWidth="1"/>
    <col min="7445" max="7445" width="21.44140625" style="283" customWidth="1"/>
    <col min="7446" max="7446" width="9.21875" style="283"/>
    <col min="7447" max="7447" width="10" style="283" bestFit="1" customWidth="1"/>
    <col min="7448" max="7448" width="9.77734375" style="283" bestFit="1" customWidth="1"/>
    <col min="7449" max="7680" width="9.21875" style="283"/>
    <col min="7681" max="7681" width="10.21875" style="283" customWidth="1"/>
    <col min="7682" max="7682" width="33.44140625" style="283" customWidth="1"/>
    <col min="7683" max="7683" width="15.21875" style="283" customWidth="1"/>
    <col min="7684" max="7684" width="6.77734375" style="283" customWidth="1"/>
    <col min="7685" max="7685" width="13.77734375" style="283" customWidth="1"/>
    <col min="7686" max="7686" width="10" style="283" customWidth="1"/>
    <col min="7687" max="7687" width="13" style="283" customWidth="1"/>
    <col min="7688" max="7688" width="21.44140625" style="283" customWidth="1"/>
    <col min="7689" max="7689" width="29.21875" style="283" bestFit="1" customWidth="1"/>
    <col min="7690" max="7690" width="22.77734375" style="283" customWidth="1"/>
    <col min="7691" max="7691" width="15.5546875" style="283" customWidth="1"/>
    <col min="7692" max="7692" width="2" style="283" customWidth="1"/>
    <col min="7693" max="7693" width="7.21875" style="283" customWidth="1"/>
    <col min="7694" max="7694" width="1.5546875" style="283" customWidth="1"/>
    <col min="7695" max="7695" width="1" style="283" customWidth="1"/>
    <col min="7696" max="7696" width="16.44140625" style="283" customWidth="1"/>
    <col min="7697" max="7697" width="1.44140625" style="283" customWidth="1"/>
    <col min="7698" max="7698" width="2.44140625" style="283" customWidth="1"/>
    <col min="7699" max="7699" width="13" style="283" customWidth="1"/>
    <col min="7700" max="7700" width="3.21875" style="283" customWidth="1"/>
    <col min="7701" max="7701" width="21.44140625" style="283" customWidth="1"/>
    <col min="7702" max="7702" width="9.21875" style="283"/>
    <col min="7703" max="7703" width="10" style="283" bestFit="1" customWidth="1"/>
    <col min="7704" max="7704" width="9.77734375" style="283" bestFit="1" customWidth="1"/>
    <col min="7705" max="7936" width="9.21875" style="283"/>
    <col min="7937" max="7937" width="10.21875" style="283" customWidth="1"/>
    <col min="7938" max="7938" width="33.44140625" style="283" customWidth="1"/>
    <col min="7939" max="7939" width="15.21875" style="283" customWidth="1"/>
    <col min="7940" max="7940" width="6.77734375" style="283" customWidth="1"/>
    <col min="7941" max="7941" width="13.77734375" style="283" customWidth="1"/>
    <col min="7942" max="7942" width="10" style="283" customWidth="1"/>
    <col min="7943" max="7943" width="13" style="283" customWidth="1"/>
    <col min="7944" max="7944" width="21.44140625" style="283" customWidth="1"/>
    <col min="7945" max="7945" width="29.21875" style="283" bestFit="1" customWidth="1"/>
    <col min="7946" max="7946" width="22.77734375" style="283" customWidth="1"/>
    <col min="7947" max="7947" width="15.5546875" style="283" customWidth="1"/>
    <col min="7948" max="7948" width="2" style="283" customWidth="1"/>
    <col min="7949" max="7949" width="7.21875" style="283" customWidth="1"/>
    <col min="7950" max="7950" width="1.5546875" style="283" customWidth="1"/>
    <col min="7951" max="7951" width="1" style="283" customWidth="1"/>
    <col min="7952" max="7952" width="16.44140625" style="283" customWidth="1"/>
    <col min="7953" max="7953" width="1.44140625" style="283" customWidth="1"/>
    <col min="7954" max="7954" width="2.44140625" style="283" customWidth="1"/>
    <col min="7955" max="7955" width="13" style="283" customWidth="1"/>
    <col min="7956" max="7956" width="3.21875" style="283" customWidth="1"/>
    <col min="7957" max="7957" width="21.44140625" style="283" customWidth="1"/>
    <col min="7958" max="7958" width="9.21875" style="283"/>
    <col min="7959" max="7959" width="10" style="283" bestFit="1" customWidth="1"/>
    <col min="7960" max="7960" width="9.77734375" style="283" bestFit="1" customWidth="1"/>
    <col min="7961" max="8192" width="9.21875" style="283"/>
    <col min="8193" max="8193" width="10.21875" style="283" customWidth="1"/>
    <col min="8194" max="8194" width="33.44140625" style="283" customWidth="1"/>
    <col min="8195" max="8195" width="15.21875" style="283" customWidth="1"/>
    <col min="8196" max="8196" width="6.77734375" style="283" customWidth="1"/>
    <col min="8197" max="8197" width="13.77734375" style="283" customWidth="1"/>
    <col min="8198" max="8198" width="10" style="283" customWidth="1"/>
    <col min="8199" max="8199" width="13" style="283" customWidth="1"/>
    <col min="8200" max="8200" width="21.44140625" style="283" customWidth="1"/>
    <col min="8201" max="8201" width="29.21875" style="283" bestFit="1" customWidth="1"/>
    <col min="8202" max="8202" width="22.77734375" style="283" customWidth="1"/>
    <col min="8203" max="8203" width="15.5546875" style="283" customWidth="1"/>
    <col min="8204" max="8204" width="2" style="283" customWidth="1"/>
    <col min="8205" max="8205" width="7.21875" style="283" customWidth="1"/>
    <col min="8206" max="8206" width="1.5546875" style="283" customWidth="1"/>
    <col min="8207" max="8207" width="1" style="283" customWidth="1"/>
    <col min="8208" max="8208" width="16.44140625" style="283" customWidth="1"/>
    <col min="8209" max="8209" width="1.44140625" style="283" customWidth="1"/>
    <col min="8210" max="8210" width="2.44140625" style="283" customWidth="1"/>
    <col min="8211" max="8211" width="13" style="283" customWidth="1"/>
    <col min="8212" max="8212" width="3.21875" style="283" customWidth="1"/>
    <col min="8213" max="8213" width="21.44140625" style="283" customWidth="1"/>
    <col min="8214" max="8214" width="9.21875" style="283"/>
    <col min="8215" max="8215" width="10" style="283" bestFit="1" customWidth="1"/>
    <col min="8216" max="8216" width="9.77734375" style="283" bestFit="1" customWidth="1"/>
    <col min="8217" max="8448" width="9.21875" style="283"/>
    <col min="8449" max="8449" width="10.21875" style="283" customWidth="1"/>
    <col min="8450" max="8450" width="33.44140625" style="283" customWidth="1"/>
    <col min="8451" max="8451" width="15.21875" style="283" customWidth="1"/>
    <col min="8452" max="8452" width="6.77734375" style="283" customWidth="1"/>
    <col min="8453" max="8453" width="13.77734375" style="283" customWidth="1"/>
    <col min="8454" max="8454" width="10" style="283" customWidth="1"/>
    <col min="8455" max="8455" width="13" style="283" customWidth="1"/>
    <col min="8456" max="8456" width="21.44140625" style="283" customWidth="1"/>
    <col min="8457" max="8457" width="29.21875" style="283" bestFit="1" customWidth="1"/>
    <col min="8458" max="8458" width="22.77734375" style="283" customWidth="1"/>
    <col min="8459" max="8459" width="15.5546875" style="283" customWidth="1"/>
    <col min="8460" max="8460" width="2" style="283" customWidth="1"/>
    <col min="8461" max="8461" width="7.21875" style="283" customWidth="1"/>
    <col min="8462" max="8462" width="1.5546875" style="283" customWidth="1"/>
    <col min="8463" max="8463" width="1" style="283" customWidth="1"/>
    <col min="8464" max="8464" width="16.44140625" style="283" customWidth="1"/>
    <col min="8465" max="8465" width="1.44140625" style="283" customWidth="1"/>
    <col min="8466" max="8466" width="2.44140625" style="283" customWidth="1"/>
    <col min="8467" max="8467" width="13" style="283" customWidth="1"/>
    <col min="8468" max="8468" width="3.21875" style="283" customWidth="1"/>
    <col min="8469" max="8469" width="21.44140625" style="283" customWidth="1"/>
    <col min="8470" max="8470" width="9.21875" style="283"/>
    <col min="8471" max="8471" width="10" style="283" bestFit="1" customWidth="1"/>
    <col min="8472" max="8472" width="9.77734375" style="283" bestFit="1" customWidth="1"/>
    <col min="8473" max="8704" width="9.21875" style="283"/>
    <col min="8705" max="8705" width="10.21875" style="283" customWidth="1"/>
    <col min="8706" max="8706" width="33.44140625" style="283" customWidth="1"/>
    <col min="8707" max="8707" width="15.21875" style="283" customWidth="1"/>
    <col min="8708" max="8708" width="6.77734375" style="283" customWidth="1"/>
    <col min="8709" max="8709" width="13.77734375" style="283" customWidth="1"/>
    <col min="8710" max="8710" width="10" style="283" customWidth="1"/>
    <col min="8711" max="8711" width="13" style="283" customWidth="1"/>
    <col min="8712" max="8712" width="21.44140625" style="283" customWidth="1"/>
    <col min="8713" max="8713" width="29.21875" style="283" bestFit="1" customWidth="1"/>
    <col min="8714" max="8714" width="22.77734375" style="283" customWidth="1"/>
    <col min="8715" max="8715" width="15.5546875" style="283" customWidth="1"/>
    <col min="8716" max="8716" width="2" style="283" customWidth="1"/>
    <col min="8717" max="8717" width="7.21875" style="283" customWidth="1"/>
    <col min="8718" max="8718" width="1.5546875" style="283" customWidth="1"/>
    <col min="8719" max="8719" width="1" style="283" customWidth="1"/>
    <col min="8720" max="8720" width="16.44140625" style="283" customWidth="1"/>
    <col min="8721" max="8721" width="1.44140625" style="283" customWidth="1"/>
    <col min="8722" max="8722" width="2.44140625" style="283" customWidth="1"/>
    <col min="8723" max="8723" width="13" style="283" customWidth="1"/>
    <col min="8724" max="8724" width="3.21875" style="283" customWidth="1"/>
    <col min="8725" max="8725" width="21.44140625" style="283" customWidth="1"/>
    <col min="8726" max="8726" width="9.21875" style="283"/>
    <col min="8727" max="8727" width="10" style="283" bestFit="1" customWidth="1"/>
    <col min="8728" max="8728" width="9.77734375" style="283" bestFit="1" customWidth="1"/>
    <col min="8729" max="8960" width="9.21875" style="283"/>
    <col min="8961" max="8961" width="10.21875" style="283" customWidth="1"/>
    <col min="8962" max="8962" width="33.44140625" style="283" customWidth="1"/>
    <col min="8963" max="8963" width="15.21875" style="283" customWidth="1"/>
    <col min="8964" max="8964" width="6.77734375" style="283" customWidth="1"/>
    <col min="8965" max="8965" width="13.77734375" style="283" customWidth="1"/>
    <col min="8966" max="8966" width="10" style="283" customWidth="1"/>
    <col min="8967" max="8967" width="13" style="283" customWidth="1"/>
    <col min="8968" max="8968" width="21.44140625" style="283" customWidth="1"/>
    <col min="8969" max="8969" width="29.21875" style="283" bestFit="1" customWidth="1"/>
    <col min="8970" max="8970" width="22.77734375" style="283" customWidth="1"/>
    <col min="8971" max="8971" width="15.5546875" style="283" customWidth="1"/>
    <col min="8972" max="8972" width="2" style="283" customWidth="1"/>
    <col min="8973" max="8973" width="7.21875" style="283" customWidth="1"/>
    <col min="8974" max="8974" width="1.5546875" style="283" customWidth="1"/>
    <col min="8975" max="8975" width="1" style="283" customWidth="1"/>
    <col min="8976" max="8976" width="16.44140625" style="283" customWidth="1"/>
    <col min="8977" max="8977" width="1.44140625" style="283" customWidth="1"/>
    <col min="8978" max="8978" width="2.44140625" style="283" customWidth="1"/>
    <col min="8979" max="8979" width="13" style="283" customWidth="1"/>
    <col min="8980" max="8980" width="3.21875" style="283" customWidth="1"/>
    <col min="8981" max="8981" width="21.44140625" style="283" customWidth="1"/>
    <col min="8982" max="8982" width="9.21875" style="283"/>
    <col min="8983" max="8983" width="10" style="283" bestFit="1" customWidth="1"/>
    <col min="8984" max="8984" width="9.77734375" style="283" bestFit="1" customWidth="1"/>
    <col min="8985" max="9216" width="9.21875" style="283"/>
    <col min="9217" max="9217" width="10.21875" style="283" customWidth="1"/>
    <col min="9218" max="9218" width="33.44140625" style="283" customWidth="1"/>
    <col min="9219" max="9219" width="15.21875" style="283" customWidth="1"/>
    <col min="9220" max="9220" width="6.77734375" style="283" customWidth="1"/>
    <col min="9221" max="9221" width="13.77734375" style="283" customWidth="1"/>
    <col min="9222" max="9222" width="10" style="283" customWidth="1"/>
    <col min="9223" max="9223" width="13" style="283" customWidth="1"/>
    <col min="9224" max="9224" width="21.44140625" style="283" customWidth="1"/>
    <col min="9225" max="9225" width="29.21875" style="283" bestFit="1" customWidth="1"/>
    <col min="9226" max="9226" width="22.77734375" style="283" customWidth="1"/>
    <col min="9227" max="9227" width="15.5546875" style="283" customWidth="1"/>
    <col min="9228" max="9228" width="2" style="283" customWidth="1"/>
    <col min="9229" max="9229" width="7.21875" style="283" customWidth="1"/>
    <col min="9230" max="9230" width="1.5546875" style="283" customWidth="1"/>
    <col min="9231" max="9231" width="1" style="283" customWidth="1"/>
    <col min="9232" max="9232" width="16.44140625" style="283" customWidth="1"/>
    <col min="9233" max="9233" width="1.44140625" style="283" customWidth="1"/>
    <col min="9234" max="9234" width="2.44140625" style="283" customWidth="1"/>
    <col min="9235" max="9235" width="13" style="283" customWidth="1"/>
    <col min="9236" max="9236" width="3.21875" style="283" customWidth="1"/>
    <col min="9237" max="9237" width="21.44140625" style="283" customWidth="1"/>
    <col min="9238" max="9238" width="9.21875" style="283"/>
    <col min="9239" max="9239" width="10" style="283" bestFit="1" customWidth="1"/>
    <col min="9240" max="9240" width="9.77734375" style="283" bestFit="1" customWidth="1"/>
    <col min="9241" max="9472" width="9.21875" style="283"/>
    <col min="9473" max="9473" width="10.21875" style="283" customWidth="1"/>
    <col min="9474" max="9474" width="33.44140625" style="283" customWidth="1"/>
    <col min="9475" max="9475" width="15.21875" style="283" customWidth="1"/>
    <col min="9476" max="9476" width="6.77734375" style="283" customWidth="1"/>
    <col min="9477" max="9477" width="13.77734375" style="283" customWidth="1"/>
    <col min="9478" max="9478" width="10" style="283" customWidth="1"/>
    <col min="9479" max="9479" width="13" style="283" customWidth="1"/>
    <col min="9480" max="9480" width="21.44140625" style="283" customWidth="1"/>
    <col min="9481" max="9481" width="29.21875" style="283" bestFit="1" customWidth="1"/>
    <col min="9482" max="9482" width="22.77734375" style="283" customWidth="1"/>
    <col min="9483" max="9483" width="15.5546875" style="283" customWidth="1"/>
    <col min="9484" max="9484" width="2" style="283" customWidth="1"/>
    <col min="9485" max="9485" width="7.21875" style="283" customWidth="1"/>
    <col min="9486" max="9486" width="1.5546875" style="283" customWidth="1"/>
    <col min="9487" max="9487" width="1" style="283" customWidth="1"/>
    <col min="9488" max="9488" width="16.44140625" style="283" customWidth="1"/>
    <col min="9489" max="9489" width="1.44140625" style="283" customWidth="1"/>
    <col min="9490" max="9490" width="2.44140625" style="283" customWidth="1"/>
    <col min="9491" max="9491" width="13" style="283" customWidth="1"/>
    <col min="9492" max="9492" width="3.21875" style="283" customWidth="1"/>
    <col min="9493" max="9493" width="21.44140625" style="283" customWidth="1"/>
    <col min="9494" max="9494" width="9.21875" style="283"/>
    <col min="9495" max="9495" width="10" style="283" bestFit="1" customWidth="1"/>
    <col min="9496" max="9496" width="9.77734375" style="283" bestFit="1" customWidth="1"/>
    <col min="9497" max="9728" width="9.21875" style="283"/>
    <col min="9729" max="9729" width="10.21875" style="283" customWidth="1"/>
    <col min="9730" max="9730" width="33.44140625" style="283" customWidth="1"/>
    <col min="9731" max="9731" width="15.21875" style="283" customWidth="1"/>
    <col min="9732" max="9732" width="6.77734375" style="283" customWidth="1"/>
    <col min="9733" max="9733" width="13.77734375" style="283" customWidth="1"/>
    <col min="9734" max="9734" width="10" style="283" customWidth="1"/>
    <col min="9735" max="9735" width="13" style="283" customWidth="1"/>
    <col min="9736" max="9736" width="21.44140625" style="283" customWidth="1"/>
    <col min="9737" max="9737" width="29.21875" style="283" bestFit="1" customWidth="1"/>
    <col min="9738" max="9738" width="22.77734375" style="283" customWidth="1"/>
    <col min="9739" max="9739" width="15.5546875" style="283" customWidth="1"/>
    <col min="9740" max="9740" width="2" style="283" customWidth="1"/>
    <col min="9741" max="9741" width="7.21875" style="283" customWidth="1"/>
    <col min="9742" max="9742" width="1.5546875" style="283" customWidth="1"/>
    <col min="9743" max="9743" width="1" style="283" customWidth="1"/>
    <col min="9744" max="9744" width="16.44140625" style="283" customWidth="1"/>
    <col min="9745" max="9745" width="1.44140625" style="283" customWidth="1"/>
    <col min="9746" max="9746" width="2.44140625" style="283" customWidth="1"/>
    <col min="9747" max="9747" width="13" style="283" customWidth="1"/>
    <col min="9748" max="9748" width="3.21875" style="283" customWidth="1"/>
    <col min="9749" max="9749" width="21.44140625" style="283" customWidth="1"/>
    <col min="9750" max="9750" width="9.21875" style="283"/>
    <col min="9751" max="9751" width="10" style="283" bestFit="1" customWidth="1"/>
    <col min="9752" max="9752" width="9.77734375" style="283" bestFit="1" customWidth="1"/>
    <col min="9753" max="9984" width="9.21875" style="283"/>
    <col min="9985" max="9985" width="10.21875" style="283" customWidth="1"/>
    <col min="9986" max="9986" width="33.44140625" style="283" customWidth="1"/>
    <col min="9987" max="9987" width="15.21875" style="283" customWidth="1"/>
    <col min="9988" max="9988" width="6.77734375" style="283" customWidth="1"/>
    <col min="9989" max="9989" width="13.77734375" style="283" customWidth="1"/>
    <col min="9990" max="9990" width="10" style="283" customWidth="1"/>
    <col min="9991" max="9991" width="13" style="283" customWidth="1"/>
    <col min="9992" max="9992" width="21.44140625" style="283" customWidth="1"/>
    <col min="9993" max="9993" width="29.21875" style="283" bestFit="1" customWidth="1"/>
    <col min="9994" max="9994" width="22.77734375" style="283" customWidth="1"/>
    <col min="9995" max="9995" width="15.5546875" style="283" customWidth="1"/>
    <col min="9996" max="9996" width="2" style="283" customWidth="1"/>
    <col min="9997" max="9997" width="7.21875" style="283" customWidth="1"/>
    <col min="9998" max="9998" width="1.5546875" style="283" customWidth="1"/>
    <col min="9999" max="9999" width="1" style="283" customWidth="1"/>
    <col min="10000" max="10000" width="16.44140625" style="283" customWidth="1"/>
    <col min="10001" max="10001" width="1.44140625" style="283" customWidth="1"/>
    <col min="10002" max="10002" width="2.44140625" style="283" customWidth="1"/>
    <col min="10003" max="10003" width="13" style="283" customWidth="1"/>
    <col min="10004" max="10004" width="3.21875" style="283" customWidth="1"/>
    <col min="10005" max="10005" width="21.44140625" style="283" customWidth="1"/>
    <col min="10006" max="10006" width="9.21875" style="283"/>
    <col min="10007" max="10007" width="10" style="283" bestFit="1" customWidth="1"/>
    <col min="10008" max="10008" width="9.77734375" style="283" bestFit="1" customWidth="1"/>
    <col min="10009" max="10240" width="9.21875" style="283"/>
    <col min="10241" max="10241" width="10.21875" style="283" customWidth="1"/>
    <col min="10242" max="10242" width="33.44140625" style="283" customWidth="1"/>
    <col min="10243" max="10243" width="15.21875" style="283" customWidth="1"/>
    <col min="10244" max="10244" width="6.77734375" style="283" customWidth="1"/>
    <col min="10245" max="10245" width="13.77734375" style="283" customWidth="1"/>
    <col min="10246" max="10246" width="10" style="283" customWidth="1"/>
    <col min="10247" max="10247" width="13" style="283" customWidth="1"/>
    <col min="10248" max="10248" width="21.44140625" style="283" customWidth="1"/>
    <col min="10249" max="10249" width="29.21875" style="283" bestFit="1" customWidth="1"/>
    <col min="10250" max="10250" width="22.77734375" style="283" customWidth="1"/>
    <col min="10251" max="10251" width="15.5546875" style="283" customWidth="1"/>
    <col min="10252" max="10252" width="2" style="283" customWidth="1"/>
    <col min="10253" max="10253" width="7.21875" style="283" customWidth="1"/>
    <col min="10254" max="10254" width="1.5546875" style="283" customWidth="1"/>
    <col min="10255" max="10255" width="1" style="283" customWidth="1"/>
    <col min="10256" max="10256" width="16.44140625" style="283" customWidth="1"/>
    <col min="10257" max="10257" width="1.44140625" style="283" customWidth="1"/>
    <col min="10258" max="10258" width="2.44140625" style="283" customWidth="1"/>
    <col min="10259" max="10259" width="13" style="283" customWidth="1"/>
    <col min="10260" max="10260" width="3.21875" style="283" customWidth="1"/>
    <col min="10261" max="10261" width="21.44140625" style="283" customWidth="1"/>
    <col min="10262" max="10262" width="9.21875" style="283"/>
    <col min="10263" max="10263" width="10" style="283" bestFit="1" customWidth="1"/>
    <col min="10264" max="10264" width="9.77734375" style="283" bestFit="1" customWidth="1"/>
    <col min="10265" max="10496" width="9.21875" style="283"/>
    <col min="10497" max="10497" width="10.21875" style="283" customWidth="1"/>
    <col min="10498" max="10498" width="33.44140625" style="283" customWidth="1"/>
    <col min="10499" max="10499" width="15.21875" style="283" customWidth="1"/>
    <col min="10500" max="10500" width="6.77734375" style="283" customWidth="1"/>
    <col min="10501" max="10501" width="13.77734375" style="283" customWidth="1"/>
    <col min="10502" max="10502" width="10" style="283" customWidth="1"/>
    <col min="10503" max="10503" width="13" style="283" customWidth="1"/>
    <col min="10504" max="10504" width="21.44140625" style="283" customWidth="1"/>
    <col min="10505" max="10505" width="29.21875" style="283" bestFit="1" customWidth="1"/>
    <col min="10506" max="10506" width="22.77734375" style="283" customWidth="1"/>
    <col min="10507" max="10507" width="15.5546875" style="283" customWidth="1"/>
    <col min="10508" max="10508" width="2" style="283" customWidth="1"/>
    <col min="10509" max="10509" width="7.21875" style="283" customWidth="1"/>
    <col min="10510" max="10510" width="1.5546875" style="283" customWidth="1"/>
    <col min="10511" max="10511" width="1" style="283" customWidth="1"/>
    <col min="10512" max="10512" width="16.44140625" style="283" customWidth="1"/>
    <col min="10513" max="10513" width="1.44140625" style="283" customWidth="1"/>
    <col min="10514" max="10514" width="2.44140625" style="283" customWidth="1"/>
    <col min="10515" max="10515" width="13" style="283" customWidth="1"/>
    <col min="10516" max="10516" width="3.21875" style="283" customWidth="1"/>
    <col min="10517" max="10517" width="21.44140625" style="283" customWidth="1"/>
    <col min="10518" max="10518" width="9.21875" style="283"/>
    <col min="10519" max="10519" width="10" style="283" bestFit="1" customWidth="1"/>
    <col min="10520" max="10520" width="9.77734375" style="283" bestFit="1" customWidth="1"/>
    <col min="10521" max="10752" width="9.21875" style="283"/>
    <col min="10753" max="10753" width="10.21875" style="283" customWidth="1"/>
    <col min="10754" max="10754" width="33.44140625" style="283" customWidth="1"/>
    <col min="10755" max="10755" width="15.21875" style="283" customWidth="1"/>
    <col min="10756" max="10756" width="6.77734375" style="283" customWidth="1"/>
    <col min="10757" max="10757" width="13.77734375" style="283" customWidth="1"/>
    <col min="10758" max="10758" width="10" style="283" customWidth="1"/>
    <col min="10759" max="10759" width="13" style="283" customWidth="1"/>
    <col min="10760" max="10760" width="21.44140625" style="283" customWidth="1"/>
    <col min="10761" max="10761" width="29.21875" style="283" bestFit="1" customWidth="1"/>
    <col min="10762" max="10762" width="22.77734375" style="283" customWidth="1"/>
    <col min="10763" max="10763" width="15.5546875" style="283" customWidth="1"/>
    <col min="10764" max="10764" width="2" style="283" customWidth="1"/>
    <col min="10765" max="10765" width="7.21875" style="283" customWidth="1"/>
    <col min="10766" max="10766" width="1.5546875" style="283" customWidth="1"/>
    <col min="10767" max="10767" width="1" style="283" customWidth="1"/>
    <col min="10768" max="10768" width="16.44140625" style="283" customWidth="1"/>
    <col min="10769" max="10769" width="1.44140625" style="283" customWidth="1"/>
    <col min="10770" max="10770" width="2.44140625" style="283" customWidth="1"/>
    <col min="10771" max="10771" width="13" style="283" customWidth="1"/>
    <col min="10772" max="10772" width="3.21875" style="283" customWidth="1"/>
    <col min="10773" max="10773" width="21.44140625" style="283" customWidth="1"/>
    <col min="10774" max="10774" width="9.21875" style="283"/>
    <col min="10775" max="10775" width="10" style="283" bestFit="1" customWidth="1"/>
    <col min="10776" max="10776" width="9.77734375" style="283" bestFit="1" customWidth="1"/>
    <col min="10777" max="11008" width="9.21875" style="283"/>
    <col min="11009" max="11009" width="10.21875" style="283" customWidth="1"/>
    <col min="11010" max="11010" width="33.44140625" style="283" customWidth="1"/>
    <col min="11011" max="11011" width="15.21875" style="283" customWidth="1"/>
    <col min="11012" max="11012" width="6.77734375" style="283" customWidth="1"/>
    <col min="11013" max="11013" width="13.77734375" style="283" customWidth="1"/>
    <col min="11014" max="11014" width="10" style="283" customWidth="1"/>
    <col min="11015" max="11015" width="13" style="283" customWidth="1"/>
    <col min="11016" max="11016" width="21.44140625" style="283" customWidth="1"/>
    <col min="11017" max="11017" width="29.21875" style="283" bestFit="1" customWidth="1"/>
    <col min="11018" max="11018" width="22.77734375" style="283" customWidth="1"/>
    <col min="11019" max="11019" width="15.5546875" style="283" customWidth="1"/>
    <col min="11020" max="11020" width="2" style="283" customWidth="1"/>
    <col min="11021" max="11021" width="7.21875" style="283" customWidth="1"/>
    <col min="11022" max="11022" width="1.5546875" style="283" customWidth="1"/>
    <col min="11023" max="11023" width="1" style="283" customWidth="1"/>
    <col min="11024" max="11024" width="16.44140625" style="283" customWidth="1"/>
    <col min="11025" max="11025" width="1.44140625" style="283" customWidth="1"/>
    <col min="11026" max="11026" width="2.44140625" style="283" customWidth="1"/>
    <col min="11027" max="11027" width="13" style="283" customWidth="1"/>
    <col min="11028" max="11028" width="3.21875" style="283" customWidth="1"/>
    <col min="11029" max="11029" width="21.44140625" style="283" customWidth="1"/>
    <col min="11030" max="11030" width="9.21875" style="283"/>
    <col min="11031" max="11031" width="10" style="283" bestFit="1" customWidth="1"/>
    <col min="11032" max="11032" width="9.77734375" style="283" bestFit="1" customWidth="1"/>
    <col min="11033" max="11264" width="9.21875" style="283"/>
    <col min="11265" max="11265" width="10.21875" style="283" customWidth="1"/>
    <col min="11266" max="11266" width="33.44140625" style="283" customWidth="1"/>
    <col min="11267" max="11267" width="15.21875" style="283" customWidth="1"/>
    <col min="11268" max="11268" width="6.77734375" style="283" customWidth="1"/>
    <col min="11269" max="11269" width="13.77734375" style="283" customWidth="1"/>
    <col min="11270" max="11270" width="10" style="283" customWidth="1"/>
    <col min="11271" max="11271" width="13" style="283" customWidth="1"/>
    <col min="11272" max="11272" width="21.44140625" style="283" customWidth="1"/>
    <col min="11273" max="11273" width="29.21875" style="283" bestFit="1" customWidth="1"/>
    <col min="11274" max="11274" width="22.77734375" style="283" customWidth="1"/>
    <col min="11275" max="11275" width="15.5546875" style="283" customWidth="1"/>
    <col min="11276" max="11276" width="2" style="283" customWidth="1"/>
    <col min="11277" max="11277" width="7.21875" style="283" customWidth="1"/>
    <col min="11278" max="11278" width="1.5546875" style="283" customWidth="1"/>
    <col min="11279" max="11279" width="1" style="283" customWidth="1"/>
    <col min="11280" max="11280" width="16.44140625" style="283" customWidth="1"/>
    <col min="11281" max="11281" width="1.44140625" style="283" customWidth="1"/>
    <col min="11282" max="11282" width="2.44140625" style="283" customWidth="1"/>
    <col min="11283" max="11283" width="13" style="283" customWidth="1"/>
    <col min="11284" max="11284" width="3.21875" style="283" customWidth="1"/>
    <col min="11285" max="11285" width="21.44140625" style="283" customWidth="1"/>
    <col min="11286" max="11286" width="9.21875" style="283"/>
    <col min="11287" max="11287" width="10" style="283" bestFit="1" customWidth="1"/>
    <col min="11288" max="11288" width="9.77734375" style="283" bestFit="1" customWidth="1"/>
    <col min="11289" max="11520" width="9.21875" style="283"/>
    <col min="11521" max="11521" width="10.21875" style="283" customWidth="1"/>
    <col min="11522" max="11522" width="33.44140625" style="283" customWidth="1"/>
    <col min="11523" max="11523" width="15.21875" style="283" customWidth="1"/>
    <col min="11524" max="11524" width="6.77734375" style="283" customWidth="1"/>
    <col min="11525" max="11525" width="13.77734375" style="283" customWidth="1"/>
    <col min="11526" max="11526" width="10" style="283" customWidth="1"/>
    <col min="11527" max="11527" width="13" style="283" customWidth="1"/>
    <col min="11528" max="11528" width="21.44140625" style="283" customWidth="1"/>
    <col min="11529" max="11529" width="29.21875" style="283" bestFit="1" customWidth="1"/>
    <col min="11530" max="11530" width="22.77734375" style="283" customWidth="1"/>
    <col min="11531" max="11531" width="15.5546875" style="283" customWidth="1"/>
    <col min="11532" max="11532" width="2" style="283" customWidth="1"/>
    <col min="11533" max="11533" width="7.21875" style="283" customWidth="1"/>
    <col min="11534" max="11534" width="1.5546875" style="283" customWidth="1"/>
    <col min="11535" max="11535" width="1" style="283" customWidth="1"/>
    <col min="11536" max="11536" width="16.44140625" style="283" customWidth="1"/>
    <col min="11537" max="11537" width="1.44140625" style="283" customWidth="1"/>
    <col min="11538" max="11538" width="2.44140625" style="283" customWidth="1"/>
    <col min="11539" max="11539" width="13" style="283" customWidth="1"/>
    <col min="11540" max="11540" width="3.21875" style="283" customWidth="1"/>
    <col min="11541" max="11541" width="21.44140625" style="283" customWidth="1"/>
    <col min="11542" max="11542" width="9.21875" style="283"/>
    <col min="11543" max="11543" width="10" style="283" bestFit="1" customWidth="1"/>
    <col min="11544" max="11544" width="9.77734375" style="283" bestFit="1" customWidth="1"/>
    <col min="11545" max="11776" width="9.21875" style="283"/>
    <col min="11777" max="11777" width="10.21875" style="283" customWidth="1"/>
    <col min="11778" max="11778" width="33.44140625" style="283" customWidth="1"/>
    <col min="11779" max="11779" width="15.21875" style="283" customWidth="1"/>
    <col min="11780" max="11780" width="6.77734375" style="283" customWidth="1"/>
    <col min="11781" max="11781" width="13.77734375" style="283" customWidth="1"/>
    <col min="11782" max="11782" width="10" style="283" customWidth="1"/>
    <col min="11783" max="11783" width="13" style="283" customWidth="1"/>
    <col min="11784" max="11784" width="21.44140625" style="283" customWidth="1"/>
    <col min="11785" max="11785" width="29.21875" style="283" bestFit="1" customWidth="1"/>
    <col min="11786" max="11786" width="22.77734375" style="283" customWidth="1"/>
    <col min="11787" max="11787" width="15.5546875" style="283" customWidth="1"/>
    <col min="11788" max="11788" width="2" style="283" customWidth="1"/>
    <col min="11789" max="11789" width="7.21875" style="283" customWidth="1"/>
    <col min="11790" max="11790" width="1.5546875" style="283" customWidth="1"/>
    <col min="11791" max="11791" width="1" style="283" customWidth="1"/>
    <col min="11792" max="11792" width="16.44140625" style="283" customWidth="1"/>
    <col min="11793" max="11793" width="1.44140625" style="283" customWidth="1"/>
    <col min="11794" max="11794" width="2.44140625" style="283" customWidth="1"/>
    <col min="11795" max="11795" width="13" style="283" customWidth="1"/>
    <col min="11796" max="11796" width="3.21875" style="283" customWidth="1"/>
    <col min="11797" max="11797" width="21.44140625" style="283" customWidth="1"/>
    <col min="11798" max="11798" width="9.21875" style="283"/>
    <col min="11799" max="11799" width="10" style="283" bestFit="1" customWidth="1"/>
    <col min="11800" max="11800" width="9.77734375" style="283" bestFit="1" customWidth="1"/>
    <col min="11801" max="12032" width="9.21875" style="283"/>
    <col min="12033" max="12033" width="10.21875" style="283" customWidth="1"/>
    <col min="12034" max="12034" width="33.44140625" style="283" customWidth="1"/>
    <col min="12035" max="12035" width="15.21875" style="283" customWidth="1"/>
    <col min="12036" max="12036" width="6.77734375" style="283" customWidth="1"/>
    <col min="12037" max="12037" width="13.77734375" style="283" customWidth="1"/>
    <col min="12038" max="12038" width="10" style="283" customWidth="1"/>
    <col min="12039" max="12039" width="13" style="283" customWidth="1"/>
    <col min="12040" max="12040" width="21.44140625" style="283" customWidth="1"/>
    <col min="12041" max="12041" width="29.21875" style="283" bestFit="1" customWidth="1"/>
    <col min="12042" max="12042" width="22.77734375" style="283" customWidth="1"/>
    <col min="12043" max="12043" width="15.5546875" style="283" customWidth="1"/>
    <col min="12044" max="12044" width="2" style="283" customWidth="1"/>
    <col min="12045" max="12045" width="7.21875" style="283" customWidth="1"/>
    <col min="12046" max="12046" width="1.5546875" style="283" customWidth="1"/>
    <col min="12047" max="12047" width="1" style="283" customWidth="1"/>
    <col min="12048" max="12048" width="16.44140625" style="283" customWidth="1"/>
    <col min="12049" max="12049" width="1.44140625" style="283" customWidth="1"/>
    <col min="12050" max="12050" width="2.44140625" style="283" customWidth="1"/>
    <col min="12051" max="12051" width="13" style="283" customWidth="1"/>
    <col min="12052" max="12052" width="3.21875" style="283" customWidth="1"/>
    <col min="12053" max="12053" width="21.44140625" style="283" customWidth="1"/>
    <col min="12054" max="12054" width="9.21875" style="283"/>
    <col min="12055" max="12055" width="10" style="283" bestFit="1" customWidth="1"/>
    <col min="12056" max="12056" width="9.77734375" style="283" bestFit="1" customWidth="1"/>
    <col min="12057" max="12288" width="9.21875" style="283"/>
    <col min="12289" max="12289" width="10.21875" style="283" customWidth="1"/>
    <col min="12290" max="12290" width="33.44140625" style="283" customWidth="1"/>
    <col min="12291" max="12291" width="15.21875" style="283" customWidth="1"/>
    <col min="12292" max="12292" width="6.77734375" style="283" customWidth="1"/>
    <col min="12293" max="12293" width="13.77734375" style="283" customWidth="1"/>
    <col min="12294" max="12294" width="10" style="283" customWidth="1"/>
    <col min="12295" max="12295" width="13" style="283" customWidth="1"/>
    <col min="12296" max="12296" width="21.44140625" style="283" customWidth="1"/>
    <col min="12297" max="12297" width="29.21875" style="283" bestFit="1" customWidth="1"/>
    <col min="12298" max="12298" width="22.77734375" style="283" customWidth="1"/>
    <col min="12299" max="12299" width="15.5546875" style="283" customWidth="1"/>
    <col min="12300" max="12300" width="2" style="283" customWidth="1"/>
    <col min="12301" max="12301" width="7.21875" style="283" customWidth="1"/>
    <col min="12302" max="12302" width="1.5546875" style="283" customWidth="1"/>
    <col min="12303" max="12303" width="1" style="283" customWidth="1"/>
    <col min="12304" max="12304" width="16.44140625" style="283" customWidth="1"/>
    <col min="12305" max="12305" width="1.44140625" style="283" customWidth="1"/>
    <col min="12306" max="12306" width="2.44140625" style="283" customWidth="1"/>
    <col min="12307" max="12307" width="13" style="283" customWidth="1"/>
    <col min="12308" max="12308" width="3.21875" style="283" customWidth="1"/>
    <col min="12309" max="12309" width="21.44140625" style="283" customWidth="1"/>
    <col min="12310" max="12310" width="9.21875" style="283"/>
    <col min="12311" max="12311" width="10" style="283" bestFit="1" customWidth="1"/>
    <col min="12312" max="12312" width="9.77734375" style="283" bestFit="1" customWidth="1"/>
    <col min="12313" max="12544" width="9.21875" style="283"/>
    <col min="12545" max="12545" width="10.21875" style="283" customWidth="1"/>
    <col min="12546" max="12546" width="33.44140625" style="283" customWidth="1"/>
    <col min="12547" max="12547" width="15.21875" style="283" customWidth="1"/>
    <col min="12548" max="12548" width="6.77734375" style="283" customWidth="1"/>
    <col min="12549" max="12549" width="13.77734375" style="283" customWidth="1"/>
    <col min="12550" max="12550" width="10" style="283" customWidth="1"/>
    <col min="12551" max="12551" width="13" style="283" customWidth="1"/>
    <col min="12552" max="12552" width="21.44140625" style="283" customWidth="1"/>
    <col min="12553" max="12553" width="29.21875" style="283" bestFit="1" customWidth="1"/>
    <col min="12554" max="12554" width="22.77734375" style="283" customWidth="1"/>
    <col min="12555" max="12555" width="15.5546875" style="283" customWidth="1"/>
    <col min="12556" max="12556" width="2" style="283" customWidth="1"/>
    <col min="12557" max="12557" width="7.21875" style="283" customWidth="1"/>
    <col min="12558" max="12558" width="1.5546875" style="283" customWidth="1"/>
    <col min="12559" max="12559" width="1" style="283" customWidth="1"/>
    <col min="12560" max="12560" width="16.44140625" style="283" customWidth="1"/>
    <col min="12561" max="12561" width="1.44140625" style="283" customWidth="1"/>
    <col min="12562" max="12562" width="2.44140625" style="283" customWidth="1"/>
    <col min="12563" max="12563" width="13" style="283" customWidth="1"/>
    <col min="12564" max="12564" width="3.21875" style="283" customWidth="1"/>
    <col min="12565" max="12565" width="21.44140625" style="283" customWidth="1"/>
    <col min="12566" max="12566" width="9.21875" style="283"/>
    <col min="12567" max="12567" width="10" style="283" bestFit="1" customWidth="1"/>
    <col min="12568" max="12568" width="9.77734375" style="283" bestFit="1" customWidth="1"/>
    <col min="12569" max="12800" width="9.21875" style="283"/>
    <col min="12801" max="12801" width="10.21875" style="283" customWidth="1"/>
    <col min="12802" max="12802" width="33.44140625" style="283" customWidth="1"/>
    <col min="12803" max="12803" width="15.21875" style="283" customWidth="1"/>
    <col min="12804" max="12804" width="6.77734375" style="283" customWidth="1"/>
    <col min="12805" max="12805" width="13.77734375" style="283" customWidth="1"/>
    <col min="12806" max="12806" width="10" style="283" customWidth="1"/>
    <col min="12807" max="12807" width="13" style="283" customWidth="1"/>
    <col min="12808" max="12808" width="21.44140625" style="283" customWidth="1"/>
    <col min="12809" max="12809" width="29.21875" style="283" bestFit="1" customWidth="1"/>
    <col min="12810" max="12810" width="22.77734375" style="283" customWidth="1"/>
    <col min="12811" max="12811" width="15.5546875" style="283" customWidth="1"/>
    <col min="12812" max="12812" width="2" style="283" customWidth="1"/>
    <col min="12813" max="12813" width="7.21875" style="283" customWidth="1"/>
    <col min="12814" max="12814" width="1.5546875" style="283" customWidth="1"/>
    <col min="12815" max="12815" width="1" style="283" customWidth="1"/>
    <col min="12816" max="12816" width="16.44140625" style="283" customWidth="1"/>
    <col min="12817" max="12817" width="1.44140625" style="283" customWidth="1"/>
    <col min="12818" max="12818" width="2.44140625" style="283" customWidth="1"/>
    <col min="12819" max="12819" width="13" style="283" customWidth="1"/>
    <col min="12820" max="12820" width="3.21875" style="283" customWidth="1"/>
    <col min="12821" max="12821" width="21.44140625" style="283" customWidth="1"/>
    <col min="12822" max="12822" width="9.21875" style="283"/>
    <col min="12823" max="12823" width="10" style="283" bestFit="1" customWidth="1"/>
    <col min="12824" max="12824" width="9.77734375" style="283" bestFit="1" customWidth="1"/>
    <col min="12825" max="13056" width="9.21875" style="283"/>
    <col min="13057" max="13057" width="10.21875" style="283" customWidth="1"/>
    <col min="13058" max="13058" width="33.44140625" style="283" customWidth="1"/>
    <col min="13059" max="13059" width="15.21875" style="283" customWidth="1"/>
    <col min="13060" max="13060" width="6.77734375" style="283" customWidth="1"/>
    <col min="13061" max="13061" width="13.77734375" style="283" customWidth="1"/>
    <col min="13062" max="13062" width="10" style="283" customWidth="1"/>
    <col min="13063" max="13063" width="13" style="283" customWidth="1"/>
    <col min="13064" max="13064" width="21.44140625" style="283" customWidth="1"/>
    <col min="13065" max="13065" width="29.21875" style="283" bestFit="1" customWidth="1"/>
    <col min="13066" max="13066" width="22.77734375" style="283" customWidth="1"/>
    <col min="13067" max="13067" width="15.5546875" style="283" customWidth="1"/>
    <col min="13068" max="13068" width="2" style="283" customWidth="1"/>
    <col min="13069" max="13069" width="7.21875" style="283" customWidth="1"/>
    <col min="13070" max="13070" width="1.5546875" style="283" customWidth="1"/>
    <col min="13071" max="13071" width="1" style="283" customWidth="1"/>
    <col min="13072" max="13072" width="16.44140625" style="283" customWidth="1"/>
    <col min="13073" max="13073" width="1.44140625" style="283" customWidth="1"/>
    <col min="13074" max="13074" width="2.44140625" style="283" customWidth="1"/>
    <col min="13075" max="13075" width="13" style="283" customWidth="1"/>
    <col min="13076" max="13076" width="3.21875" style="283" customWidth="1"/>
    <col min="13077" max="13077" width="21.44140625" style="283" customWidth="1"/>
    <col min="13078" max="13078" width="9.21875" style="283"/>
    <col min="13079" max="13079" width="10" style="283" bestFit="1" customWidth="1"/>
    <col min="13080" max="13080" width="9.77734375" style="283" bestFit="1" customWidth="1"/>
    <col min="13081" max="13312" width="9.21875" style="283"/>
    <col min="13313" max="13313" width="10.21875" style="283" customWidth="1"/>
    <col min="13314" max="13314" width="33.44140625" style="283" customWidth="1"/>
    <col min="13315" max="13315" width="15.21875" style="283" customWidth="1"/>
    <col min="13316" max="13316" width="6.77734375" style="283" customWidth="1"/>
    <col min="13317" max="13317" width="13.77734375" style="283" customWidth="1"/>
    <col min="13318" max="13318" width="10" style="283" customWidth="1"/>
    <col min="13319" max="13319" width="13" style="283" customWidth="1"/>
    <col min="13320" max="13320" width="21.44140625" style="283" customWidth="1"/>
    <col min="13321" max="13321" width="29.21875" style="283" bestFit="1" customWidth="1"/>
    <col min="13322" max="13322" width="22.77734375" style="283" customWidth="1"/>
    <col min="13323" max="13323" width="15.5546875" style="283" customWidth="1"/>
    <col min="13324" max="13324" width="2" style="283" customWidth="1"/>
    <col min="13325" max="13325" width="7.21875" style="283" customWidth="1"/>
    <col min="13326" max="13326" width="1.5546875" style="283" customWidth="1"/>
    <col min="13327" max="13327" width="1" style="283" customWidth="1"/>
    <col min="13328" max="13328" width="16.44140625" style="283" customWidth="1"/>
    <col min="13329" max="13329" width="1.44140625" style="283" customWidth="1"/>
    <col min="13330" max="13330" width="2.44140625" style="283" customWidth="1"/>
    <col min="13331" max="13331" width="13" style="283" customWidth="1"/>
    <col min="13332" max="13332" width="3.21875" style="283" customWidth="1"/>
    <col min="13333" max="13333" width="21.44140625" style="283" customWidth="1"/>
    <col min="13334" max="13334" width="9.21875" style="283"/>
    <col min="13335" max="13335" width="10" style="283" bestFit="1" customWidth="1"/>
    <col min="13336" max="13336" width="9.77734375" style="283" bestFit="1" customWidth="1"/>
    <col min="13337" max="13568" width="9.21875" style="283"/>
    <col min="13569" max="13569" width="10.21875" style="283" customWidth="1"/>
    <col min="13570" max="13570" width="33.44140625" style="283" customWidth="1"/>
    <col min="13571" max="13571" width="15.21875" style="283" customWidth="1"/>
    <col min="13572" max="13572" width="6.77734375" style="283" customWidth="1"/>
    <col min="13573" max="13573" width="13.77734375" style="283" customWidth="1"/>
    <col min="13574" max="13574" width="10" style="283" customWidth="1"/>
    <col min="13575" max="13575" width="13" style="283" customWidth="1"/>
    <col min="13576" max="13576" width="21.44140625" style="283" customWidth="1"/>
    <col min="13577" max="13577" width="29.21875" style="283" bestFit="1" customWidth="1"/>
    <col min="13578" max="13578" width="22.77734375" style="283" customWidth="1"/>
    <col min="13579" max="13579" width="15.5546875" style="283" customWidth="1"/>
    <col min="13580" max="13580" width="2" style="283" customWidth="1"/>
    <col min="13581" max="13581" width="7.21875" style="283" customWidth="1"/>
    <col min="13582" max="13582" width="1.5546875" style="283" customWidth="1"/>
    <col min="13583" max="13583" width="1" style="283" customWidth="1"/>
    <col min="13584" max="13584" width="16.44140625" style="283" customWidth="1"/>
    <col min="13585" max="13585" width="1.44140625" style="283" customWidth="1"/>
    <col min="13586" max="13586" width="2.44140625" style="283" customWidth="1"/>
    <col min="13587" max="13587" width="13" style="283" customWidth="1"/>
    <col min="13588" max="13588" width="3.21875" style="283" customWidth="1"/>
    <col min="13589" max="13589" width="21.44140625" style="283" customWidth="1"/>
    <col min="13590" max="13590" width="9.21875" style="283"/>
    <col min="13591" max="13591" width="10" style="283" bestFit="1" customWidth="1"/>
    <col min="13592" max="13592" width="9.77734375" style="283" bestFit="1" customWidth="1"/>
    <col min="13593" max="13824" width="9.21875" style="283"/>
    <col min="13825" max="13825" width="10.21875" style="283" customWidth="1"/>
    <col min="13826" max="13826" width="33.44140625" style="283" customWidth="1"/>
    <col min="13827" max="13827" width="15.21875" style="283" customWidth="1"/>
    <col min="13828" max="13828" width="6.77734375" style="283" customWidth="1"/>
    <col min="13829" max="13829" width="13.77734375" style="283" customWidth="1"/>
    <col min="13830" max="13830" width="10" style="283" customWidth="1"/>
    <col min="13831" max="13831" width="13" style="283" customWidth="1"/>
    <col min="13832" max="13832" width="21.44140625" style="283" customWidth="1"/>
    <col min="13833" max="13833" width="29.21875" style="283" bestFit="1" customWidth="1"/>
    <col min="13834" max="13834" width="22.77734375" style="283" customWidth="1"/>
    <col min="13835" max="13835" width="15.5546875" style="283" customWidth="1"/>
    <col min="13836" max="13836" width="2" style="283" customWidth="1"/>
    <col min="13837" max="13837" width="7.21875" style="283" customWidth="1"/>
    <col min="13838" max="13838" width="1.5546875" style="283" customWidth="1"/>
    <col min="13839" max="13839" width="1" style="283" customWidth="1"/>
    <col min="13840" max="13840" width="16.44140625" style="283" customWidth="1"/>
    <col min="13841" max="13841" width="1.44140625" style="283" customWidth="1"/>
    <col min="13842" max="13842" width="2.44140625" style="283" customWidth="1"/>
    <col min="13843" max="13843" width="13" style="283" customWidth="1"/>
    <col min="13844" max="13844" width="3.21875" style="283" customWidth="1"/>
    <col min="13845" max="13845" width="21.44140625" style="283" customWidth="1"/>
    <col min="13846" max="13846" width="9.21875" style="283"/>
    <col min="13847" max="13847" width="10" style="283" bestFit="1" customWidth="1"/>
    <col min="13848" max="13848" width="9.77734375" style="283" bestFit="1" customWidth="1"/>
    <col min="13849" max="14080" width="9.21875" style="283"/>
    <col min="14081" max="14081" width="10.21875" style="283" customWidth="1"/>
    <col min="14082" max="14082" width="33.44140625" style="283" customWidth="1"/>
    <col min="14083" max="14083" width="15.21875" style="283" customWidth="1"/>
    <col min="14084" max="14084" width="6.77734375" style="283" customWidth="1"/>
    <col min="14085" max="14085" width="13.77734375" style="283" customWidth="1"/>
    <col min="14086" max="14086" width="10" style="283" customWidth="1"/>
    <col min="14087" max="14087" width="13" style="283" customWidth="1"/>
    <col min="14088" max="14088" width="21.44140625" style="283" customWidth="1"/>
    <col min="14089" max="14089" width="29.21875" style="283" bestFit="1" customWidth="1"/>
    <col min="14090" max="14090" width="22.77734375" style="283" customWidth="1"/>
    <col min="14091" max="14091" width="15.5546875" style="283" customWidth="1"/>
    <col min="14092" max="14092" width="2" style="283" customWidth="1"/>
    <col min="14093" max="14093" width="7.21875" style="283" customWidth="1"/>
    <col min="14094" max="14094" width="1.5546875" style="283" customWidth="1"/>
    <col min="14095" max="14095" width="1" style="283" customWidth="1"/>
    <col min="14096" max="14096" width="16.44140625" style="283" customWidth="1"/>
    <col min="14097" max="14097" width="1.44140625" style="283" customWidth="1"/>
    <col min="14098" max="14098" width="2.44140625" style="283" customWidth="1"/>
    <col min="14099" max="14099" width="13" style="283" customWidth="1"/>
    <col min="14100" max="14100" width="3.21875" style="283" customWidth="1"/>
    <col min="14101" max="14101" width="21.44140625" style="283" customWidth="1"/>
    <col min="14102" max="14102" width="9.21875" style="283"/>
    <col min="14103" max="14103" width="10" style="283" bestFit="1" customWidth="1"/>
    <col min="14104" max="14104" width="9.77734375" style="283" bestFit="1" customWidth="1"/>
    <col min="14105" max="14336" width="9.21875" style="283"/>
    <col min="14337" max="14337" width="10.21875" style="283" customWidth="1"/>
    <col min="14338" max="14338" width="33.44140625" style="283" customWidth="1"/>
    <col min="14339" max="14339" width="15.21875" style="283" customWidth="1"/>
    <col min="14340" max="14340" width="6.77734375" style="283" customWidth="1"/>
    <col min="14341" max="14341" width="13.77734375" style="283" customWidth="1"/>
    <col min="14342" max="14342" width="10" style="283" customWidth="1"/>
    <col min="14343" max="14343" width="13" style="283" customWidth="1"/>
    <col min="14344" max="14344" width="21.44140625" style="283" customWidth="1"/>
    <col min="14345" max="14345" width="29.21875" style="283" bestFit="1" customWidth="1"/>
    <col min="14346" max="14346" width="22.77734375" style="283" customWidth="1"/>
    <col min="14347" max="14347" width="15.5546875" style="283" customWidth="1"/>
    <col min="14348" max="14348" width="2" style="283" customWidth="1"/>
    <col min="14349" max="14349" width="7.21875" style="283" customWidth="1"/>
    <col min="14350" max="14350" width="1.5546875" style="283" customWidth="1"/>
    <col min="14351" max="14351" width="1" style="283" customWidth="1"/>
    <col min="14352" max="14352" width="16.44140625" style="283" customWidth="1"/>
    <col min="14353" max="14353" width="1.44140625" style="283" customWidth="1"/>
    <col min="14354" max="14354" width="2.44140625" style="283" customWidth="1"/>
    <col min="14355" max="14355" width="13" style="283" customWidth="1"/>
    <col min="14356" max="14356" width="3.21875" style="283" customWidth="1"/>
    <col min="14357" max="14357" width="21.44140625" style="283" customWidth="1"/>
    <col min="14358" max="14358" width="9.21875" style="283"/>
    <col min="14359" max="14359" width="10" style="283" bestFit="1" customWidth="1"/>
    <col min="14360" max="14360" width="9.77734375" style="283" bestFit="1" customWidth="1"/>
    <col min="14361" max="14592" width="9.21875" style="283"/>
    <col min="14593" max="14593" width="10.21875" style="283" customWidth="1"/>
    <col min="14594" max="14594" width="33.44140625" style="283" customWidth="1"/>
    <col min="14595" max="14595" width="15.21875" style="283" customWidth="1"/>
    <col min="14596" max="14596" width="6.77734375" style="283" customWidth="1"/>
    <col min="14597" max="14597" width="13.77734375" style="283" customWidth="1"/>
    <col min="14598" max="14598" width="10" style="283" customWidth="1"/>
    <col min="14599" max="14599" width="13" style="283" customWidth="1"/>
    <col min="14600" max="14600" width="21.44140625" style="283" customWidth="1"/>
    <col min="14601" max="14601" width="29.21875" style="283" bestFit="1" customWidth="1"/>
    <col min="14602" max="14602" width="22.77734375" style="283" customWidth="1"/>
    <col min="14603" max="14603" width="15.5546875" style="283" customWidth="1"/>
    <col min="14604" max="14604" width="2" style="283" customWidth="1"/>
    <col min="14605" max="14605" width="7.21875" style="283" customWidth="1"/>
    <col min="14606" max="14606" width="1.5546875" style="283" customWidth="1"/>
    <col min="14607" max="14607" width="1" style="283" customWidth="1"/>
    <col min="14608" max="14608" width="16.44140625" style="283" customWidth="1"/>
    <col min="14609" max="14609" width="1.44140625" style="283" customWidth="1"/>
    <col min="14610" max="14610" width="2.44140625" style="283" customWidth="1"/>
    <col min="14611" max="14611" width="13" style="283" customWidth="1"/>
    <col min="14612" max="14612" width="3.21875" style="283" customWidth="1"/>
    <col min="14613" max="14613" width="21.44140625" style="283" customWidth="1"/>
    <col min="14614" max="14614" width="9.21875" style="283"/>
    <col min="14615" max="14615" width="10" style="283" bestFit="1" customWidth="1"/>
    <col min="14616" max="14616" width="9.77734375" style="283" bestFit="1" customWidth="1"/>
    <col min="14617" max="14848" width="9.21875" style="283"/>
    <col min="14849" max="14849" width="10.21875" style="283" customWidth="1"/>
    <col min="14850" max="14850" width="33.44140625" style="283" customWidth="1"/>
    <col min="14851" max="14851" width="15.21875" style="283" customWidth="1"/>
    <col min="14852" max="14852" width="6.77734375" style="283" customWidth="1"/>
    <col min="14853" max="14853" width="13.77734375" style="283" customWidth="1"/>
    <col min="14854" max="14854" width="10" style="283" customWidth="1"/>
    <col min="14855" max="14855" width="13" style="283" customWidth="1"/>
    <col min="14856" max="14856" width="21.44140625" style="283" customWidth="1"/>
    <col min="14857" max="14857" width="29.21875" style="283" bestFit="1" customWidth="1"/>
    <col min="14858" max="14858" width="22.77734375" style="283" customWidth="1"/>
    <col min="14859" max="14859" width="15.5546875" style="283" customWidth="1"/>
    <col min="14860" max="14860" width="2" style="283" customWidth="1"/>
    <col min="14861" max="14861" width="7.21875" style="283" customWidth="1"/>
    <col min="14862" max="14862" width="1.5546875" style="283" customWidth="1"/>
    <col min="14863" max="14863" width="1" style="283" customWidth="1"/>
    <col min="14864" max="14864" width="16.44140625" style="283" customWidth="1"/>
    <col min="14865" max="14865" width="1.44140625" style="283" customWidth="1"/>
    <col min="14866" max="14866" width="2.44140625" style="283" customWidth="1"/>
    <col min="14867" max="14867" width="13" style="283" customWidth="1"/>
    <col min="14868" max="14868" width="3.21875" style="283" customWidth="1"/>
    <col min="14869" max="14869" width="21.44140625" style="283" customWidth="1"/>
    <col min="14870" max="14870" width="9.21875" style="283"/>
    <col min="14871" max="14871" width="10" style="283" bestFit="1" customWidth="1"/>
    <col min="14872" max="14872" width="9.77734375" style="283" bestFit="1" customWidth="1"/>
    <col min="14873" max="15104" width="9.21875" style="283"/>
    <col min="15105" max="15105" width="10.21875" style="283" customWidth="1"/>
    <col min="15106" max="15106" width="33.44140625" style="283" customWidth="1"/>
    <col min="15107" max="15107" width="15.21875" style="283" customWidth="1"/>
    <col min="15108" max="15108" width="6.77734375" style="283" customWidth="1"/>
    <col min="15109" max="15109" width="13.77734375" style="283" customWidth="1"/>
    <col min="15110" max="15110" width="10" style="283" customWidth="1"/>
    <col min="15111" max="15111" width="13" style="283" customWidth="1"/>
    <col min="15112" max="15112" width="21.44140625" style="283" customWidth="1"/>
    <col min="15113" max="15113" width="29.21875" style="283" bestFit="1" customWidth="1"/>
    <col min="15114" max="15114" width="22.77734375" style="283" customWidth="1"/>
    <col min="15115" max="15115" width="15.5546875" style="283" customWidth="1"/>
    <col min="15116" max="15116" width="2" style="283" customWidth="1"/>
    <col min="15117" max="15117" width="7.21875" style="283" customWidth="1"/>
    <col min="15118" max="15118" width="1.5546875" style="283" customWidth="1"/>
    <col min="15119" max="15119" width="1" style="283" customWidth="1"/>
    <col min="15120" max="15120" width="16.44140625" style="283" customWidth="1"/>
    <col min="15121" max="15121" width="1.44140625" style="283" customWidth="1"/>
    <col min="15122" max="15122" width="2.44140625" style="283" customWidth="1"/>
    <col min="15123" max="15123" width="13" style="283" customWidth="1"/>
    <col min="15124" max="15124" width="3.21875" style="283" customWidth="1"/>
    <col min="15125" max="15125" width="21.44140625" style="283" customWidth="1"/>
    <col min="15126" max="15126" width="9.21875" style="283"/>
    <col min="15127" max="15127" width="10" style="283" bestFit="1" customWidth="1"/>
    <col min="15128" max="15128" width="9.77734375" style="283" bestFit="1" customWidth="1"/>
    <col min="15129" max="15360" width="9.21875" style="283"/>
    <col min="15361" max="15361" width="10.21875" style="283" customWidth="1"/>
    <col min="15362" max="15362" width="33.44140625" style="283" customWidth="1"/>
    <col min="15363" max="15363" width="15.21875" style="283" customWidth="1"/>
    <col min="15364" max="15364" width="6.77734375" style="283" customWidth="1"/>
    <col min="15365" max="15365" width="13.77734375" style="283" customWidth="1"/>
    <col min="15366" max="15366" width="10" style="283" customWidth="1"/>
    <col min="15367" max="15367" width="13" style="283" customWidth="1"/>
    <col min="15368" max="15368" width="21.44140625" style="283" customWidth="1"/>
    <col min="15369" max="15369" width="29.21875" style="283" bestFit="1" customWidth="1"/>
    <col min="15370" max="15370" width="22.77734375" style="283" customWidth="1"/>
    <col min="15371" max="15371" width="15.5546875" style="283" customWidth="1"/>
    <col min="15372" max="15372" width="2" style="283" customWidth="1"/>
    <col min="15373" max="15373" width="7.21875" style="283" customWidth="1"/>
    <col min="15374" max="15374" width="1.5546875" style="283" customWidth="1"/>
    <col min="15375" max="15375" width="1" style="283" customWidth="1"/>
    <col min="15376" max="15376" width="16.44140625" style="283" customWidth="1"/>
    <col min="15377" max="15377" width="1.44140625" style="283" customWidth="1"/>
    <col min="15378" max="15378" width="2.44140625" style="283" customWidth="1"/>
    <col min="15379" max="15379" width="13" style="283" customWidth="1"/>
    <col min="15380" max="15380" width="3.21875" style="283" customWidth="1"/>
    <col min="15381" max="15381" width="21.44140625" style="283" customWidth="1"/>
    <col min="15382" max="15382" width="9.21875" style="283"/>
    <col min="15383" max="15383" width="10" style="283" bestFit="1" customWidth="1"/>
    <col min="15384" max="15384" width="9.77734375" style="283" bestFit="1" customWidth="1"/>
    <col min="15385" max="15616" width="9.21875" style="283"/>
    <col min="15617" max="15617" width="10.21875" style="283" customWidth="1"/>
    <col min="15618" max="15618" width="33.44140625" style="283" customWidth="1"/>
    <col min="15619" max="15619" width="15.21875" style="283" customWidth="1"/>
    <col min="15620" max="15620" width="6.77734375" style="283" customWidth="1"/>
    <col min="15621" max="15621" width="13.77734375" style="283" customWidth="1"/>
    <col min="15622" max="15622" width="10" style="283" customWidth="1"/>
    <col min="15623" max="15623" width="13" style="283" customWidth="1"/>
    <col min="15624" max="15624" width="21.44140625" style="283" customWidth="1"/>
    <col min="15625" max="15625" width="29.21875" style="283" bestFit="1" customWidth="1"/>
    <col min="15626" max="15626" width="22.77734375" style="283" customWidth="1"/>
    <col min="15627" max="15627" width="15.5546875" style="283" customWidth="1"/>
    <col min="15628" max="15628" width="2" style="283" customWidth="1"/>
    <col min="15629" max="15629" width="7.21875" style="283" customWidth="1"/>
    <col min="15630" max="15630" width="1.5546875" style="283" customWidth="1"/>
    <col min="15631" max="15631" width="1" style="283" customWidth="1"/>
    <col min="15632" max="15632" width="16.44140625" style="283" customWidth="1"/>
    <col min="15633" max="15633" width="1.44140625" style="283" customWidth="1"/>
    <col min="15634" max="15634" width="2.44140625" style="283" customWidth="1"/>
    <col min="15635" max="15635" width="13" style="283" customWidth="1"/>
    <col min="15636" max="15636" width="3.21875" style="283" customWidth="1"/>
    <col min="15637" max="15637" width="21.44140625" style="283" customWidth="1"/>
    <col min="15638" max="15638" width="9.21875" style="283"/>
    <col min="15639" max="15639" width="10" style="283" bestFit="1" customWidth="1"/>
    <col min="15640" max="15640" width="9.77734375" style="283" bestFit="1" customWidth="1"/>
    <col min="15641" max="15872" width="9.21875" style="283"/>
    <col min="15873" max="15873" width="10.21875" style="283" customWidth="1"/>
    <col min="15874" max="15874" width="33.44140625" style="283" customWidth="1"/>
    <col min="15875" max="15875" width="15.21875" style="283" customWidth="1"/>
    <col min="15876" max="15876" width="6.77734375" style="283" customWidth="1"/>
    <col min="15877" max="15877" width="13.77734375" style="283" customWidth="1"/>
    <col min="15878" max="15878" width="10" style="283" customWidth="1"/>
    <col min="15879" max="15879" width="13" style="283" customWidth="1"/>
    <col min="15880" max="15880" width="21.44140625" style="283" customWidth="1"/>
    <col min="15881" max="15881" width="29.21875" style="283" bestFit="1" customWidth="1"/>
    <col min="15882" max="15882" width="22.77734375" style="283" customWidth="1"/>
    <col min="15883" max="15883" width="15.5546875" style="283" customWidth="1"/>
    <col min="15884" max="15884" width="2" style="283" customWidth="1"/>
    <col min="15885" max="15885" width="7.21875" style="283" customWidth="1"/>
    <col min="15886" max="15886" width="1.5546875" style="283" customWidth="1"/>
    <col min="15887" max="15887" width="1" style="283" customWidth="1"/>
    <col min="15888" max="15888" width="16.44140625" style="283" customWidth="1"/>
    <col min="15889" max="15889" width="1.44140625" style="283" customWidth="1"/>
    <col min="15890" max="15890" width="2.44140625" style="283" customWidth="1"/>
    <col min="15891" max="15891" width="13" style="283" customWidth="1"/>
    <col min="15892" max="15892" width="3.21875" style="283" customWidth="1"/>
    <col min="15893" max="15893" width="21.44140625" style="283" customWidth="1"/>
    <col min="15894" max="15894" width="9.21875" style="283"/>
    <col min="15895" max="15895" width="10" style="283" bestFit="1" customWidth="1"/>
    <col min="15896" max="15896" width="9.77734375" style="283" bestFit="1" customWidth="1"/>
    <col min="15897" max="16128" width="9.21875" style="283"/>
    <col min="16129" max="16129" width="10.21875" style="283" customWidth="1"/>
    <col min="16130" max="16130" width="33.44140625" style="283" customWidth="1"/>
    <col min="16131" max="16131" width="15.21875" style="283" customWidth="1"/>
    <col min="16132" max="16132" width="6.77734375" style="283" customWidth="1"/>
    <col min="16133" max="16133" width="13.77734375" style="283" customWidth="1"/>
    <col min="16134" max="16134" width="10" style="283" customWidth="1"/>
    <col min="16135" max="16135" width="13" style="283" customWidth="1"/>
    <col min="16136" max="16136" width="21.44140625" style="283" customWidth="1"/>
    <col min="16137" max="16137" width="29.21875" style="283" bestFit="1" customWidth="1"/>
    <col min="16138" max="16138" width="22.77734375" style="283" customWidth="1"/>
    <col min="16139" max="16139" width="15.5546875" style="283" customWidth="1"/>
    <col min="16140" max="16140" width="2" style="283" customWidth="1"/>
    <col min="16141" max="16141" width="7.21875" style="283" customWidth="1"/>
    <col min="16142" max="16142" width="1.5546875" style="283" customWidth="1"/>
    <col min="16143" max="16143" width="1" style="283" customWidth="1"/>
    <col min="16144" max="16144" width="16.44140625" style="283" customWidth="1"/>
    <col min="16145" max="16145" width="1.44140625" style="283" customWidth="1"/>
    <col min="16146" max="16146" width="2.44140625" style="283" customWidth="1"/>
    <col min="16147" max="16147" width="13" style="283" customWidth="1"/>
    <col min="16148" max="16148" width="3.21875" style="283" customWidth="1"/>
    <col min="16149" max="16149" width="21.44140625" style="283" customWidth="1"/>
    <col min="16150" max="16150" width="9.21875" style="283"/>
    <col min="16151" max="16151" width="10" style="283" bestFit="1" customWidth="1"/>
    <col min="16152" max="16152" width="9.77734375" style="283" bestFit="1" customWidth="1"/>
    <col min="16153" max="16384" width="9.21875" style="283"/>
  </cols>
  <sheetData>
    <row r="1" spans="1:24" x14ac:dyDescent="0.3">
      <c r="A1" s="373" t="s">
        <v>144</v>
      </c>
      <c r="B1" s="373"/>
      <c r="C1" s="373"/>
      <c r="D1" s="373"/>
      <c r="E1" s="373"/>
      <c r="F1" s="373"/>
      <c r="G1" s="373"/>
      <c r="H1" s="373"/>
      <c r="I1" s="288"/>
      <c r="J1" s="288"/>
      <c r="K1" s="289"/>
      <c r="L1" s="288"/>
      <c r="M1" s="288"/>
      <c r="N1" s="288"/>
      <c r="O1" s="288"/>
      <c r="P1" s="290"/>
      <c r="Q1" s="288"/>
      <c r="R1" s="288"/>
      <c r="S1" s="288"/>
      <c r="T1" s="288"/>
      <c r="U1" s="288"/>
      <c r="X1" s="286"/>
    </row>
    <row r="2" spans="1:24" ht="15.75" customHeight="1" x14ac:dyDescent="0.3">
      <c r="A2" s="373" t="s">
        <v>428</v>
      </c>
      <c r="B2" s="373"/>
      <c r="C2" s="373"/>
      <c r="D2" s="373"/>
      <c r="E2" s="373"/>
      <c r="F2" s="373"/>
      <c r="G2" s="373"/>
      <c r="H2" s="373"/>
      <c r="K2" s="283"/>
      <c r="P2" s="283"/>
      <c r="Q2" s="283"/>
      <c r="U2" s="283"/>
    </row>
    <row r="3" spans="1:24" ht="15.75" customHeight="1" x14ac:dyDescent="0.3">
      <c r="A3" s="373" t="s">
        <v>429</v>
      </c>
      <c r="B3" s="373"/>
      <c r="C3" s="373"/>
      <c r="D3" s="373"/>
      <c r="E3" s="373"/>
      <c r="F3" s="373"/>
      <c r="G3" s="373"/>
      <c r="H3" s="373"/>
      <c r="I3" s="288"/>
      <c r="J3" s="288"/>
      <c r="K3" s="289"/>
      <c r="L3" s="288"/>
      <c r="M3" s="288"/>
      <c r="N3" s="288"/>
      <c r="O3" s="288"/>
      <c r="P3" s="290"/>
      <c r="Q3" s="290"/>
      <c r="R3" s="288"/>
      <c r="S3" s="288"/>
      <c r="T3" s="288"/>
      <c r="U3" s="291"/>
    </row>
    <row r="4" spans="1:24" x14ac:dyDescent="0.3">
      <c r="A4" s="373" t="s">
        <v>430</v>
      </c>
      <c r="B4" s="373"/>
      <c r="C4" s="373"/>
      <c r="D4" s="373"/>
      <c r="E4" s="373"/>
      <c r="F4" s="373"/>
      <c r="G4" s="373"/>
      <c r="H4" s="373"/>
      <c r="I4" s="288"/>
      <c r="J4" s="288"/>
      <c r="K4" s="289"/>
      <c r="L4" s="288"/>
      <c r="M4" s="288"/>
      <c r="N4" s="288"/>
      <c r="O4" s="288"/>
      <c r="P4" s="290"/>
      <c r="Q4" s="290"/>
      <c r="R4" s="288"/>
      <c r="S4" s="288"/>
      <c r="T4" s="288"/>
      <c r="U4" s="288"/>
    </row>
    <row r="5" spans="1:24" ht="39" customHeight="1" x14ac:dyDescent="0.3">
      <c r="A5" s="374" t="s">
        <v>431</v>
      </c>
      <c r="B5" s="374"/>
      <c r="C5" s="374"/>
      <c r="D5" s="374"/>
      <c r="E5" s="374"/>
      <c r="F5" s="374"/>
      <c r="G5" s="374"/>
      <c r="H5" s="374"/>
      <c r="I5" s="288"/>
      <c r="J5" s="289"/>
      <c r="K5" s="292"/>
      <c r="L5" s="292"/>
      <c r="M5" s="292"/>
      <c r="N5" s="292"/>
      <c r="O5" s="288"/>
      <c r="P5" s="290"/>
      <c r="Q5" s="290"/>
      <c r="R5" s="288"/>
      <c r="S5" s="288"/>
      <c r="T5" s="288"/>
      <c r="U5" s="291"/>
    </row>
    <row r="6" spans="1:24" ht="32.25" customHeight="1" x14ac:dyDescent="0.3">
      <c r="A6" s="378" t="s">
        <v>432</v>
      </c>
      <c r="B6" s="378"/>
      <c r="C6" s="378"/>
      <c r="D6" s="378"/>
      <c r="E6" s="378"/>
      <c r="F6" s="378"/>
      <c r="G6" s="378"/>
      <c r="H6" s="378"/>
      <c r="I6" s="288"/>
      <c r="J6" s="289"/>
      <c r="K6" s="292"/>
      <c r="L6" s="292"/>
      <c r="M6" s="292"/>
      <c r="N6" s="292"/>
      <c r="O6" s="288"/>
      <c r="P6" s="290"/>
      <c r="Q6" s="290"/>
      <c r="R6" s="288"/>
      <c r="S6" s="288"/>
      <c r="T6" s="288"/>
      <c r="U6" s="291"/>
    </row>
    <row r="7" spans="1:24" ht="18" customHeight="1" x14ac:dyDescent="0.3">
      <c r="A7" s="373" t="s">
        <v>433</v>
      </c>
      <c r="B7" s="373"/>
      <c r="C7" s="373"/>
      <c r="D7" s="373"/>
      <c r="E7" s="373"/>
      <c r="F7" s="373"/>
      <c r="G7" s="373"/>
      <c r="H7" s="373"/>
      <c r="I7" s="293"/>
      <c r="J7" s="288"/>
      <c r="K7" s="289"/>
      <c r="L7" s="288"/>
      <c r="M7" s="288"/>
      <c r="N7" s="288"/>
      <c r="O7" s="288"/>
      <c r="P7" s="290"/>
      <c r="Q7" s="290"/>
      <c r="R7" s="288"/>
      <c r="S7" s="288"/>
      <c r="T7" s="288"/>
      <c r="U7" s="288"/>
    </row>
    <row r="8" spans="1:24" ht="16.5" customHeight="1" x14ac:dyDescent="0.3">
      <c r="A8" s="373" t="s">
        <v>434</v>
      </c>
      <c r="B8" s="373"/>
      <c r="C8" s="373"/>
      <c r="D8" s="373"/>
      <c r="E8" s="373"/>
      <c r="F8" s="373"/>
      <c r="G8" s="373"/>
      <c r="H8" s="373"/>
      <c r="I8" s="288"/>
      <c r="J8" s="288"/>
      <c r="K8" s="289"/>
      <c r="L8" s="288"/>
      <c r="M8" s="288"/>
      <c r="N8" s="288"/>
      <c r="O8" s="288"/>
      <c r="P8" s="290"/>
      <c r="Q8" s="290"/>
      <c r="R8" s="288"/>
      <c r="S8" s="288"/>
      <c r="T8" s="288"/>
      <c r="U8" s="288"/>
    </row>
    <row r="9" spans="1:24" x14ac:dyDescent="0.3">
      <c r="A9" s="379" t="s">
        <v>435</v>
      </c>
      <c r="B9" s="379"/>
      <c r="C9" s="379"/>
      <c r="D9" s="379"/>
      <c r="E9" s="379"/>
      <c r="F9" s="379"/>
      <c r="G9" s="379"/>
      <c r="H9" s="379"/>
      <c r="I9" s="288"/>
      <c r="J9" s="288"/>
      <c r="K9" s="289"/>
      <c r="L9" s="288"/>
      <c r="M9" s="288"/>
      <c r="N9" s="288"/>
      <c r="O9" s="288"/>
      <c r="P9" s="290"/>
      <c r="Q9" s="290"/>
      <c r="R9" s="288"/>
      <c r="S9" s="288"/>
      <c r="T9" s="288"/>
      <c r="U9" s="288"/>
    </row>
    <row r="10" spans="1:24" ht="17.25" customHeight="1" x14ac:dyDescent="0.3">
      <c r="A10" s="379"/>
      <c r="B10" s="379"/>
      <c r="C10" s="379"/>
      <c r="D10" s="379"/>
      <c r="E10" s="379"/>
      <c r="F10" s="379"/>
      <c r="G10" s="379"/>
      <c r="H10" s="379"/>
      <c r="I10" s="288"/>
      <c r="J10" s="288"/>
      <c r="K10" s="289"/>
      <c r="L10" s="288"/>
      <c r="M10" s="288"/>
      <c r="N10" s="288"/>
      <c r="O10" s="288"/>
      <c r="P10" s="290"/>
      <c r="Q10" s="290"/>
      <c r="R10" s="288"/>
      <c r="S10" s="288"/>
      <c r="T10" s="288"/>
      <c r="U10" s="288"/>
    </row>
    <row r="11" spans="1:24" ht="45" customHeight="1" x14ac:dyDescent="0.3">
      <c r="A11" s="378" t="s">
        <v>436</v>
      </c>
      <c r="B11" s="378"/>
      <c r="C11" s="378"/>
      <c r="D11" s="378"/>
      <c r="E11" s="378"/>
      <c r="F11" s="378"/>
      <c r="G11" s="378"/>
      <c r="H11" s="378"/>
      <c r="I11" s="288"/>
      <c r="J11" s="288"/>
      <c r="K11" s="289"/>
      <c r="L11" s="288"/>
      <c r="M11" s="288"/>
      <c r="N11" s="288"/>
      <c r="O11" s="288"/>
      <c r="P11" s="290"/>
      <c r="Q11" s="290"/>
      <c r="R11" s="288"/>
      <c r="S11" s="288"/>
      <c r="T11" s="288"/>
      <c r="U11" s="288"/>
    </row>
    <row r="12" spans="1:24" ht="60" customHeight="1" x14ac:dyDescent="0.3">
      <c r="A12" s="375" t="s">
        <v>437</v>
      </c>
      <c r="B12" s="375"/>
      <c r="C12" s="375"/>
      <c r="D12" s="375"/>
      <c r="E12" s="375"/>
      <c r="F12" s="375"/>
      <c r="G12" s="375"/>
      <c r="H12" s="375"/>
      <c r="I12" s="294"/>
      <c r="J12" s="288"/>
      <c r="K12" s="289"/>
      <c r="L12" s="288"/>
      <c r="M12" s="288"/>
      <c r="N12" s="288"/>
      <c r="O12" s="288"/>
      <c r="P12" s="290"/>
      <c r="Q12" s="290"/>
      <c r="R12" s="288"/>
      <c r="S12" s="288"/>
      <c r="T12" s="288"/>
      <c r="U12" s="288"/>
    </row>
    <row r="13" spans="1:24" ht="60" customHeight="1" x14ac:dyDescent="0.3">
      <c r="A13" s="375" t="s">
        <v>438</v>
      </c>
      <c r="B13" s="375"/>
      <c r="C13" s="375"/>
      <c r="D13" s="375"/>
      <c r="E13" s="375"/>
      <c r="F13" s="375"/>
      <c r="G13" s="375"/>
      <c r="H13" s="375"/>
      <c r="I13" s="294"/>
      <c r="J13" s="288"/>
      <c r="K13" s="289"/>
      <c r="L13" s="288"/>
      <c r="M13" s="288"/>
      <c r="N13" s="288"/>
      <c r="O13" s="288"/>
      <c r="P13" s="290"/>
      <c r="Q13" s="290"/>
      <c r="R13" s="288"/>
      <c r="S13" s="288"/>
      <c r="T13" s="288"/>
      <c r="U13" s="288"/>
    </row>
    <row r="14" spans="1:24" ht="29.25" customHeight="1" x14ac:dyDescent="0.3">
      <c r="A14" s="375" t="s">
        <v>439</v>
      </c>
      <c r="B14" s="375"/>
      <c r="C14" s="375"/>
      <c r="D14" s="375"/>
      <c r="E14" s="375"/>
      <c r="F14" s="375"/>
      <c r="G14" s="375"/>
      <c r="H14" s="375"/>
      <c r="I14" s="288"/>
      <c r="J14" s="288"/>
      <c r="K14" s="289"/>
      <c r="L14" s="288"/>
      <c r="M14" s="288"/>
      <c r="N14" s="288"/>
      <c r="O14" s="288"/>
      <c r="P14" s="290"/>
      <c r="Q14" s="290"/>
      <c r="R14" s="288"/>
      <c r="S14" s="288"/>
      <c r="T14" s="288"/>
      <c r="U14" s="288"/>
    </row>
    <row r="15" spans="1:24" x14ac:dyDescent="0.3">
      <c r="A15" s="376" t="s">
        <v>440</v>
      </c>
      <c r="B15" s="376"/>
      <c r="C15" s="376"/>
      <c r="D15" s="376"/>
      <c r="E15" s="376"/>
      <c r="F15" s="376"/>
      <c r="G15" s="376"/>
      <c r="H15" s="376"/>
      <c r="I15" s="288"/>
      <c r="J15" s="288"/>
      <c r="K15" s="288"/>
      <c r="L15" s="288"/>
      <c r="M15" s="288"/>
      <c r="N15" s="288"/>
      <c r="O15" s="288"/>
      <c r="P15" s="290"/>
      <c r="Q15" s="290"/>
      <c r="R15" s="288"/>
      <c r="S15" s="288"/>
      <c r="T15" s="288"/>
      <c r="U15" s="288"/>
    </row>
    <row r="16" spans="1:24" ht="15.75" customHeight="1" x14ac:dyDescent="0.3">
      <c r="A16" s="377"/>
      <c r="B16" s="377"/>
      <c r="C16" s="377"/>
      <c r="D16" s="377"/>
      <c r="E16" s="377"/>
      <c r="F16" s="377"/>
      <c r="G16" s="377"/>
      <c r="H16" s="377"/>
      <c r="J16" s="284"/>
      <c r="K16" s="283"/>
      <c r="O16" s="285"/>
      <c r="Q16" s="283"/>
      <c r="U16" s="283"/>
    </row>
    <row r="17" spans="1:21" ht="15.75" customHeight="1" x14ac:dyDescent="0.3">
      <c r="A17" s="295"/>
      <c r="U17" s="283"/>
    </row>
    <row r="18" spans="1:21" ht="15.75" customHeight="1" x14ac:dyDescent="0.3">
      <c r="A18" s="295"/>
      <c r="U18" s="283"/>
    </row>
    <row r="19" spans="1:21" ht="15.75" customHeight="1" x14ac:dyDescent="0.3">
      <c r="A19" s="295"/>
      <c r="U19" s="283"/>
    </row>
    <row r="20" spans="1:21" ht="15.75" customHeight="1" x14ac:dyDescent="0.3">
      <c r="A20" s="295"/>
      <c r="B20" s="296"/>
      <c r="C20" s="296"/>
      <c r="D20" s="296"/>
      <c r="E20" s="296"/>
      <c r="F20" s="296"/>
      <c r="G20" s="296"/>
      <c r="H20" s="296"/>
      <c r="I20" s="296"/>
      <c r="J20" s="296"/>
      <c r="K20" s="296"/>
      <c r="L20" s="296"/>
      <c r="M20" s="296"/>
      <c r="N20" s="296"/>
      <c r="O20" s="296"/>
      <c r="P20" s="297"/>
      <c r="Q20" s="297"/>
      <c r="R20" s="296"/>
      <c r="S20" s="296"/>
      <c r="T20" s="296"/>
      <c r="U20" s="296"/>
    </row>
    <row r="21" spans="1:21" ht="15.75" customHeight="1" x14ac:dyDescent="0.3">
      <c r="A21" s="295"/>
      <c r="U21" s="283"/>
    </row>
    <row r="22" spans="1:21" ht="15.75" customHeight="1" x14ac:dyDescent="0.3">
      <c r="A22" s="295"/>
    </row>
    <row r="23" spans="1:21" ht="15.75" customHeight="1" x14ac:dyDescent="0.3">
      <c r="A23" s="295"/>
    </row>
    <row r="24" spans="1:21" ht="15.75" customHeight="1" x14ac:dyDescent="0.3">
      <c r="A24" s="295"/>
    </row>
    <row r="25" spans="1:21" ht="15.75" customHeight="1" x14ac:dyDescent="0.3">
      <c r="A25" s="295"/>
    </row>
    <row r="26" spans="1:21" ht="15.75" customHeight="1" x14ac:dyDescent="0.3">
      <c r="A26" s="295"/>
    </row>
    <row r="27" spans="1:21" ht="15.75" customHeight="1" x14ac:dyDescent="0.3">
      <c r="A27" s="295"/>
    </row>
    <row r="28" spans="1:21" ht="15.75" customHeight="1" x14ac:dyDescent="0.3">
      <c r="A28" s="295"/>
    </row>
    <row r="29" spans="1:21" ht="15.75" customHeight="1" x14ac:dyDescent="0.3">
      <c r="A29" s="295"/>
    </row>
    <row r="30" spans="1:21" x14ac:dyDescent="0.3">
      <c r="A30" s="295"/>
    </row>
    <row r="31" spans="1:21" x14ac:dyDescent="0.3">
      <c r="A31" s="295"/>
    </row>
    <row r="32" spans="1:21" x14ac:dyDescent="0.3">
      <c r="A32" s="295"/>
    </row>
    <row r="33" spans="1:1" x14ac:dyDescent="0.3">
      <c r="A33" s="295"/>
    </row>
    <row r="34" spans="1:1" x14ac:dyDescent="0.3">
      <c r="A34" s="295"/>
    </row>
    <row r="35" spans="1:1" x14ac:dyDescent="0.3">
      <c r="A35" s="295"/>
    </row>
    <row r="36" spans="1:1" x14ac:dyDescent="0.3">
      <c r="A36" s="295"/>
    </row>
    <row r="37" spans="1:1" x14ac:dyDescent="0.3">
      <c r="A37" s="295"/>
    </row>
    <row r="38" spans="1:1" x14ac:dyDescent="0.3">
      <c r="A38" s="295"/>
    </row>
    <row r="39" spans="1:1" x14ac:dyDescent="0.3">
      <c r="A39" s="295"/>
    </row>
    <row r="40" spans="1:1" x14ac:dyDescent="0.3">
      <c r="A40" s="295"/>
    </row>
    <row r="41" spans="1:1" x14ac:dyDescent="0.3">
      <c r="A41" s="295"/>
    </row>
    <row r="42" spans="1:1" x14ac:dyDescent="0.3">
      <c r="A42" s="295"/>
    </row>
    <row r="43" spans="1:1" x14ac:dyDescent="0.3">
      <c r="A43" s="295"/>
    </row>
    <row r="44" spans="1:1" x14ac:dyDescent="0.3">
      <c r="A44" s="295"/>
    </row>
    <row r="45" spans="1:1" x14ac:dyDescent="0.3">
      <c r="A45" s="295"/>
    </row>
    <row r="46" spans="1:1" x14ac:dyDescent="0.3">
      <c r="A46" s="295"/>
    </row>
    <row r="47" spans="1:1" x14ac:dyDescent="0.3">
      <c r="A47" s="295"/>
    </row>
    <row r="48" spans="1:1" x14ac:dyDescent="0.3">
      <c r="A48" s="295"/>
    </row>
    <row r="49" spans="1:1" x14ac:dyDescent="0.3">
      <c r="A49" s="295"/>
    </row>
    <row r="50" spans="1:1" x14ac:dyDescent="0.3">
      <c r="A50" s="295"/>
    </row>
    <row r="51" spans="1:1" x14ac:dyDescent="0.3">
      <c r="A51" s="295"/>
    </row>
    <row r="52" spans="1:1" x14ac:dyDescent="0.3">
      <c r="A52" s="295"/>
    </row>
    <row r="53" spans="1:1" x14ac:dyDescent="0.3">
      <c r="A53" s="295"/>
    </row>
    <row r="54" spans="1:1" x14ac:dyDescent="0.3">
      <c r="A54" s="295"/>
    </row>
    <row r="55" spans="1:1" x14ac:dyDescent="0.3">
      <c r="A55" s="295"/>
    </row>
    <row r="56" spans="1:1" x14ac:dyDescent="0.3">
      <c r="A56" s="295"/>
    </row>
    <row r="57" spans="1:1" x14ac:dyDescent="0.3">
      <c r="A57" s="295"/>
    </row>
    <row r="58" spans="1:1" x14ac:dyDescent="0.3">
      <c r="A58" s="295"/>
    </row>
    <row r="59" spans="1:1" x14ac:dyDescent="0.3">
      <c r="A59" s="295"/>
    </row>
    <row r="60" spans="1:1" x14ac:dyDescent="0.3">
      <c r="A60" s="295"/>
    </row>
    <row r="61" spans="1:1" x14ac:dyDescent="0.3">
      <c r="A61" s="295"/>
    </row>
    <row r="62" spans="1:1" x14ac:dyDescent="0.3">
      <c r="A62" s="295"/>
    </row>
    <row r="63" spans="1:1" x14ac:dyDescent="0.3">
      <c r="A63" s="295"/>
    </row>
    <row r="64" spans="1:1" x14ac:dyDescent="0.3">
      <c r="A64" s="295"/>
    </row>
    <row r="65" spans="1:1" x14ac:dyDescent="0.3">
      <c r="A65" s="295"/>
    </row>
    <row r="66" spans="1:1" x14ac:dyDescent="0.3">
      <c r="A66" s="295"/>
    </row>
    <row r="67" spans="1:1" x14ac:dyDescent="0.3">
      <c r="A67" s="295"/>
    </row>
    <row r="68" spans="1:1" x14ac:dyDescent="0.3">
      <c r="A68" s="295"/>
    </row>
    <row r="69" spans="1:1" x14ac:dyDescent="0.3">
      <c r="A69" s="295"/>
    </row>
    <row r="70" spans="1:1" x14ac:dyDescent="0.3">
      <c r="A70" s="295"/>
    </row>
    <row r="71" spans="1:1" x14ac:dyDescent="0.3">
      <c r="A71" s="295"/>
    </row>
    <row r="72" spans="1:1" x14ac:dyDescent="0.3">
      <c r="A72" s="295"/>
    </row>
    <row r="73" spans="1:1" x14ac:dyDescent="0.3">
      <c r="A73" s="295"/>
    </row>
    <row r="74" spans="1:1" x14ac:dyDescent="0.3">
      <c r="A74" s="295"/>
    </row>
    <row r="75" spans="1:1" x14ac:dyDescent="0.3">
      <c r="A75" s="295"/>
    </row>
    <row r="76" spans="1:1" x14ac:dyDescent="0.3">
      <c r="A76" s="295"/>
    </row>
  </sheetData>
  <mergeCells count="15">
    <mergeCell ref="A13:H13"/>
    <mergeCell ref="A14:H14"/>
    <mergeCell ref="A15:H15"/>
    <mergeCell ref="A16:H16"/>
    <mergeCell ref="A6:H6"/>
    <mergeCell ref="A7:H7"/>
    <mergeCell ref="A8:H8"/>
    <mergeCell ref="A9:H10"/>
    <mergeCell ref="A11:H11"/>
    <mergeCell ref="A12:H12"/>
    <mergeCell ref="A1:H1"/>
    <mergeCell ref="A2:H2"/>
    <mergeCell ref="A3:H3"/>
    <mergeCell ref="A4:H4"/>
    <mergeCell ref="A5:H5"/>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'3401'!B2</f>
        <v>50</v>
      </c>
      <c r="W2" s="380" t="s">
        <v>4</v>
      </c>
      <c r="X2" s="381"/>
      <c r="Y2" s="382"/>
      <c r="Z2" s="382"/>
      <c r="AA2" s="382"/>
      <c r="AB2" s="382"/>
      <c r="AC2" s="382"/>
      <c r="AD2" s="9"/>
    </row>
    <row r="3" spans="1:30" ht="20.399999999999999" x14ac:dyDescent="0.35">
      <c r="B3" s="10" t="str">
        <f>"Revenue Estimate Worksheet for "&amp;B124</f>
        <v>Revenue Estimate Worksheet for Quantum High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'3401'!G7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IF('3401'!K$84=1,'3401'!G10,0)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IF('3401'!K$84=1,'3401'!G11,0)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IF('3401'!K$84=1,'3401'!G12,0)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IF('3401'!K$84=1,'3401'!G13,0)</f>
        <v>0</v>
      </c>
      <c r="Y13" s="392"/>
      <c r="Z13" s="403">
        <v>1</v>
      </c>
      <c r="AA13" s="403"/>
      <c r="AB13" s="57">
        <f t="shared" si="0"/>
        <v>0</v>
      </c>
      <c r="AC13" s="58">
        <f t="shared" si="1"/>
        <v>0</v>
      </c>
      <c r="AD13" s="9"/>
    </row>
    <row r="14" spans="1:30" x14ac:dyDescent="0.3">
      <c r="A14" s="1" t="s">
        <v>36</v>
      </c>
      <c r="B14" s="14" t="s">
        <v>37</v>
      </c>
      <c r="C14" s="14"/>
      <c r="D14" s="14">
        <v>151.84</v>
      </c>
      <c r="E14" s="14">
        <v>189.65</v>
      </c>
      <c r="F14" s="14">
        <v>0</v>
      </c>
      <c r="G14" s="49">
        <f t="shared" si="2"/>
        <v>341.49</v>
      </c>
      <c r="H14" s="50"/>
      <c r="I14" s="59">
        <v>1.004</v>
      </c>
      <c r="J14" s="59"/>
      <c r="K14" s="52">
        <f t="shared" si="3"/>
        <v>342.85599999999999</v>
      </c>
      <c r="L14" s="53">
        <f t="shared" si="4"/>
        <v>1422404</v>
      </c>
      <c r="N14" s="54">
        <v>5103</v>
      </c>
      <c r="O14" s="55">
        <v>103</v>
      </c>
      <c r="Q14" s="56"/>
      <c r="V14" s="402" t="s">
        <v>37</v>
      </c>
      <c r="W14" s="402"/>
      <c r="X14" s="392">
        <f>IF('3401'!K$84=1,'3401'!G14,0)</f>
        <v>0</v>
      </c>
      <c r="Y14" s="392"/>
      <c r="Z14" s="403">
        <v>1</v>
      </c>
      <c r="AA14" s="403"/>
      <c r="AB14" s="57">
        <f t="shared" si="0"/>
        <v>0</v>
      </c>
      <c r="AC14" s="58">
        <f t="shared" si="1"/>
        <v>0</v>
      </c>
      <c r="AD14" s="9"/>
    </row>
    <row r="15" spans="1:30" x14ac:dyDescent="0.3">
      <c r="A15" s="1" t="s">
        <v>38</v>
      </c>
      <c r="B15" s="14" t="s">
        <v>39</v>
      </c>
      <c r="C15" s="14"/>
      <c r="D15" s="14">
        <v>40.18</v>
      </c>
      <c r="E15" s="14">
        <v>45.47</v>
      </c>
      <c r="F15" s="14">
        <v>0</v>
      </c>
      <c r="G15" s="49">
        <f t="shared" si="2"/>
        <v>85.65</v>
      </c>
      <c r="H15" s="50"/>
      <c r="I15" s="59">
        <f>I14</f>
        <v>1.004</v>
      </c>
      <c r="J15" s="59"/>
      <c r="K15" s="52">
        <f t="shared" si="3"/>
        <v>85.992599999999996</v>
      </c>
      <c r="L15" s="61">
        <f t="shared" si="4"/>
        <v>356757</v>
      </c>
      <c r="M15" s="1" t="str">
        <f>IF(ROUND(G15,2)=ROUND(SUM(G34:G36),2)," ","CHECK 2. 9-12 Lines Below")</f>
        <v xml:space="preserve"> </v>
      </c>
      <c r="N15" s="54">
        <v>5103</v>
      </c>
      <c r="O15" s="60" t="s">
        <v>40</v>
      </c>
      <c r="Q15" s="56"/>
      <c r="V15" s="402" t="s">
        <v>39</v>
      </c>
      <c r="W15" s="402"/>
      <c r="X15" s="392">
        <f>IF('3401'!K$84=1,'3401'!G15,0)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IF('3401'!K$84=1,'3401'!G16,0)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IF('3401'!K$84=1,'3401'!G17,0)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IF('3401'!K$84=1,'3401'!G18,0)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IF('3401'!K$84=1,'3401'!G19,0)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IF('3401'!K$84=1,'3401'!G20,0)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IF('3401'!K$84=1,'3401'!G21,0)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IF('3401'!K$84=1,'3401'!G22,0)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IF('3401'!K$84=1,'3401'!G23,0)</f>
        <v>0</v>
      </c>
      <c r="Y23" s="392"/>
      <c r="Z23" s="403">
        <v>1</v>
      </c>
      <c r="AA23" s="403"/>
      <c r="AB23" s="57">
        <f t="shared" si="0"/>
        <v>0</v>
      </c>
      <c r="AC23" s="58">
        <f t="shared" si="1"/>
        <v>0</v>
      </c>
      <c r="AD23" s="9"/>
    </row>
    <row r="24" spans="1:30" ht="16.2" x14ac:dyDescent="0.35">
      <c r="A24" s="1" t="s">
        <v>57</v>
      </c>
      <c r="B24" s="14" t="s">
        <v>58</v>
      </c>
      <c r="C24" s="14"/>
      <c r="D24" s="14">
        <v>2.4</v>
      </c>
      <c r="E24" s="14">
        <v>4.9400000000000004</v>
      </c>
      <c r="F24" s="14">
        <v>0</v>
      </c>
      <c r="G24" s="49">
        <f t="shared" si="2"/>
        <v>7.34</v>
      </c>
      <c r="H24" s="50"/>
      <c r="I24" s="59">
        <f>I23</f>
        <v>1.147</v>
      </c>
      <c r="J24" s="59"/>
      <c r="K24" s="52">
        <f t="shared" si="3"/>
        <v>8.4190000000000005</v>
      </c>
      <c r="L24" s="53">
        <f t="shared" si="4"/>
        <v>34928</v>
      </c>
      <c r="N24" s="54">
        <v>5103</v>
      </c>
      <c r="O24" s="55">
        <v>130</v>
      </c>
      <c r="Q24" s="56"/>
      <c r="V24" s="402" t="s">
        <v>58</v>
      </c>
      <c r="W24" s="402"/>
      <c r="X24" s="392">
        <f>IF('3401'!K$84=1,'3401'!G24,0)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IF('3401'!K$84=1,'3401'!G25,0)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194.42000000000002</v>
      </c>
      <c r="E26" s="64">
        <f t="shared" si="5"/>
        <v>240.06</v>
      </c>
      <c r="F26" s="64"/>
      <c r="G26" s="64">
        <f>SUM(G10:G25)</f>
        <v>434.47999999999996</v>
      </c>
      <c r="H26" s="65"/>
      <c r="I26" s="65"/>
      <c r="J26" s="66"/>
      <c r="K26" s="67">
        <f>SUM(K10:K25)</f>
        <v>437.26759999999996</v>
      </c>
      <c r="L26" s="68">
        <f>SUM(L10:L25)</f>
        <v>1814089</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36.200000000000003</v>
      </c>
      <c r="E34" s="14">
        <v>39.17</v>
      </c>
      <c r="F34" s="90">
        <v>0</v>
      </c>
      <c r="G34" s="49">
        <f t="shared" si="6"/>
        <v>75.37</v>
      </c>
      <c r="H34" s="80"/>
      <c r="I34" s="91" t="s">
        <v>77</v>
      </c>
      <c r="J34" s="54">
        <v>251</v>
      </c>
      <c r="K34" s="82">
        <v>835</v>
      </c>
      <c r="L34" s="83">
        <f t="shared" si="8"/>
        <v>62934</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2.98</v>
      </c>
      <c r="E35" s="14">
        <v>5.3</v>
      </c>
      <c r="F35" s="90">
        <v>0</v>
      </c>
      <c r="G35" s="49">
        <f t="shared" si="6"/>
        <v>8.2799999999999994</v>
      </c>
      <c r="H35" s="80"/>
      <c r="I35" s="91" t="s">
        <v>77</v>
      </c>
      <c r="J35" s="54">
        <v>252</v>
      </c>
      <c r="K35" s="82">
        <v>3168</v>
      </c>
      <c r="L35" s="83">
        <f t="shared" si="8"/>
        <v>26231</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1</v>
      </c>
      <c r="E36" s="14">
        <v>1</v>
      </c>
      <c r="F36" s="90">
        <v>0</v>
      </c>
      <c r="G36" s="49">
        <f t="shared" si="6"/>
        <v>2</v>
      </c>
      <c r="H36" s="80"/>
      <c r="I36" s="91" t="s">
        <v>77</v>
      </c>
      <c r="J36" s="54">
        <v>253</v>
      </c>
      <c r="K36" s="82">
        <v>6685</v>
      </c>
      <c r="L36" s="94">
        <f t="shared" si="8"/>
        <v>13370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40.18</v>
      </c>
      <c r="E37" s="64">
        <f t="shared" si="10"/>
        <v>45.47</v>
      </c>
      <c r="F37" s="64"/>
      <c r="G37" s="64">
        <f>SUM(G28:G36)</f>
        <v>85.65</v>
      </c>
      <c r="H37" s="65"/>
      <c r="I37" s="14" t="s">
        <v>81</v>
      </c>
      <c r="J37" s="14"/>
      <c r="K37" s="14"/>
      <c r="L37" s="53">
        <f>SUM(L28:L36)</f>
        <v>102535</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82986</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1999610</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437.26759999999996</v>
      </c>
      <c r="D49" s="123"/>
      <c r="E49" s="123"/>
      <c r="F49" s="123"/>
      <c r="G49" s="124">
        <f>K7</f>
        <v>1.0289999999999999</v>
      </c>
      <c r="H49" s="124"/>
      <c r="I49" s="125">
        <v>905.98</v>
      </c>
      <c r="J49" s="126" t="s">
        <v>96</v>
      </c>
      <c r="K49" s="127">
        <f>ROUND(C49*G49*I49,0)</f>
        <v>407644</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437.26759999999996</v>
      </c>
      <c r="D50" s="146"/>
      <c r="E50" s="147"/>
      <c r="F50" s="147"/>
      <c r="G50" s="148" t="s">
        <v>98</v>
      </c>
      <c r="H50" s="148"/>
      <c r="I50" s="148"/>
      <c r="J50" s="148"/>
      <c r="K50" s="148"/>
      <c r="L50" s="53">
        <f>IF(B2=75,0,K49+K48+K47)</f>
        <v>407644</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437.26759999999996</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2.2079999999999999E-3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434.47999999999996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2.395E-3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2.2079999999999999E-3</v>
      </c>
      <c r="L59" s="53">
        <f>ROUND(I59*K59,0)</f>
        <v>9342</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2.2079999999999999E-3</v>
      </c>
      <c r="L67" s="53">
        <f>ROUND(I67*K67,0)</f>
        <v>228967</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2.395E-3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2.2079999999999999E-3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2.2079999999999999E-3</v>
      </c>
      <c r="L71" s="53">
        <f>ROUND(I71*K71,0)</f>
        <v>4120</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2.395E-3</v>
      </c>
      <c r="L72" s="53">
        <f>ROUND(I72*K72,0)</f>
        <v>33444</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270</v>
      </c>
      <c r="AA74" s="173" t="s">
        <v>130</v>
      </c>
      <c r="AB74" s="174">
        <f>+K75</f>
        <v>361</v>
      </c>
      <c r="AC74" s="58">
        <f>ROUND(AB74*Z74,0)</f>
        <v>97470</v>
      </c>
      <c r="AD74" s="9"/>
    </row>
    <row r="75" spans="1:30" ht="19.5" customHeight="1" x14ac:dyDescent="0.3">
      <c r="A75" s="1" t="s">
        <v>131</v>
      </c>
      <c r="B75" s="175" t="s">
        <v>128</v>
      </c>
      <c r="C75" s="176" t="s">
        <v>129</v>
      </c>
      <c r="D75" s="175">
        <v>188</v>
      </c>
      <c r="E75" s="175">
        <v>352</v>
      </c>
      <c r="F75" s="175">
        <v>0</v>
      </c>
      <c r="G75" s="177">
        <f>IF($B$154&lt;8,D75,E75)</f>
        <v>352</v>
      </c>
      <c r="H75" s="178"/>
      <c r="I75" s="179">
        <f>AVERAGE(G75,D75)</f>
        <v>270</v>
      </c>
      <c r="J75" s="180" t="s">
        <v>130</v>
      </c>
      <c r="K75" s="181">
        <v>361</v>
      </c>
      <c r="L75" s="53">
        <f>ROUND(K75*I75,0)</f>
        <v>97470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2.395E-3</v>
      </c>
      <c r="L77" s="53">
        <f>ROUND(I77*K77,0)</f>
        <v>4112</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2.2079999999999999E-3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97470</v>
      </c>
      <c r="AD81" s="197"/>
    </row>
    <row r="82" spans="1:30" ht="22.5" customHeight="1" thickTop="1" thickBot="1" x14ac:dyDescent="0.35">
      <c r="B82" s="14" t="s">
        <v>140</v>
      </c>
      <c r="C82" s="14"/>
      <c r="D82" s="14"/>
      <c r="E82" s="14"/>
      <c r="F82" s="14"/>
      <c r="G82" s="14"/>
      <c r="H82" s="14"/>
      <c r="I82" s="14"/>
      <c r="J82" s="14"/>
      <c r="K82" s="14"/>
      <c r="L82" s="198">
        <f>SUM(L44:L81)</f>
        <v>2784709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'3401'!AC81</f>
        <v>97470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2784709</v>
      </c>
      <c r="L86" s="83">
        <f>IF(G26=0,0,IF(G26&gt;250,-(((250/G26)*K86)*IF(M86="H",0.02,0.05)),IF(M86="H",-0.02*K86,-0.05*K86)))</f>
        <v>-80116.144586632305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2704592.8554133675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-225383</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2479209.8554133675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225382.71412848795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59119.305413367707</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334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335</v>
      </c>
      <c r="C123" s="221" t="s">
        <v>199</v>
      </c>
    </row>
    <row r="124" spans="2:3" hidden="1" x14ac:dyDescent="0.3">
      <c r="B124" s="225" t="s">
        <v>336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41808.6027314815</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334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335</v>
      </c>
      <c r="C164" s="235" t="s">
        <v>244</v>
      </c>
      <c r="D164" s="231"/>
    </row>
    <row r="165" spans="1:4" hidden="1" x14ac:dyDescent="0.3">
      <c r="A165" s="230" t="s">
        <v>245</v>
      </c>
      <c r="B165" s="234" t="s">
        <v>336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41808.6027314815</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'3413'!B2</f>
        <v>50</v>
      </c>
      <c r="W2" s="380" t="s">
        <v>4</v>
      </c>
      <c r="X2" s="381"/>
      <c r="Y2" s="382"/>
      <c r="Z2" s="382"/>
      <c r="AA2" s="382"/>
      <c r="AB2" s="382"/>
      <c r="AC2" s="382"/>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'3413'!G7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97.88</v>
      </c>
      <c r="E10" s="48">
        <v>96.91</v>
      </c>
      <c r="F10" s="48">
        <v>0</v>
      </c>
      <c r="G10" s="49">
        <f>IF($B$154&lt;8,D10*2,D10+E10)</f>
        <v>194.79</v>
      </c>
      <c r="H10" s="50"/>
      <c r="I10" s="51">
        <v>1.1259999999999999</v>
      </c>
      <c r="J10" s="51"/>
      <c r="K10" s="52">
        <f>ROUND(G10*I10,4)</f>
        <v>219.33349999999999</v>
      </c>
      <c r="L10" s="53">
        <f>ROUND(ROUND(K10*$G$7,4)*($K$7),0)</f>
        <v>909947</v>
      </c>
      <c r="N10" s="54">
        <v>5101</v>
      </c>
      <c r="O10" s="55">
        <v>101</v>
      </c>
      <c r="Q10" s="56"/>
      <c r="V10" s="391" t="s">
        <v>27</v>
      </c>
      <c r="W10" s="391"/>
      <c r="X10" s="392">
        <f>IF('3413'!K$84=1,'3413'!G10,0)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14.49</v>
      </c>
      <c r="E11" s="14">
        <v>14.07</v>
      </c>
      <c r="F11" s="14">
        <v>0</v>
      </c>
      <c r="G11" s="49">
        <f t="shared" ref="G11:G25" si="2">IF($B$154&lt;8,D11*2,D11+E11)</f>
        <v>28.560000000000002</v>
      </c>
      <c r="H11" s="50"/>
      <c r="I11" s="59">
        <f>I10</f>
        <v>1.1259999999999999</v>
      </c>
      <c r="J11" s="59"/>
      <c r="K11" s="52">
        <f t="shared" ref="K11:K25" si="3">ROUND(G11*I11,4)</f>
        <v>32.1586</v>
      </c>
      <c r="L11" s="53">
        <f t="shared" ref="L11:L25" si="4">ROUND(ROUND(K11*$G$7,4)*($K$7),0)</f>
        <v>133416</v>
      </c>
      <c r="M11" s="1" t="str">
        <f>IF(ROUND(G11,2)=ROUND(SUM(G28:G30),2)," ","CHECK 2. PK-3 Lines Below")</f>
        <v xml:space="preserve"> </v>
      </c>
      <c r="N11" s="54">
        <v>5101</v>
      </c>
      <c r="O11" s="60" t="s">
        <v>30</v>
      </c>
      <c r="Q11" s="56"/>
      <c r="V11" s="402" t="s">
        <v>29</v>
      </c>
      <c r="W11" s="402"/>
      <c r="X11" s="392">
        <f>IF('3413'!K$84=1,'3413'!G11,0)</f>
        <v>0</v>
      </c>
      <c r="Y11" s="392"/>
      <c r="Z11" s="403">
        <v>1</v>
      </c>
      <c r="AA11" s="403"/>
      <c r="AB11" s="57">
        <f t="shared" si="0"/>
        <v>0</v>
      </c>
      <c r="AC11" s="58">
        <f t="shared" si="1"/>
        <v>0</v>
      </c>
      <c r="AD11" s="9"/>
    </row>
    <row r="12" spans="1:30" x14ac:dyDescent="0.3">
      <c r="A12" s="1" t="s">
        <v>31</v>
      </c>
      <c r="B12" s="14" t="s">
        <v>32</v>
      </c>
      <c r="C12" s="14"/>
      <c r="D12" s="14">
        <v>17.41</v>
      </c>
      <c r="E12" s="14">
        <v>20.02</v>
      </c>
      <c r="F12" s="14">
        <v>0</v>
      </c>
      <c r="G12" s="49">
        <f t="shared" si="2"/>
        <v>37.43</v>
      </c>
      <c r="H12" s="50"/>
      <c r="I12" s="59">
        <v>1</v>
      </c>
      <c r="J12" s="59"/>
      <c r="K12" s="52">
        <f t="shared" si="3"/>
        <v>37.43</v>
      </c>
      <c r="L12" s="53">
        <f t="shared" si="4"/>
        <v>155286</v>
      </c>
      <c r="N12" s="54">
        <v>5102</v>
      </c>
      <c r="O12" s="55">
        <v>102</v>
      </c>
      <c r="Q12" s="56"/>
      <c r="V12" s="402" t="s">
        <v>32</v>
      </c>
      <c r="W12" s="402"/>
      <c r="X12" s="392">
        <f>IF('3413'!K$84=1,'3413'!G12,0)</f>
        <v>0</v>
      </c>
      <c r="Y12" s="392"/>
      <c r="Z12" s="403">
        <v>1</v>
      </c>
      <c r="AA12" s="403"/>
      <c r="AB12" s="57">
        <f t="shared" si="0"/>
        <v>0</v>
      </c>
      <c r="AC12" s="58">
        <f t="shared" si="1"/>
        <v>0</v>
      </c>
      <c r="AD12" s="9"/>
    </row>
    <row r="13" spans="1:30" x14ac:dyDescent="0.3">
      <c r="A13" s="1" t="s">
        <v>33</v>
      </c>
      <c r="B13" s="14" t="s">
        <v>34</v>
      </c>
      <c r="C13" s="14"/>
      <c r="D13" s="14">
        <v>8.51</v>
      </c>
      <c r="E13" s="14">
        <v>7.05</v>
      </c>
      <c r="F13" s="14">
        <v>0</v>
      </c>
      <c r="G13" s="49">
        <f t="shared" si="2"/>
        <v>15.559999999999999</v>
      </c>
      <c r="H13" s="50"/>
      <c r="I13" s="59">
        <f>I12</f>
        <v>1</v>
      </c>
      <c r="J13" s="59"/>
      <c r="K13" s="52">
        <f t="shared" si="3"/>
        <v>15.56</v>
      </c>
      <c r="L13" s="53">
        <f t="shared" si="4"/>
        <v>64554</v>
      </c>
      <c r="M13" s="1" t="str">
        <f>IF(ROUND(G13,2)=ROUND(SUM(G31:G33),2)," ","CHECK 2. 4-8 Lines Below")</f>
        <v xml:space="preserve"> </v>
      </c>
      <c r="N13" s="54">
        <v>5102</v>
      </c>
      <c r="O13" s="60" t="s">
        <v>35</v>
      </c>
      <c r="Q13" s="56"/>
      <c r="V13" s="402" t="s">
        <v>34</v>
      </c>
      <c r="W13" s="402"/>
      <c r="X13" s="392">
        <f>IF('3413'!K$84=1,'3413'!G13,0)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IF('3413'!K$84=1,'3413'!G14,0)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IF('3413'!K$84=1,'3413'!G15,0)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IF('3413'!K$84=1,'3413'!G16,0)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IF('3413'!K$84=1,'3413'!G17,0)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IF('3413'!K$84=1,'3413'!G18,0)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IF('3413'!K$84=1,'3413'!G19,0)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IF('3413'!K$84=1,'3413'!G20,0)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IF('3413'!K$84=1,'3413'!G21,0)</f>
        <v>0</v>
      </c>
      <c r="Y21" s="392"/>
      <c r="Z21" s="403">
        <v>1</v>
      </c>
      <c r="AA21" s="403"/>
      <c r="AB21" s="57">
        <f t="shared" si="0"/>
        <v>0</v>
      </c>
      <c r="AC21" s="58">
        <f t="shared" si="1"/>
        <v>0</v>
      </c>
      <c r="AD21" s="9"/>
    </row>
    <row r="22" spans="1:30" ht="16.2" x14ac:dyDescent="0.35">
      <c r="A22" s="1" t="s">
        <v>53</v>
      </c>
      <c r="B22" s="14" t="s">
        <v>54</v>
      </c>
      <c r="C22" s="14"/>
      <c r="D22" s="14">
        <v>4.08</v>
      </c>
      <c r="E22" s="14">
        <v>3.64</v>
      </c>
      <c r="F22" s="14">
        <v>0</v>
      </c>
      <c r="G22" s="49">
        <f t="shared" si="2"/>
        <v>7.7200000000000006</v>
      </c>
      <c r="H22" s="50"/>
      <c r="I22" s="59">
        <v>1.147</v>
      </c>
      <c r="J22" s="59"/>
      <c r="K22" s="52">
        <f t="shared" si="3"/>
        <v>8.8547999999999991</v>
      </c>
      <c r="L22" s="53">
        <f t="shared" si="4"/>
        <v>36736</v>
      </c>
      <c r="N22" s="54">
        <v>5101</v>
      </c>
      <c r="O22" s="55">
        <v>130</v>
      </c>
      <c r="Q22" s="56"/>
      <c r="V22" s="402" t="s">
        <v>54</v>
      </c>
      <c r="W22" s="402"/>
      <c r="X22" s="392">
        <f>IF('3413'!K$84=1,'3413'!G22,0)</f>
        <v>0</v>
      </c>
      <c r="Y22" s="392"/>
      <c r="Z22" s="403">
        <v>1</v>
      </c>
      <c r="AA22" s="403"/>
      <c r="AB22" s="57">
        <f t="shared" si="0"/>
        <v>0</v>
      </c>
      <c r="AC22" s="58">
        <f t="shared" si="1"/>
        <v>0</v>
      </c>
      <c r="AD22" s="9"/>
    </row>
    <row r="23" spans="1:30" ht="16.2" x14ac:dyDescent="0.35">
      <c r="A23" s="1" t="s">
        <v>55</v>
      </c>
      <c r="B23" s="14" t="s">
        <v>56</v>
      </c>
      <c r="C23" s="14"/>
      <c r="D23" s="14">
        <v>0.45</v>
      </c>
      <c r="E23" s="14">
        <v>0.45</v>
      </c>
      <c r="F23" s="14">
        <v>0</v>
      </c>
      <c r="G23" s="49">
        <f t="shared" si="2"/>
        <v>0.9</v>
      </c>
      <c r="H23" s="50"/>
      <c r="I23" s="59">
        <f>I22</f>
        <v>1.147</v>
      </c>
      <c r="J23" s="59"/>
      <c r="K23" s="52">
        <f t="shared" si="3"/>
        <v>1.0323</v>
      </c>
      <c r="L23" s="53">
        <f t="shared" si="4"/>
        <v>4283</v>
      </c>
      <c r="N23" s="54">
        <v>5102</v>
      </c>
      <c r="O23" s="55">
        <v>130</v>
      </c>
      <c r="Q23" s="56"/>
      <c r="V23" s="402" t="s">
        <v>56</v>
      </c>
      <c r="W23" s="402"/>
      <c r="X23" s="392">
        <f>IF('3413'!K$84=1,'3413'!G23,0)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IF('3413'!K$84=1,'3413'!G24,0)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IF('3413'!K$84=1,'3413'!G25,0)</f>
        <v>0</v>
      </c>
      <c r="Y25" s="392"/>
      <c r="Z25" s="403">
        <v>1</v>
      </c>
      <c r="AA25" s="403"/>
      <c r="AB25" s="57">
        <f t="shared" si="0"/>
        <v>0</v>
      </c>
      <c r="AC25" s="58">
        <f t="shared" si="1"/>
        <v>0</v>
      </c>
      <c r="AD25" s="9"/>
    </row>
    <row r="26" spans="1:30" ht="20.25" customHeight="1" thickBot="1" x14ac:dyDescent="0.35">
      <c r="B26" s="63" t="s">
        <v>61</v>
      </c>
      <c r="C26" s="63"/>
      <c r="D26" s="64">
        <f t="shared" ref="D26:E26" si="5">SUM(D10:D25)</f>
        <v>142.82</v>
      </c>
      <c r="E26" s="64">
        <f t="shared" si="5"/>
        <v>142.13999999999999</v>
      </c>
      <c r="F26" s="64"/>
      <c r="G26" s="64">
        <f>SUM(G10:G25)</f>
        <v>284.95999999999998</v>
      </c>
      <c r="H26" s="65"/>
      <c r="I26" s="65"/>
      <c r="J26" s="66"/>
      <c r="K26" s="67">
        <f>SUM(K10:K25)</f>
        <v>314.36920000000003</v>
      </c>
      <c r="L26" s="68">
        <f>SUM(L10:L25)</f>
        <v>1304222</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14.49</v>
      </c>
      <c r="E28" s="14">
        <v>14.07</v>
      </c>
      <c r="F28" s="79">
        <v>0</v>
      </c>
      <c r="G28" s="49">
        <f t="shared" ref="G28:G36" si="6">IF($B$154&lt;8,D28*2,D28+E28)</f>
        <v>28.560000000000002</v>
      </c>
      <c r="H28" s="80"/>
      <c r="I28" s="81" t="s">
        <v>69</v>
      </c>
      <c r="J28" s="54">
        <v>251</v>
      </c>
      <c r="K28" s="82">
        <v>1047</v>
      </c>
      <c r="L28" s="83">
        <f>ROUND(G28*K28,0)</f>
        <v>29902</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8.51</v>
      </c>
      <c r="E31" s="14">
        <v>7.05</v>
      </c>
      <c r="F31" s="90">
        <v>0</v>
      </c>
      <c r="G31" s="49">
        <f t="shared" si="6"/>
        <v>15.559999999999999</v>
      </c>
      <c r="H31" s="80"/>
      <c r="I31" s="91" t="s">
        <v>73</v>
      </c>
      <c r="J31" s="54">
        <v>251</v>
      </c>
      <c r="K31" s="82">
        <v>1173</v>
      </c>
      <c r="L31" s="83">
        <f t="shared" si="8"/>
        <v>18252</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23</v>
      </c>
      <c r="E37" s="64">
        <f t="shared" si="10"/>
        <v>21.12</v>
      </c>
      <c r="F37" s="64"/>
      <c r="G37" s="64">
        <f>SUM(G28:G36)</f>
        <v>44.120000000000005</v>
      </c>
      <c r="H37" s="65"/>
      <c r="I37" s="14" t="s">
        <v>81</v>
      </c>
      <c r="J37" s="14"/>
      <c r="K37" s="14"/>
      <c r="L37" s="53">
        <f>SUM(L28:L36)</f>
        <v>48154</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54427</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1406803</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260.34690000000001</v>
      </c>
      <c r="D47" s="123"/>
      <c r="E47" s="123"/>
      <c r="F47" s="123"/>
      <c r="G47" s="124">
        <f>K7</f>
        <v>1.0289999999999999</v>
      </c>
      <c r="H47" s="124"/>
      <c r="I47" s="125">
        <v>1325.01</v>
      </c>
      <c r="J47" s="126" t="s">
        <v>96</v>
      </c>
      <c r="K47" s="127">
        <f>ROUND(C47*G47*I47,0)</f>
        <v>354966</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54.022300000000001</v>
      </c>
      <c r="D48" s="123"/>
      <c r="E48" s="123"/>
      <c r="F48" s="123"/>
      <c r="G48" s="124">
        <f>K7</f>
        <v>1.0289999999999999</v>
      </c>
      <c r="H48" s="124"/>
      <c r="I48" s="125">
        <v>903.8</v>
      </c>
      <c r="J48" s="126" t="s">
        <v>96</v>
      </c>
      <c r="K48" s="127">
        <f>ROUND(C48*G48*I48,0)</f>
        <v>50241</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314.36919999999998</v>
      </c>
      <c r="D50" s="146"/>
      <c r="E50" s="147"/>
      <c r="F50" s="147"/>
      <c r="G50" s="148" t="s">
        <v>98</v>
      </c>
      <c r="H50" s="148"/>
      <c r="I50" s="148"/>
      <c r="J50" s="148"/>
      <c r="K50" s="148"/>
      <c r="L50" s="53">
        <f>IF(B2=75,0,K49+K48+K47)</f>
        <v>405207</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314.36920000000003</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1.5870000000000001E-3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284.95999999999998</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1.5709999999999999E-3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1.5870000000000001E-3</v>
      </c>
      <c r="L59" s="53">
        <f>ROUND(I59*K59,0)</f>
        <v>6714</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1.5870000000000001E-3</v>
      </c>
      <c r="L67" s="53">
        <f>ROUND(I67*K67,0)</f>
        <v>164570</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1.5709999999999999E-3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1.5870000000000001E-3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1.5870000000000001E-3</v>
      </c>
      <c r="L71" s="53">
        <f>ROUND(I71*K71,0)</f>
        <v>2961</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1.5709999999999999E-3</v>
      </c>
      <c r="L72" s="53">
        <f>ROUND(I72*K72,0)</f>
        <v>21937</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1.5709999999999999E-3</v>
      </c>
      <c r="L77" s="53">
        <f>ROUND(I77*K77,0)</f>
        <v>2697</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1.5870000000000001E-3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2010889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'3413'!AC81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2010889</v>
      </c>
      <c r="L86" s="83">
        <f>IF(G26=0,0,IF(G26&gt;250,-(((250/G26)*K86)*IF(M86="H",0.02,0.05)),IF(M86="H",-0.02*K86,-0.05*K86)))</f>
        <v>-88209.266212801813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1922679.7337871981</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-160223</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1762456.7337871981</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160223.33943519983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12335.183787198199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337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338</v>
      </c>
      <c r="C123" s="221" t="s">
        <v>199</v>
      </c>
    </row>
    <row r="124" spans="2:3" hidden="1" x14ac:dyDescent="0.3">
      <c r="B124" s="225" t="s">
        <v>339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41808.602766203701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337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338</v>
      </c>
      <c r="C164" s="235" t="s">
        <v>244</v>
      </c>
      <c r="D164" s="231"/>
    </row>
    <row r="165" spans="1:4" hidden="1" x14ac:dyDescent="0.3">
      <c r="A165" s="230" t="s">
        <v>245</v>
      </c>
      <c r="B165" s="234" t="s">
        <v>339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41808.602766203701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'3421'!B2</f>
        <v>50</v>
      </c>
      <c r="W2" s="380" t="s">
        <v>4</v>
      </c>
      <c r="X2" s="381"/>
      <c r="Y2" s="382"/>
      <c r="Z2" s="382"/>
      <c r="AA2" s="382"/>
      <c r="AB2" s="382"/>
      <c r="AC2" s="382"/>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'3421'!G7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IF('3421'!K$84=1,'3421'!G10,0)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IF('3421'!K$84=1,'3421'!G11,0)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IF('3421'!K$84=1,'3421'!G12,0)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IF('3421'!K$84=1,'3421'!G13,0)</f>
        <v>0</v>
      </c>
      <c r="Y13" s="392"/>
      <c r="Z13" s="403">
        <v>1</v>
      </c>
      <c r="AA13" s="403"/>
      <c r="AB13" s="57">
        <f t="shared" si="0"/>
        <v>0</v>
      </c>
      <c r="AC13" s="58">
        <f t="shared" si="1"/>
        <v>0</v>
      </c>
      <c r="AD13" s="9"/>
    </row>
    <row r="14" spans="1:30" x14ac:dyDescent="0.3">
      <c r="A14" s="1" t="s">
        <v>36</v>
      </c>
      <c r="B14" s="14" t="s">
        <v>37</v>
      </c>
      <c r="C14" s="14"/>
      <c r="D14" s="14">
        <v>139.15</v>
      </c>
      <c r="E14" s="14">
        <v>149.69999999999999</v>
      </c>
      <c r="F14" s="14">
        <v>0</v>
      </c>
      <c r="G14" s="49">
        <f t="shared" si="2"/>
        <v>288.85000000000002</v>
      </c>
      <c r="H14" s="50"/>
      <c r="I14" s="59">
        <v>1.004</v>
      </c>
      <c r="J14" s="59"/>
      <c r="K14" s="52">
        <f t="shared" si="3"/>
        <v>290.00540000000001</v>
      </c>
      <c r="L14" s="53">
        <f t="shared" si="4"/>
        <v>1203143</v>
      </c>
      <c r="N14" s="54">
        <v>5103</v>
      </c>
      <c r="O14" s="55">
        <v>103</v>
      </c>
      <c r="Q14" s="56"/>
      <c r="V14" s="402" t="s">
        <v>37</v>
      </c>
      <c r="W14" s="402"/>
      <c r="X14" s="392">
        <f>IF('3421'!K$84=1,'3421'!G14,0)</f>
        <v>0</v>
      </c>
      <c r="Y14" s="392"/>
      <c r="Z14" s="403">
        <v>1</v>
      </c>
      <c r="AA14" s="403"/>
      <c r="AB14" s="57">
        <f t="shared" si="0"/>
        <v>0</v>
      </c>
      <c r="AC14" s="58">
        <f t="shared" si="1"/>
        <v>0</v>
      </c>
      <c r="AD14" s="9"/>
    </row>
    <row r="15" spans="1:30" x14ac:dyDescent="0.3">
      <c r="A15" s="1" t="s">
        <v>38</v>
      </c>
      <c r="B15" s="14" t="s">
        <v>39</v>
      </c>
      <c r="C15" s="14"/>
      <c r="D15" s="14">
        <v>24.26</v>
      </c>
      <c r="E15" s="14">
        <v>28.16</v>
      </c>
      <c r="F15" s="14">
        <v>0</v>
      </c>
      <c r="G15" s="49">
        <f t="shared" si="2"/>
        <v>52.42</v>
      </c>
      <c r="H15" s="50"/>
      <c r="I15" s="59">
        <f>I14</f>
        <v>1.004</v>
      </c>
      <c r="J15" s="59"/>
      <c r="K15" s="52">
        <f t="shared" si="3"/>
        <v>52.6297</v>
      </c>
      <c r="L15" s="61">
        <f t="shared" si="4"/>
        <v>218344</v>
      </c>
      <c r="M15" s="1" t="str">
        <f>IF(ROUND(G15,2)=ROUND(SUM(G34:G36),2)," ","CHECK 2. 9-12 Lines Below")</f>
        <v xml:space="preserve"> </v>
      </c>
      <c r="N15" s="54">
        <v>5103</v>
      </c>
      <c r="O15" s="60" t="s">
        <v>40</v>
      </c>
      <c r="Q15" s="56"/>
      <c r="V15" s="402" t="s">
        <v>39</v>
      </c>
      <c r="W15" s="402"/>
      <c r="X15" s="392">
        <f>IF('3421'!K$84=1,'3421'!G15,0)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IF('3421'!K$84=1,'3421'!G16,0)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IF('3421'!K$84=1,'3421'!G17,0)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IF('3421'!K$84=1,'3421'!G18,0)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IF('3421'!K$84=1,'3421'!G19,0)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IF('3421'!K$84=1,'3421'!G20,0)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IF('3421'!K$84=1,'3421'!G21,0)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IF('3421'!K$84=1,'3421'!G22,0)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IF('3421'!K$84=1,'3421'!G23,0)</f>
        <v>0</v>
      </c>
      <c r="Y23" s="392"/>
      <c r="Z23" s="403">
        <v>1</v>
      </c>
      <c r="AA23" s="403"/>
      <c r="AB23" s="57">
        <f t="shared" si="0"/>
        <v>0</v>
      </c>
      <c r="AC23" s="58">
        <f t="shared" si="1"/>
        <v>0</v>
      </c>
      <c r="AD23" s="9"/>
    </row>
    <row r="24" spans="1:30" ht="16.2" x14ac:dyDescent="0.35">
      <c r="A24" s="1" t="s">
        <v>57</v>
      </c>
      <c r="B24" s="14" t="s">
        <v>58</v>
      </c>
      <c r="C24" s="14"/>
      <c r="D24" s="14">
        <v>3.6</v>
      </c>
      <c r="E24" s="14">
        <v>5.75</v>
      </c>
      <c r="F24" s="14">
        <v>0</v>
      </c>
      <c r="G24" s="49">
        <f t="shared" si="2"/>
        <v>9.35</v>
      </c>
      <c r="H24" s="50"/>
      <c r="I24" s="59">
        <f>I23</f>
        <v>1.147</v>
      </c>
      <c r="J24" s="59"/>
      <c r="K24" s="52">
        <f t="shared" si="3"/>
        <v>10.724500000000001</v>
      </c>
      <c r="L24" s="53">
        <f t="shared" si="4"/>
        <v>44493</v>
      </c>
      <c r="N24" s="54">
        <v>5103</v>
      </c>
      <c r="O24" s="55">
        <v>130</v>
      </c>
      <c r="Q24" s="56"/>
      <c r="V24" s="402" t="s">
        <v>58</v>
      </c>
      <c r="W24" s="402"/>
      <c r="X24" s="392">
        <f>IF('3421'!K$84=1,'3421'!G24,0)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IF('3421'!K$84=1,'3421'!G25,0)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167.01</v>
      </c>
      <c r="E26" s="64">
        <f t="shared" si="5"/>
        <v>183.60999999999999</v>
      </c>
      <c r="F26" s="64"/>
      <c r="G26" s="64">
        <f>SUM(G10:G25)</f>
        <v>350.62000000000006</v>
      </c>
      <c r="H26" s="65"/>
      <c r="I26" s="65"/>
      <c r="J26" s="66"/>
      <c r="K26" s="67">
        <f>SUM(K10:K25)</f>
        <v>353.3596</v>
      </c>
      <c r="L26" s="68">
        <f>SUM(L10:L25)</f>
        <v>1465980</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22.31</v>
      </c>
      <c r="E34" s="14">
        <v>20.54</v>
      </c>
      <c r="F34" s="90">
        <v>0</v>
      </c>
      <c r="G34" s="49">
        <f t="shared" si="6"/>
        <v>42.849999999999994</v>
      </c>
      <c r="H34" s="80"/>
      <c r="I34" s="91" t="s">
        <v>77</v>
      </c>
      <c r="J34" s="54">
        <v>251</v>
      </c>
      <c r="K34" s="82">
        <v>835</v>
      </c>
      <c r="L34" s="83">
        <f t="shared" si="8"/>
        <v>35780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1.95</v>
      </c>
      <c r="E35" s="14">
        <v>7.18</v>
      </c>
      <c r="F35" s="90">
        <v>0</v>
      </c>
      <c r="G35" s="49">
        <f t="shared" si="6"/>
        <v>9.129999999999999</v>
      </c>
      <c r="H35" s="80"/>
      <c r="I35" s="91" t="s">
        <v>77</v>
      </c>
      <c r="J35" s="54">
        <v>252</v>
      </c>
      <c r="K35" s="82">
        <v>3168</v>
      </c>
      <c r="L35" s="83">
        <f t="shared" si="8"/>
        <v>28924</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0.44</v>
      </c>
      <c r="F36" s="90">
        <v>0</v>
      </c>
      <c r="G36" s="49">
        <f t="shared" si="6"/>
        <v>0.44</v>
      </c>
      <c r="H36" s="80"/>
      <c r="I36" s="91" t="s">
        <v>77</v>
      </c>
      <c r="J36" s="54">
        <v>253</v>
      </c>
      <c r="K36" s="82">
        <v>6685</v>
      </c>
      <c r="L36" s="94">
        <f t="shared" si="8"/>
        <v>2941</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24.259999999999998</v>
      </c>
      <c r="E37" s="64">
        <f t="shared" si="10"/>
        <v>28.16</v>
      </c>
      <c r="F37" s="64"/>
      <c r="G37" s="64">
        <f>SUM(G28:G36)</f>
        <v>52.419999999999987</v>
      </c>
      <c r="H37" s="65"/>
      <c r="I37" s="14" t="s">
        <v>81</v>
      </c>
      <c r="J37" s="14"/>
      <c r="K37" s="14"/>
      <c r="L37" s="53">
        <f>SUM(L28:L36)</f>
        <v>67645</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66968</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1600593</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353.3596</v>
      </c>
      <c r="D49" s="123"/>
      <c r="E49" s="123"/>
      <c r="F49" s="123"/>
      <c r="G49" s="124">
        <f>K7</f>
        <v>1.0289999999999999</v>
      </c>
      <c r="H49" s="124"/>
      <c r="I49" s="125">
        <v>905.98</v>
      </c>
      <c r="J49" s="126" t="s">
        <v>96</v>
      </c>
      <c r="K49" s="127">
        <f>ROUND(C49*G49*I49,0)</f>
        <v>329421</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353.3596</v>
      </c>
      <c r="D50" s="146"/>
      <c r="E50" s="147"/>
      <c r="F50" s="147"/>
      <c r="G50" s="148" t="s">
        <v>98</v>
      </c>
      <c r="H50" s="148"/>
      <c r="I50" s="148"/>
      <c r="J50" s="148"/>
      <c r="K50" s="148"/>
      <c r="L50" s="53">
        <f>IF(B2=75,0,K49+K48+K47)</f>
        <v>329421</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353.3596</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1.784E-3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350.62000000000006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1.933E-3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1.784E-3</v>
      </c>
      <c r="L59" s="53">
        <f>ROUND(I59*K59,0)</f>
        <v>7548</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1.784E-3</v>
      </c>
      <c r="L67" s="53">
        <f>ROUND(I67*K67,0)</f>
        <v>184998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1.933E-3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1.784E-3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1.784E-3</v>
      </c>
      <c r="L71" s="53">
        <f>ROUND(I71*K71,0)</f>
        <v>3329</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1.933E-3</v>
      </c>
      <c r="L72" s="53">
        <f>ROUND(I72*K72,0)</f>
        <v>26992</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314.5</v>
      </c>
      <c r="AA74" s="173" t="s">
        <v>130</v>
      </c>
      <c r="AB74" s="174">
        <f>+K75</f>
        <v>361</v>
      </c>
      <c r="AC74" s="58">
        <f>ROUND(AB74*Z74,0)</f>
        <v>113535</v>
      </c>
      <c r="AD74" s="9"/>
    </row>
    <row r="75" spans="1:30" ht="19.5" customHeight="1" x14ac:dyDescent="0.3">
      <c r="A75" s="1" t="s">
        <v>131</v>
      </c>
      <c r="B75" s="175" t="s">
        <v>128</v>
      </c>
      <c r="C75" s="176" t="s">
        <v>129</v>
      </c>
      <c r="D75" s="175">
        <v>275</v>
      </c>
      <c r="E75" s="175">
        <v>354</v>
      </c>
      <c r="F75" s="175">
        <v>0</v>
      </c>
      <c r="G75" s="177">
        <f>IF($B$154&lt;8,D75,E75)</f>
        <v>354</v>
      </c>
      <c r="H75" s="178"/>
      <c r="I75" s="179">
        <f>AVERAGE(G75,D75)</f>
        <v>314.5</v>
      </c>
      <c r="J75" s="180" t="s">
        <v>130</v>
      </c>
      <c r="K75" s="181">
        <v>361</v>
      </c>
      <c r="L75" s="53">
        <f>ROUND(K75*I75,0)</f>
        <v>113535</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1.933E-3</v>
      </c>
      <c r="L77" s="53">
        <f>ROUND(I77*K77,0)</f>
        <v>3319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1.784E-3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113535</v>
      </c>
      <c r="AD81" s="197"/>
    </row>
    <row r="82" spans="1:30" ht="22.5" customHeight="1" thickTop="1" thickBot="1" x14ac:dyDescent="0.35">
      <c r="B82" s="14" t="s">
        <v>140</v>
      </c>
      <c r="C82" s="14"/>
      <c r="D82" s="14"/>
      <c r="E82" s="14"/>
      <c r="F82" s="14"/>
      <c r="G82" s="14"/>
      <c r="H82" s="14"/>
      <c r="I82" s="14"/>
      <c r="J82" s="14"/>
      <c r="K82" s="14"/>
      <c r="L82" s="198">
        <f>SUM(L44:L81)</f>
        <v>2269735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'3421'!AC81</f>
        <v>113535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2269735</v>
      </c>
      <c r="L86" s="83">
        <f>IF(G26=0,0,IF(G26&gt;250,-(((250/G26)*K86)*IF(M86="H",0.02,0.05)),IF(M86="H",-0.02*K86,-0.05*K86)))</f>
        <v>-80918.622725457753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2188816.3772745421</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-182401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2006415.3772745421</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182401.39793404928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32568.127274542247</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341</v>
      </c>
      <c r="C123" s="221" t="s">
        <v>199</v>
      </c>
    </row>
    <row r="124" spans="2:3" hidden="1" x14ac:dyDescent="0.3">
      <c r="B124" s="225" t="s">
        <v>342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41808.602789351899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341</v>
      </c>
      <c r="C164" s="235" t="s">
        <v>244</v>
      </c>
      <c r="D164" s="231"/>
    </row>
    <row r="165" spans="1:4" hidden="1" x14ac:dyDescent="0.3">
      <c r="A165" s="230" t="s">
        <v>245</v>
      </c>
      <c r="B165" s="234" t="s">
        <v>342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41808.602789351899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'3431'!B2</f>
        <v>50</v>
      </c>
      <c r="W2" s="380" t="s">
        <v>4</v>
      </c>
      <c r="X2" s="381"/>
      <c r="Y2" s="382"/>
      <c r="Z2" s="382"/>
      <c r="AA2" s="382"/>
      <c r="AB2" s="382"/>
      <c r="AC2" s="382"/>
      <c r="AD2" s="9"/>
    </row>
    <row r="3" spans="1:30" ht="20.399999999999999" x14ac:dyDescent="0.35">
      <c r="B3" s="10" t="str">
        <f>"Revenue Estimate Worksheet for "&amp;B124</f>
        <v>Revenue Estimate Worksheet for Renaissance CS @ WPBch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'3431'!G7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183.57</v>
      </c>
      <c r="E10" s="48">
        <v>187.42</v>
      </c>
      <c r="F10" s="48">
        <v>0</v>
      </c>
      <c r="G10" s="49">
        <f>IF($B$154&lt;8,D10*2,D10+E10)</f>
        <v>370.99</v>
      </c>
      <c r="H10" s="50"/>
      <c r="I10" s="51">
        <v>1.1259999999999999</v>
      </c>
      <c r="J10" s="51"/>
      <c r="K10" s="52">
        <f>ROUND(G10*I10,4)</f>
        <v>417.73469999999998</v>
      </c>
      <c r="L10" s="53">
        <f>ROUND(ROUND(K10*$G$7,4)*($K$7),0)</f>
        <v>1733052</v>
      </c>
      <c r="N10" s="54">
        <v>5101</v>
      </c>
      <c r="O10" s="55">
        <v>101</v>
      </c>
      <c r="Q10" s="56"/>
      <c r="V10" s="391" t="s">
        <v>27</v>
      </c>
      <c r="W10" s="391"/>
      <c r="X10" s="392">
        <f>IF('3431'!K$84=1,'3431'!G10,0)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13.97</v>
      </c>
      <c r="E11" s="14">
        <v>15.08</v>
      </c>
      <c r="F11" s="14">
        <v>0</v>
      </c>
      <c r="G11" s="49">
        <f t="shared" ref="G11:G25" si="2">IF($B$154&lt;8,D11*2,D11+E11)</f>
        <v>29.05</v>
      </c>
      <c r="H11" s="50"/>
      <c r="I11" s="59">
        <f>I10</f>
        <v>1.1259999999999999</v>
      </c>
      <c r="J11" s="59"/>
      <c r="K11" s="52">
        <f t="shared" ref="K11:K25" si="3">ROUND(G11*I11,4)</f>
        <v>32.710299999999997</v>
      </c>
      <c r="L11" s="53">
        <f t="shared" ref="L11:L25" si="4">ROUND(ROUND(K11*$G$7,4)*($K$7),0)</f>
        <v>135705</v>
      </c>
      <c r="M11" s="1" t="str">
        <f>IF(ROUND(G11,2)=ROUND(SUM(G28:G30),2)," ","CHECK 2. PK-3 Lines Below")</f>
        <v xml:space="preserve"> </v>
      </c>
      <c r="N11" s="54">
        <v>5101</v>
      </c>
      <c r="O11" s="60" t="s">
        <v>30</v>
      </c>
      <c r="Q11" s="56"/>
      <c r="V11" s="402" t="s">
        <v>29</v>
      </c>
      <c r="W11" s="402"/>
      <c r="X11" s="392">
        <f>IF('3431'!K$84=1,'3431'!G11,0)</f>
        <v>0</v>
      </c>
      <c r="Y11" s="392"/>
      <c r="Z11" s="403">
        <v>1</v>
      </c>
      <c r="AA11" s="403"/>
      <c r="AB11" s="57">
        <f t="shared" si="0"/>
        <v>0</v>
      </c>
      <c r="AC11" s="58">
        <f t="shared" si="1"/>
        <v>0</v>
      </c>
      <c r="AD11" s="9"/>
    </row>
    <row r="12" spans="1:30" x14ac:dyDescent="0.3">
      <c r="A12" s="1" t="s">
        <v>31</v>
      </c>
      <c r="B12" s="14" t="s">
        <v>32</v>
      </c>
      <c r="C12" s="14"/>
      <c r="D12" s="14">
        <v>139.99</v>
      </c>
      <c r="E12" s="14">
        <v>144.83000000000001</v>
      </c>
      <c r="F12" s="14">
        <v>0</v>
      </c>
      <c r="G12" s="49">
        <f t="shared" si="2"/>
        <v>284.82000000000005</v>
      </c>
      <c r="H12" s="50"/>
      <c r="I12" s="59">
        <v>1</v>
      </c>
      <c r="J12" s="59"/>
      <c r="K12" s="52">
        <f t="shared" si="3"/>
        <v>284.82</v>
      </c>
      <c r="L12" s="53">
        <f t="shared" si="4"/>
        <v>1181630</v>
      </c>
      <c r="N12" s="54">
        <v>5102</v>
      </c>
      <c r="O12" s="55">
        <v>102</v>
      </c>
      <c r="Q12" s="56"/>
      <c r="V12" s="402" t="s">
        <v>32</v>
      </c>
      <c r="W12" s="402"/>
      <c r="X12" s="392">
        <f>IF('3431'!K$84=1,'3431'!G12,0)</f>
        <v>0</v>
      </c>
      <c r="Y12" s="392"/>
      <c r="Z12" s="403">
        <v>1</v>
      </c>
      <c r="AA12" s="403"/>
      <c r="AB12" s="57">
        <f t="shared" si="0"/>
        <v>0</v>
      </c>
      <c r="AC12" s="58">
        <f t="shared" si="1"/>
        <v>0</v>
      </c>
      <c r="AD12" s="9"/>
    </row>
    <row r="13" spans="1:30" x14ac:dyDescent="0.3">
      <c r="A13" s="1" t="s">
        <v>33</v>
      </c>
      <c r="B13" s="14" t="s">
        <v>34</v>
      </c>
      <c r="C13" s="14"/>
      <c r="D13" s="14">
        <v>15.37</v>
      </c>
      <c r="E13" s="14">
        <v>17.71</v>
      </c>
      <c r="F13" s="14">
        <v>0</v>
      </c>
      <c r="G13" s="49">
        <f t="shared" si="2"/>
        <v>33.08</v>
      </c>
      <c r="H13" s="50"/>
      <c r="I13" s="59">
        <f>I12</f>
        <v>1</v>
      </c>
      <c r="J13" s="59"/>
      <c r="K13" s="52">
        <f t="shared" si="3"/>
        <v>33.08</v>
      </c>
      <c r="L13" s="53">
        <f t="shared" si="4"/>
        <v>137239</v>
      </c>
      <c r="M13" s="1" t="str">
        <f>IF(ROUND(G13,2)=ROUND(SUM(G31:G33),2)," ","CHECK 2. 4-8 Lines Below")</f>
        <v xml:space="preserve"> </v>
      </c>
      <c r="N13" s="54">
        <v>5102</v>
      </c>
      <c r="O13" s="60" t="s">
        <v>35</v>
      </c>
      <c r="Q13" s="56"/>
      <c r="V13" s="402" t="s">
        <v>34</v>
      </c>
      <c r="W13" s="402"/>
      <c r="X13" s="392">
        <f>IF('3431'!K$84=1,'3431'!G13,0)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IF('3431'!K$84=1,'3431'!G14,0)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IF('3431'!K$84=1,'3431'!G15,0)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IF('3431'!K$84=1,'3431'!G16,0)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IF('3431'!K$84=1,'3431'!G17,0)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IF('3431'!K$84=1,'3431'!G18,0)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IF('3431'!K$84=1,'3431'!G19,0)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IF('3431'!K$84=1,'3431'!G20,0)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IF('3431'!K$84=1,'3431'!G21,0)</f>
        <v>0</v>
      </c>
      <c r="Y21" s="392"/>
      <c r="Z21" s="403">
        <v>1</v>
      </c>
      <c r="AA21" s="403"/>
      <c r="AB21" s="57">
        <f t="shared" si="0"/>
        <v>0</v>
      </c>
      <c r="AC21" s="58">
        <f t="shared" si="1"/>
        <v>0</v>
      </c>
      <c r="AD21" s="9"/>
    </row>
    <row r="22" spans="1:30" ht="16.2" x14ac:dyDescent="0.35">
      <c r="A22" s="1" t="s">
        <v>53</v>
      </c>
      <c r="B22" s="14" t="s">
        <v>54</v>
      </c>
      <c r="C22" s="14"/>
      <c r="D22" s="14">
        <v>13.75</v>
      </c>
      <c r="E22" s="14">
        <v>17.63</v>
      </c>
      <c r="F22" s="14">
        <v>0</v>
      </c>
      <c r="G22" s="49">
        <f t="shared" si="2"/>
        <v>31.38</v>
      </c>
      <c r="H22" s="50"/>
      <c r="I22" s="59">
        <v>1.147</v>
      </c>
      <c r="J22" s="59"/>
      <c r="K22" s="52">
        <f t="shared" si="3"/>
        <v>35.992899999999999</v>
      </c>
      <c r="L22" s="53">
        <f t="shared" si="4"/>
        <v>149323</v>
      </c>
      <c r="N22" s="54">
        <v>5101</v>
      </c>
      <c r="O22" s="55">
        <v>130</v>
      </c>
      <c r="Q22" s="56"/>
      <c r="V22" s="402" t="s">
        <v>54</v>
      </c>
      <c r="W22" s="402"/>
      <c r="X22" s="392">
        <f>IF('3431'!K$84=1,'3431'!G22,0)</f>
        <v>0</v>
      </c>
      <c r="Y22" s="392"/>
      <c r="Z22" s="403">
        <v>1</v>
      </c>
      <c r="AA22" s="403"/>
      <c r="AB22" s="57">
        <f t="shared" si="0"/>
        <v>0</v>
      </c>
      <c r="AC22" s="58">
        <f t="shared" si="1"/>
        <v>0</v>
      </c>
      <c r="AD22" s="9"/>
    </row>
    <row r="23" spans="1:30" ht="16.2" x14ac:dyDescent="0.35">
      <c r="A23" s="1" t="s">
        <v>55</v>
      </c>
      <c r="B23" s="14" t="s">
        <v>56</v>
      </c>
      <c r="C23" s="14"/>
      <c r="D23" s="14">
        <v>4.53</v>
      </c>
      <c r="E23" s="14">
        <v>6.6</v>
      </c>
      <c r="F23" s="14">
        <v>0</v>
      </c>
      <c r="G23" s="49">
        <f t="shared" si="2"/>
        <v>11.129999999999999</v>
      </c>
      <c r="H23" s="50"/>
      <c r="I23" s="59">
        <f>I22</f>
        <v>1.147</v>
      </c>
      <c r="J23" s="59"/>
      <c r="K23" s="52">
        <f t="shared" si="3"/>
        <v>12.7661</v>
      </c>
      <c r="L23" s="53">
        <f t="shared" si="4"/>
        <v>52963</v>
      </c>
      <c r="N23" s="54">
        <v>5102</v>
      </c>
      <c r="O23" s="55">
        <v>130</v>
      </c>
      <c r="Q23" s="56"/>
      <c r="V23" s="402" t="s">
        <v>56</v>
      </c>
      <c r="W23" s="402"/>
      <c r="X23" s="392">
        <f>IF('3431'!K$84=1,'3431'!G23,0)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IF('3431'!K$84=1,'3431'!G24,0)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IF('3431'!K$84=1,'3431'!G25,0)</f>
        <v>0</v>
      </c>
      <c r="Y25" s="392"/>
      <c r="Z25" s="403">
        <v>1</v>
      </c>
      <c r="AA25" s="403"/>
      <c r="AB25" s="57">
        <f t="shared" si="0"/>
        <v>0</v>
      </c>
      <c r="AC25" s="58">
        <f t="shared" si="1"/>
        <v>0</v>
      </c>
      <c r="AD25" s="9"/>
    </row>
    <row r="26" spans="1:30" ht="20.25" customHeight="1" thickBot="1" x14ac:dyDescent="0.35">
      <c r="B26" s="63" t="s">
        <v>61</v>
      </c>
      <c r="C26" s="63"/>
      <c r="D26" s="64">
        <f t="shared" ref="D26:E26" si="5">SUM(D10:D25)</f>
        <v>371.17999999999995</v>
      </c>
      <c r="E26" s="64">
        <f t="shared" si="5"/>
        <v>389.27000000000004</v>
      </c>
      <c r="F26" s="64"/>
      <c r="G26" s="64">
        <f>SUM(G10:G25)</f>
        <v>760.45000000000016</v>
      </c>
      <c r="H26" s="65"/>
      <c r="I26" s="65"/>
      <c r="J26" s="66"/>
      <c r="K26" s="67">
        <f>SUM(K10:K25)</f>
        <v>817.10400000000004</v>
      </c>
      <c r="L26" s="68">
        <f>SUM(L10:L25)</f>
        <v>3389912</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12.97</v>
      </c>
      <c r="E28" s="14">
        <v>14.08</v>
      </c>
      <c r="F28" s="79">
        <v>0</v>
      </c>
      <c r="G28" s="49">
        <f t="shared" ref="G28:G36" si="6">IF($B$154&lt;8,D28*2,D28+E28)</f>
        <v>27.05</v>
      </c>
      <c r="H28" s="80"/>
      <c r="I28" s="81" t="s">
        <v>69</v>
      </c>
      <c r="J28" s="54">
        <v>251</v>
      </c>
      <c r="K28" s="82">
        <v>1047</v>
      </c>
      <c r="L28" s="83">
        <f>ROUND(G28*K28,0)</f>
        <v>28321</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1</v>
      </c>
      <c r="E29" s="14">
        <v>1</v>
      </c>
      <c r="F29" s="90">
        <v>0</v>
      </c>
      <c r="G29" s="49">
        <f t="shared" si="6"/>
        <v>2</v>
      </c>
      <c r="H29" s="80"/>
      <c r="I29" s="54" t="s">
        <v>69</v>
      </c>
      <c r="J29" s="54">
        <v>252</v>
      </c>
      <c r="K29" s="82">
        <v>3380</v>
      </c>
      <c r="L29" s="83">
        <f t="shared" ref="L29:L36" si="8">ROUND(G29*K29,0)</f>
        <v>6760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14.42</v>
      </c>
      <c r="E31" s="14">
        <v>16.13</v>
      </c>
      <c r="F31" s="90">
        <v>0</v>
      </c>
      <c r="G31" s="49">
        <f t="shared" si="6"/>
        <v>30.549999999999997</v>
      </c>
      <c r="H31" s="80"/>
      <c r="I31" s="91" t="s">
        <v>73</v>
      </c>
      <c r="J31" s="54">
        <v>251</v>
      </c>
      <c r="K31" s="82">
        <v>1173</v>
      </c>
      <c r="L31" s="83">
        <f t="shared" si="8"/>
        <v>35835</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0.95</v>
      </c>
      <c r="E32" s="14">
        <v>1.58</v>
      </c>
      <c r="F32" s="90">
        <v>0</v>
      </c>
      <c r="G32" s="49">
        <f t="shared" si="6"/>
        <v>2.5300000000000002</v>
      </c>
      <c r="H32" s="80"/>
      <c r="I32" s="91" t="s">
        <v>73</v>
      </c>
      <c r="J32" s="54">
        <v>252</v>
      </c>
      <c r="K32" s="82">
        <v>3506</v>
      </c>
      <c r="L32" s="83">
        <f t="shared" si="8"/>
        <v>8870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29.34</v>
      </c>
      <c r="E37" s="64">
        <f t="shared" si="10"/>
        <v>32.79</v>
      </c>
      <c r="F37" s="64"/>
      <c r="G37" s="64">
        <f>SUM(G28:G36)</f>
        <v>62.129999999999995</v>
      </c>
      <c r="H37" s="65"/>
      <c r="I37" s="14" t="s">
        <v>81</v>
      </c>
      <c r="J37" s="14"/>
      <c r="K37" s="14"/>
      <c r="L37" s="53">
        <f>SUM(L28:L36)</f>
        <v>79786</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145246</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3614944</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486.43790000000001</v>
      </c>
      <c r="D47" s="123"/>
      <c r="E47" s="123"/>
      <c r="F47" s="123"/>
      <c r="G47" s="124">
        <f>K7</f>
        <v>1.0289999999999999</v>
      </c>
      <c r="H47" s="124"/>
      <c r="I47" s="125">
        <v>1325.01</v>
      </c>
      <c r="J47" s="126" t="s">
        <v>96</v>
      </c>
      <c r="K47" s="127">
        <f>ROUND(C47*G47*I47,0)</f>
        <v>663227</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330.66609999999997</v>
      </c>
      <c r="D48" s="123"/>
      <c r="E48" s="123"/>
      <c r="F48" s="123"/>
      <c r="G48" s="124">
        <f>K7</f>
        <v>1.0289999999999999</v>
      </c>
      <c r="H48" s="124"/>
      <c r="I48" s="125">
        <v>903.8</v>
      </c>
      <c r="J48" s="126" t="s">
        <v>96</v>
      </c>
      <c r="K48" s="127">
        <f>ROUND(C48*G48*I48,0)</f>
        <v>307523</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817.10400000000004</v>
      </c>
      <c r="D50" s="146"/>
      <c r="E50" s="147"/>
      <c r="F50" s="147"/>
      <c r="G50" s="148" t="s">
        <v>98</v>
      </c>
      <c r="H50" s="148"/>
      <c r="I50" s="148"/>
      <c r="J50" s="148"/>
      <c r="K50" s="148"/>
      <c r="L50" s="53">
        <f>IF(B2=75,0,K49+K48+K47)</f>
        <v>970750</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817.10400000000004</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4.1260000000000003E-3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760.45000000000016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4.1929999999999997E-3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4.1260000000000003E-3</v>
      </c>
      <c r="L59" s="53">
        <f>ROUND(I59*K59,0)</f>
        <v>17457</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4.1260000000000003E-3</v>
      </c>
      <c r="L67" s="53">
        <f>ROUND(I67*K67,0)</f>
        <v>427861</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4.1929999999999997E-3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4.1260000000000003E-3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4.1260000000000003E-3</v>
      </c>
      <c r="L71" s="53">
        <f>ROUND(I71*K71,0)</f>
        <v>7698</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4.1929999999999997E-3</v>
      </c>
      <c r="L72" s="53">
        <f>ROUND(I72*K72,0)</f>
        <v>58551</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38</v>
      </c>
      <c r="AA74" s="173" t="s">
        <v>130</v>
      </c>
      <c r="AB74" s="174">
        <f>+K75</f>
        <v>361</v>
      </c>
      <c r="AC74" s="58">
        <f>ROUND(AB74*Z74,0)</f>
        <v>13718</v>
      </c>
      <c r="AD74" s="9"/>
    </row>
    <row r="75" spans="1:30" ht="19.5" customHeight="1" x14ac:dyDescent="0.3">
      <c r="A75" s="1" t="s">
        <v>131</v>
      </c>
      <c r="B75" s="175" t="s">
        <v>128</v>
      </c>
      <c r="C75" s="176" t="s">
        <v>129</v>
      </c>
      <c r="D75" s="175">
        <v>15</v>
      </c>
      <c r="E75" s="175">
        <v>61</v>
      </c>
      <c r="F75" s="175">
        <v>0</v>
      </c>
      <c r="G75" s="177">
        <f>IF($B$154&lt;8,D75,E75)</f>
        <v>61</v>
      </c>
      <c r="H75" s="178"/>
      <c r="I75" s="179">
        <f>AVERAGE(G75,D75)</f>
        <v>38</v>
      </c>
      <c r="J75" s="180" t="s">
        <v>130</v>
      </c>
      <c r="K75" s="181">
        <v>361</v>
      </c>
      <c r="L75" s="53">
        <f>ROUND(K75*I75,0)</f>
        <v>13718</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4.1929999999999997E-3</v>
      </c>
      <c r="L77" s="53">
        <f>ROUND(I77*K77,0)</f>
        <v>7199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4.1260000000000003E-3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13718</v>
      </c>
      <c r="AD81" s="197"/>
    </row>
    <row r="82" spans="1:30" ht="22.5" customHeight="1" thickTop="1" thickBot="1" x14ac:dyDescent="0.35">
      <c r="B82" s="14" t="s">
        <v>140</v>
      </c>
      <c r="C82" s="14"/>
      <c r="D82" s="14"/>
      <c r="E82" s="14"/>
      <c r="F82" s="14"/>
      <c r="G82" s="14"/>
      <c r="H82" s="14"/>
      <c r="I82" s="14"/>
      <c r="J82" s="14"/>
      <c r="K82" s="14"/>
      <c r="L82" s="198">
        <f>SUM(L44:L81)</f>
        <v>5118178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'3431'!AC81</f>
        <v>13718</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5118178</v>
      </c>
      <c r="L86" s="83">
        <f>IF(G26=0,0,IF(G26&gt;250,-(((250/G26)*K86)*IF(M86="H",0.02,0.05)),IF(M86="H",-0.02*K86,-0.05*K86)))</f>
        <v>-84130.744953645859</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5034047.2550463546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-419504</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4614543.2550463546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419503.93227694131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171778.15504635416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344</v>
      </c>
      <c r="C123" s="221" t="s">
        <v>199</v>
      </c>
    </row>
    <row r="124" spans="2:3" hidden="1" x14ac:dyDescent="0.3">
      <c r="B124" s="225" t="s">
        <v>345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41808.602800925903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344</v>
      </c>
      <c r="C164" s="235" t="s">
        <v>244</v>
      </c>
      <c r="D164" s="231"/>
    </row>
    <row r="165" spans="1:4" hidden="1" x14ac:dyDescent="0.3">
      <c r="A165" s="230" t="s">
        <v>245</v>
      </c>
      <c r="B165" s="234" t="s">
        <v>345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41808.602800925903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'3441'!B2</f>
        <v>50</v>
      </c>
      <c r="W2" s="380" t="s">
        <v>4</v>
      </c>
      <c r="X2" s="381"/>
      <c r="Y2" s="382"/>
      <c r="Z2" s="382"/>
      <c r="AA2" s="382"/>
      <c r="AB2" s="382"/>
      <c r="AC2" s="382"/>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'3441'!G7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IF('3441'!K$84=1,'3441'!G10,0)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IF('3441'!K$84=1,'3441'!G11,0)</f>
        <v>0</v>
      </c>
      <c r="Y11" s="392"/>
      <c r="Z11" s="403">
        <v>1</v>
      </c>
      <c r="AA11" s="403"/>
      <c r="AB11" s="57">
        <f t="shared" si="0"/>
        <v>0</v>
      </c>
      <c r="AC11" s="58">
        <f t="shared" si="1"/>
        <v>0</v>
      </c>
      <c r="AD11" s="9"/>
    </row>
    <row r="12" spans="1:30" x14ac:dyDescent="0.3">
      <c r="A12" s="1" t="s">
        <v>31</v>
      </c>
      <c r="B12" s="14" t="s">
        <v>32</v>
      </c>
      <c r="C12" s="14"/>
      <c r="D12" s="14">
        <v>41.17</v>
      </c>
      <c r="E12" s="14">
        <v>37.5</v>
      </c>
      <c r="F12" s="14">
        <v>0</v>
      </c>
      <c r="G12" s="49">
        <f t="shared" si="2"/>
        <v>78.67</v>
      </c>
      <c r="H12" s="50"/>
      <c r="I12" s="59">
        <v>1</v>
      </c>
      <c r="J12" s="59"/>
      <c r="K12" s="52">
        <f t="shared" si="3"/>
        <v>78.67</v>
      </c>
      <c r="L12" s="53">
        <f t="shared" si="4"/>
        <v>326378</v>
      </c>
      <c r="N12" s="54">
        <v>5102</v>
      </c>
      <c r="O12" s="55">
        <v>102</v>
      </c>
      <c r="Q12" s="56"/>
      <c r="V12" s="402" t="s">
        <v>32</v>
      </c>
      <c r="W12" s="402"/>
      <c r="X12" s="392">
        <f>IF('3441'!K$84=1,'3441'!G12,0)</f>
        <v>0</v>
      </c>
      <c r="Y12" s="392"/>
      <c r="Z12" s="403">
        <v>1</v>
      </c>
      <c r="AA12" s="403"/>
      <c r="AB12" s="57">
        <f t="shared" si="0"/>
        <v>0</v>
      </c>
      <c r="AC12" s="58">
        <f t="shared" si="1"/>
        <v>0</v>
      </c>
      <c r="AD12" s="9"/>
    </row>
    <row r="13" spans="1:30" x14ac:dyDescent="0.3">
      <c r="A13" s="1" t="s">
        <v>33</v>
      </c>
      <c r="B13" s="14" t="s">
        <v>34</v>
      </c>
      <c r="C13" s="14"/>
      <c r="D13" s="14">
        <v>2.56</v>
      </c>
      <c r="E13" s="14">
        <v>2.94</v>
      </c>
      <c r="F13" s="14">
        <v>0</v>
      </c>
      <c r="G13" s="49">
        <f t="shared" si="2"/>
        <v>5.5</v>
      </c>
      <c r="H13" s="50"/>
      <c r="I13" s="59">
        <f>I12</f>
        <v>1</v>
      </c>
      <c r="J13" s="59"/>
      <c r="K13" s="52">
        <f t="shared" si="3"/>
        <v>5.5</v>
      </c>
      <c r="L13" s="53">
        <f t="shared" si="4"/>
        <v>22818</v>
      </c>
      <c r="M13" s="1" t="str">
        <f>IF(ROUND(G13,2)=ROUND(SUM(G31:G33),2)," ","CHECK 2. 4-8 Lines Below")</f>
        <v xml:space="preserve"> </v>
      </c>
      <c r="N13" s="54">
        <v>5102</v>
      </c>
      <c r="O13" s="60" t="s">
        <v>35</v>
      </c>
      <c r="Q13" s="56"/>
      <c r="V13" s="402" t="s">
        <v>34</v>
      </c>
      <c r="W13" s="402"/>
      <c r="X13" s="392">
        <f>IF('3441'!K$84=1,'3441'!G13,0)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IF('3441'!K$84=1,'3441'!G14,0)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IF('3441'!K$84=1,'3441'!G15,0)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IF('3441'!K$84=1,'3441'!G16,0)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IF('3441'!K$84=1,'3441'!G17,0)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IF('3441'!K$84=1,'3441'!G18,0)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IF('3441'!K$84=1,'3441'!G19,0)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IF('3441'!K$84=1,'3441'!G20,0)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IF('3441'!K$84=1,'3441'!G21,0)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IF('3441'!K$84=1,'3441'!G22,0)</f>
        <v>0</v>
      </c>
      <c r="Y22" s="392"/>
      <c r="Z22" s="403">
        <v>1</v>
      </c>
      <c r="AA22" s="403"/>
      <c r="AB22" s="57">
        <f t="shared" si="0"/>
        <v>0</v>
      </c>
      <c r="AC22" s="58">
        <f t="shared" si="1"/>
        <v>0</v>
      </c>
      <c r="AD22" s="9"/>
    </row>
    <row r="23" spans="1:30" ht="16.2" x14ac:dyDescent="0.35">
      <c r="A23" s="1" t="s">
        <v>55</v>
      </c>
      <c r="B23" s="14" t="s">
        <v>56</v>
      </c>
      <c r="C23" s="14"/>
      <c r="D23" s="14">
        <v>0.67</v>
      </c>
      <c r="E23" s="14">
        <v>0.22</v>
      </c>
      <c r="F23" s="14">
        <v>0</v>
      </c>
      <c r="G23" s="49">
        <f t="shared" si="2"/>
        <v>0.89</v>
      </c>
      <c r="H23" s="50"/>
      <c r="I23" s="59">
        <f>I22</f>
        <v>1.147</v>
      </c>
      <c r="J23" s="59"/>
      <c r="K23" s="52">
        <f t="shared" si="3"/>
        <v>1.0207999999999999</v>
      </c>
      <c r="L23" s="53">
        <f t="shared" si="4"/>
        <v>4235</v>
      </c>
      <c r="N23" s="54">
        <v>5102</v>
      </c>
      <c r="O23" s="55">
        <v>130</v>
      </c>
      <c r="Q23" s="56"/>
      <c r="V23" s="402" t="s">
        <v>56</v>
      </c>
      <c r="W23" s="402"/>
      <c r="X23" s="392">
        <f>IF('3441'!K$84=1,'3441'!G23,0)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IF('3441'!K$84=1,'3441'!G24,0)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IF('3441'!K$84=1,'3441'!G25,0)</f>
        <v>0</v>
      </c>
      <c r="Y25" s="392"/>
      <c r="Z25" s="403">
        <v>1</v>
      </c>
      <c r="AA25" s="403"/>
      <c r="AB25" s="57">
        <f t="shared" si="0"/>
        <v>0</v>
      </c>
      <c r="AC25" s="58">
        <f t="shared" si="1"/>
        <v>0</v>
      </c>
      <c r="AD25" s="9"/>
    </row>
    <row r="26" spans="1:30" ht="20.25" customHeight="1" thickBot="1" x14ac:dyDescent="0.35">
      <c r="B26" s="63" t="s">
        <v>61</v>
      </c>
      <c r="C26" s="63"/>
      <c r="D26" s="64">
        <f t="shared" ref="D26:E26" si="5">SUM(D10:D25)</f>
        <v>44.400000000000006</v>
      </c>
      <c r="E26" s="64">
        <f t="shared" si="5"/>
        <v>40.659999999999997</v>
      </c>
      <c r="F26" s="64"/>
      <c r="G26" s="64">
        <f>SUM(G10:G25)</f>
        <v>85.06</v>
      </c>
      <c r="H26" s="65"/>
      <c r="I26" s="65"/>
      <c r="J26" s="66"/>
      <c r="K26" s="67">
        <f>SUM(K10:K25)</f>
        <v>85.190799999999996</v>
      </c>
      <c r="L26" s="68">
        <f>SUM(L10:L25)</f>
        <v>353431</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2.56</v>
      </c>
      <c r="E31" s="14">
        <v>2.94</v>
      </c>
      <c r="F31" s="90">
        <v>0</v>
      </c>
      <c r="G31" s="49">
        <f t="shared" si="6"/>
        <v>5.5</v>
      </c>
      <c r="H31" s="80"/>
      <c r="I31" s="91" t="s">
        <v>73</v>
      </c>
      <c r="J31" s="54">
        <v>251</v>
      </c>
      <c r="K31" s="82">
        <v>1173</v>
      </c>
      <c r="L31" s="83">
        <f t="shared" si="8"/>
        <v>6452</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2.56</v>
      </c>
      <c r="E37" s="64">
        <f t="shared" si="10"/>
        <v>2.94</v>
      </c>
      <c r="F37" s="64"/>
      <c r="G37" s="64">
        <f>SUM(G28:G36)</f>
        <v>5.5</v>
      </c>
      <c r="H37" s="65"/>
      <c r="I37" s="14" t="s">
        <v>81</v>
      </c>
      <c r="J37" s="14"/>
      <c r="K37" s="14"/>
      <c r="L37" s="53">
        <f>SUM(L28:L36)</f>
        <v>6452</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16246</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376129</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85.190799999999996</v>
      </c>
      <c r="D48" s="123"/>
      <c r="E48" s="123"/>
      <c r="F48" s="123"/>
      <c r="G48" s="124">
        <f>K7</f>
        <v>1.0289999999999999</v>
      </c>
      <c r="H48" s="124"/>
      <c r="I48" s="125">
        <v>903.8</v>
      </c>
      <c r="J48" s="126" t="s">
        <v>96</v>
      </c>
      <c r="K48" s="127">
        <f>ROUND(C48*G48*I48,0)</f>
        <v>79228</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85.190799999999996</v>
      </c>
      <c r="D50" s="146"/>
      <c r="E50" s="147"/>
      <c r="F50" s="147"/>
      <c r="G50" s="148" t="s">
        <v>98</v>
      </c>
      <c r="H50" s="148"/>
      <c r="I50" s="148"/>
      <c r="J50" s="148"/>
      <c r="K50" s="148"/>
      <c r="L50" s="53">
        <f>IF(B2=75,0,K49+K48+K47)</f>
        <v>79228</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85.190799999999996</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4.2999999999999999E-4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85.06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4.6900000000000002E-4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4.2999999999999999E-4</v>
      </c>
      <c r="L59" s="53">
        <f>ROUND(I59*K59,0)</f>
        <v>1819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4.2999999999999999E-4</v>
      </c>
      <c r="L67" s="53">
        <f>ROUND(I67*K67,0)</f>
        <v>44590</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4.6900000000000002E-4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4.2999999999999999E-4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4.2999999999999999E-4</v>
      </c>
      <c r="L71" s="53">
        <f>ROUND(I71*K71,0)</f>
        <v>802</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4.6900000000000002E-4</v>
      </c>
      <c r="L72" s="53">
        <f>ROUND(I72*K72,0)</f>
        <v>6549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69</v>
      </c>
      <c r="AA74" s="173" t="s">
        <v>130</v>
      </c>
      <c r="AB74" s="174">
        <f>+K75</f>
        <v>361</v>
      </c>
      <c r="AC74" s="58">
        <f>ROUND(AB74*Z74,0)</f>
        <v>24909</v>
      </c>
      <c r="AD74" s="9"/>
    </row>
    <row r="75" spans="1:30" ht="19.5" customHeight="1" x14ac:dyDescent="0.3">
      <c r="A75" s="1" t="s">
        <v>131</v>
      </c>
      <c r="B75" s="175" t="s">
        <v>128</v>
      </c>
      <c r="C75" s="176" t="s">
        <v>129</v>
      </c>
      <c r="D75" s="175">
        <v>66</v>
      </c>
      <c r="E75" s="175">
        <v>72</v>
      </c>
      <c r="F75" s="175">
        <v>0</v>
      </c>
      <c r="G75" s="177">
        <f>IF($B$154&lt;8,D75,E75)</f>
        <v>72</v>
      </c>
      <c r="H75" s="178"/>
      <c r="I75" s="179">
        <f>AVERAGE(G75,D75)</f>
        <v>69</v>
      </c>
      <c r="J75" s="180" t="s">
        <v>130</v>
      </c>
      <c r="K75" s="181">
        <v>361</v>
      </c>
      <c r="L75" s="53">
        <f>ROUND(K75*I75,0)</f>
        <v>24909</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4.6900000000000002E-4</v>
      </c>
      <c r="L77" s="53">
        <f>ROUND(I77*K77,0)</f>
        <v>805</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4.2999999999999999E-4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24909</v>
      </c>
      <c r="AD81" s="197"/>
    </row>
    <row r="82" spans="1:30" ht="22.5" customHeight="1" thickTop="1" thickBot="1" x14ac:dyDescent="0.35">
      <c r="B82" s="14" t="s">
        <v>140</v>
      </c>
      <c r="C82" s="14"/>
      <c r="D82" s="14"/>
      <c r="E82" s="14"/>
      <c r="F82" s="14"/>
      <c r="G82" s="14"/>
      <c r="H82" s="14"/>
      <c r="I82" s="14"/>
      <c r="J82" s="14"/>
      <c r="K82" s="14"/>
      <c r="L82" s="198">
        <f>SUM(L44:L81)</f>
        <v>534831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'3441'!AC81</f>
        <v>24909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534831</v>
      </c>
      <c r="L86" s="83">
        <f>IF(G26=0,0,IF(G26&gt;250,-(((250/G26)*K86)*IF(M86="H",0.02,0.05)),IF(M86="H",-0.02*K86,-0.05*K86)))</f>
        <v>-26741.550000000003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508089.45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-42341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465748.45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42340.768181818181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347</v>
      </c>
      <c r="C123" s="221" t="s">
        <v>199</v>
      </c>
    </row>
    <row r="124" spans="2:3" hidden="1" x14ac:dyDescent="0.3">
      <c r="B124" s="225" t="s">
        <v>348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41808.602858796301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347</v>
      </c>
      <c r="C164" s="235" t="s">
        <v>244</v>
      </c>
      <c r="D164" s="231"/>
    </row>
    <row r="165" spans="1:4" hidden="1" x14ac:dyDescent="0.3">
      <c r="A165" s="230" t="s">
        <v>245</v>
      </c>
      <c r="B165" s="234" t="s">
        <v>348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41808.602858796301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'3443'!B2</f>
        <v>50</v>
      </c>
      <c r="W2" s="380" t="s">
        <v>4</v>
      </c>
      <c r="X2" s="381"/>
      <c r="Y2" s="382"/>
      <c r="Z2" s="382"/>
      <c r="AA2" s="382"/>
      <c r="AB2" s="382"/>
      <c r="AC2" s="382"/>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'3443'!G7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IF('3443'!K$84=1,'3443'!G10,0)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IF('3443'!K$84=1,'3443'!G11,0)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IF('3443'!K$84=1,'3443'!G12,0)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IF('3443'!K$84=1,'3443'!G13,0)</f>
        <v>0</v>
      </c>
      <c r="Y13" s="392"/>
      <c r="Z13" s="403">
        <v>1</v>
      </c>
      <c r="AA13" s="403"/>
      <c r="AB13" s="57">
        <f t="shared" si="0"/>
        <v>0</v>
      </c>
      <c r="AC13" s="58">
        <f t="shared" si="1"/>
        <v>0</v>
      </c>
      <c r="AD13" s="9"/>
    </row>
    <row r="14" spans="1:30" x14ac:dyDescent="0.3">
      <c r="A14" s="1" t="s">
        <v>36</v>
      </c>
      <c r="B14" s="14" t="s">
        <v>37</v>
      </c>
      <c r="C14" s="14"/>
      <c r="D14" s="14">
        <v>62.05</v>
      </c>
      <c r="E14" s="14">
        <v>62.05</v>
      </c>
      <c r="F14" s="14">
        <v>0</v>
      </c>
      <c r="G14" s="49">
        <f t="shared" si="2"/>
        <v>124.1</v>
      </c>
      <c r="H14" s="50"/>
      <c r="I14" s="59">
        <v>1.004</v>
      </c>
      <c r="J14" s="59"/>
      <c r="K14" s="52">
        <f t="shared" si="3"/>
        <v>124.5964</v>
      </c>
      <c r="L14" s="53">
        <f t="shared" si="4"/>
        <v>516912</v>
      </c>
      <c r="N14" s="54">
        <v>5103</v>
      </c>
      <c r="O14" s="55">
        <v>103</v>
      </c>
      <c r="Q14" s="56"/>
      <c r="V14" s="402" t="s">
        <v>37</v>
      </c>
      <c r="W14" s="402"/>
      <c r="X14" s="392">
        <f>IF('3443'!K$84=1,'3443'!G14,0)</f>
        <v>0</v>
      </c>
      <c r="Y14" s="392"/>
      <c r="Z14" s="403">
        <v>1</v>
      </c>
      <c r="AA14" s="403"/>
      <c r="AB14" s="57">
        <f t="shared" si="0"/>
        <v>0</v>
      </c>
      <c r="AC14" s="58">
        <f t="shared" si="1"/>
        <v>0</v>
      </c>
      <c r="AD14" s="9"/>
    </row>
    <row r="15" spans="1:30" x14ac:dyDescent="0.3">
      <c r="A15" s="1" t="s">
        <v>38</v>
      </c>
      <c r="B15" s="14" t="s">
        <v>39</v>
      </c>
      <c r="C15" s="14"/>
      <c r="D15" s="14">
        <v>12.96</v>
      </c>
      <c r="E15" s="14">
        <v>12.28</v>
      </c>
      <c r="F15" s="14">
        <v>0</v>
      </c>
      <c r="G15" s="49">
        <f t="shared" si="2"/>
        <v>25.240000000000002</v>
      </c>
      <c r="H15" s="50"/>
      <c r="I15" s="59">
        <f>I14</f>
        <v>1.004</v>
      </c>
      <c r="J15" s="59"/>
      <c r="K15" s="52">
        <f t="shared" si="3"/>
        <v>25.341000000000001</v>
      </c>
      <c r="L15" s="61">
        <f t="shared" si="4"/>
        <v>105132</v>
      </c>
      <c r="M15" s="1" t="str">
        <f>IF(ROUND(G15,2)=ROUND(SUM(G34:G36),2)," ","CHECK 2. 9-12 Lines Below")</f>
        <v xml:space="preserve"> </v>
      </c>
      <c r="N15" s="54">
        <v>5103</v>
      </c>
      <c r="O15" s="60" t="s">
        <v>40</v>
      </c>
      <c r="Q15" s="56"/>
      <c r="V15" s="402" t="s">
        <v>39</v>
      </c>
      <c r="W15" s="402"/>
      <c r="X15" s="392">
        <f>IF('3443'!K$84=1,'3443'!G15,0)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IF('3443'!K$84=1,'3443'!G16,0)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IF('3443'!K$84=1,'3443'!G17,0)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IF('3443'!K$84=1,'3443'!G18,0)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IF('3443'!K$84=1,'3443'!G19,0)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IF('3443'!K$84=1,'3443'!G20,0)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IF('3443'!K$84=1,'3443'!G21,0)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IF('3443'!K$84=1,'3443'!G22,0)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IF('3443'!K$84=1,'3443'!G23,0)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IF('3443'!K$84=1,'3443'!G24,0)</f>
        <v>0</v>
      </c>
      <c r="Y24" s="392"/>
      <c r="Z24" s="403">
        <v>1</v>
      </c>
      <c r="AA24" s="403"/>
      <c r="AB24" s="57">
        <f t="shared" si="0"/>
        <v>0</v>
      </c>
      <c r="AC24" s="58">
        <f t="shared" si="1"/>
        <v>0</v>
      </c>
      <c r="AD24" s="9"/>
    </row>
    <row r="25" spans="1:30" ht="16.8" thickBot="1" x14ac:dyDescent="0.4">
      <c r="A25" s="1" t="s">
        <v>59</v>
      </c>
      <c r="B25" s="14" t="s">
        <v>60</v>
      </c>
      <c r="C25" s="14"/>
      <c r="D25" s="14">
        <v>20.239999999999998</v>
      </c>
      <c r="E25" s="14">
        <v>20.07</v>
      </c>
      <c r="F25" s="14">
        <v>0</v>
      </c>
      <c r="G25" s="49">
        <f t="shared" si="2"/>
        <v>40.31</v>
      </c>
      <c r="H25" s="50"/>
      <c r="I25" s="59">
        <v>1.004</v>
      </c>
      <c r="J25" s="59"/>
      <c r="K25" s="52">
        <f t="shared" si="3"/>
        <v>40.471200000000003</v>
      </c>
      <c r="L25" s="53">
        <f t="shared" si="4"/>
        <v>167903</v>
      </c>
      <c r="N25" s="54">
        <v>5310</v>
      </c>
      <c r="O25" s="55">
        <v>300</v>
      </c>
      <c r="Q25" s="56"/>
      <c r="V25" s="402" t="s">
        <v>60</v>
      </c>
      <c r="W25" s="402"/>
      <c r="X25" s="392">
        <f>IF('3443'!K$84=1,'3443'!G25,0)</f>
        <v>0</v>
      </c>
      <c r="Y25" s="392"/>
      <c r="Z25" s="403">
        <v>1</v>
      </c>
      <c r="AA25" s="403"/>
      <c r="AB25" s="57">
        <f t="shared" si="0"/>
        <v>0</v>
      </c>
      <c r="AC25" s="58">
        <f t="shared" si="1"/>
        <v>0</v>
      </c>
      <c r="AD25" s="9"/>
    </row>
    <row r="26" spans="1:30" ht="20.25" customHeight="1" thickBot="1" x14ac:dyDescent="0.35">
      <c r="B26" s="63" t="s">
        <v>61</v>
      </c>
      <c r="C26" s="63"/>
      <c r="D26" s="64">
        <f t="shared" ref="D26:E26" si="5">SUM(D10:D25)</f>
        <v>95.249999999999986</v>
      </c>
      <c r="E26" s="64">
        <f t="shared" si="5"/>
        <v>94.4</v>
      </c>
      <c r="F26" s="64"/>
      <c r="G26" s="64">
        <f>SUM(G10:G25)</f>
        <v>189.65</v>
      </c>
      <c r="H26" s="65"/>
      <c r="I26" s="65"/>
      <c r="J26" s="66"/>
      <c r="K26" s="67">
        <f>SUM(K10:K25)</f>
        <v>190.40860000000001</v>
      </c>
      <c r="L26" s="68">
        <f>SUM(L10:L25)</f>
        <v>789947</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12.96</v>
      </c>
      <c r="E34" s="14">
        <v>12.28</v>
      </c>
      <c r="F34" s="90">
        <v>0</v>
      </c>
      <c r="G34" s="49">
        <f t="shared" si="6"/>
        <v>25.240000000000002</v>
      </c>
      <c r="H34" s="80"/>
      <c r="I34" s="91" t="s">
        <v>77</v>
      </c>
      <c r="J34" s="54">
        <v>251</v>
      </c>
      <c r="K34" s="82">
        <v>835</v>
      </c>
      <c r="L34" s="83">
        <f t="shared" si="8"/>
        <v>21075</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12.96</v>
      </c>
      <c r="E37" s="64">
        <f t="shared" si="10"/>
        <v>12.28</v>
      </c>
      <c r="F37" s="64"/>
      <c r="G37" s="64">
        <f>SUM(G28:G36)</f>
        <v>25.240000000000002</v>
      </c>
      <c r="H37" s="65"/>
      <c r="I37" s="14" t="s">
        <v>81</v>
      </c>
      <c r="J37" s="14"/>
      <c r="K37" s="14"/>
      <c r="L37" s="53">
        <f>SUM(L28:L36)</f>
        <v>21075</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36223</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847245</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190.40860000000001</v>
      </c>
      <c r="D49" s="123"/>
      <c r="E49" s="123"/>
      <c r="F49" s="123"/>
      <c r="G49" s="124">
        <f>K7</f>
        <v>1.0289999999999999</v>
      </c>
      <c r="H49" s="124"/>
      <c r="I49" s="125">
        <v>905.98</v>
      </c>
      <c r="J49" s="126" t="s">
        <v>96</v>
      </c>
      <c r="K49" s="127">
        <f>ROUND(C49*G49*I49,0)</f>
        <v>177509</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190.40860000000001</v>
      </c>
      <c r="D50" s="146"/>
      <c r="E50" s="147"/>
      <c r="F50" s="147"/>
      <c r="G50" s="148" t="s">
        <v>98</v>
      </c>
      <c r="H50" s="148"/>
      <c r="I50" s="148"/>
      <c r="J50" s="148"/>
      <c r="K50" s="148"/>
      <c r="L50" s="53">
        <f>IF(B2=75,0,K49+K48+K47)</f>
        <v>177509</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190.40860000000001</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9.6100000000000005E-4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189.65</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1.0460000000000001E-3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9.6100000000000005E-4</v>
      </c>
      <c r="L59" s="53">
        <f>ROUND(I59*K59,0)</f>
        <v>4066</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9.6100000000000005E-4</v>
      </c>
      <c r="L67" s="53">
        <f>ROUND(I67*K67,0)</f>
        <v>99654</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1.0460000000000001E-3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9.6100000000000005E-4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9.6100000000000005E-4</v>
      </c>
      <c r="L71" s="53">
        <f>ROUND(I71*K71,0)</f>
        <v>1793</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1.0460000000000001E-3</v>
      </c>
      <c r="L72" s="53">
        <f>ROUND(I72*K72,0)</f>
        <v>14606</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122.5</v>
      </c>
      <c r="AA74" s="173" t="s">
        <v>130</v>
      </c>
      <c r="AB74" s="174">
        <f>+K75</f>
        <v>361</v>
      </c>
      <c r="AC74" s="58">
        <f>ROUND(AB74*Z74,0)</f>
        <v>44223</v>
      </c>
      <c r="AD74" s="9"/>
    </row>
    <row r="75" spans="1:30" ht="19.5" customHeight="1" x14ac:dyDescent="0.3">
      <c r="A75" s="1" t="s">
        <v>131</v>
      </c>
      <c r="B75" s="175" t="s">
        <v>128</v>
      </c>
      <c r="C75" s="176" t="s">
        <v>129</v>
      </c>
      <c r="D75" s="175">
        <v>117</v>
      </c>
      <c r="E75" s="175">
        <v>128</v>
      </c>
      <c r="F75" s="175">
        <v>0</v>
      </c>
      <c r="G75" s="177">
        <f>IF($B$154&lt;8,D75,E75)</f>
        <v>128</v>
      </c>
      <c r="H75" s="178"/>
      <c r="I75" s="179">
        <f>AVERAGE(G75,D75)</f>
        <v>122.5</v>
      </c>
      <c r="J75" s="180" t="s">
        <v>130</v>
      </c>
      <c r="K75" s="181">
        <v>361</v>
      </c>
      <c r="L75" s="53">
        <f>ROUND(K75*I75,0)</f>
        <v>44223</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1.0460000000000001E-3</v>
      </c>
      <c r="L77" s="53">
        <f>ROUND(I77*K77,0)</f>
        <v>1796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9.6100000000000005E-4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44223</v>
      </c>
      <c r="AD81" s="197"/>
    </row>
    <row r="82" spans="1:30" ht="22.5" customHeight="1" thickTop="1" thickBot="1" x14ac:dyDescent="0.35">
      <c r="B82" s="14" t="s">
        <v>140</v>
      </c>
      <c r="C82" s="14"/>
      <c r="D82" s="14"/>
      <c r="E82" s="14"/>
      <c r="F82" s="14"/>
      <c r="G82" s="14"/>
      <c r="H82" s="14"/>
      <c r="I82" s="14"/>
      <c r="J82" s="14"/>
      <c r="K82" s="14"/>
      <c r="L82" s="198">
        <f>SUM(L44:L81)</f>
        <v>1190892</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'3443'!AC81</f>
        <v>44223</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1190892</v>
      </c>
      <c r="L86" s="83">
        <f>IF(G26=0,0,IF(G26&gt;250,-(((250/G26)*K86)*IF(M86="H",0.02,0.05)),IF(M86="H",-0.02*K86,-0.05*K86)))</f>
        <v>-59544.600000000006</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1131347.3999999999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-94279</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1037068.3999999999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94278.94545454545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350</v>
      </c>
      <c r="C123" s="221" t="s">
        <v>199</v>
      </c>
    </row>
    <row r="124" spans="2:3" hidden="1" x14ac:dyDescent="0.3">
      <c r="B124" s="225" t="s">
        <v>351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2.3148153559304801E-5</v>
      </c>
      <c r="C135" s="227"/>
    </row>
    <row r="136" spans="1:5" hidden="1" x14ac:dyDescent="0.3">
      <c r="B136" s="228">
        <f>NvsEndTime</f>
        <v>41808.602881944404</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350</v>
      </c>
      <c r="C164" s="235" t="s">
        <v>244</v>
      </c>
      <c r="D164" s="231"/>
    </row>
    <row r="165" spans="1:4" hidden="1" x14ac:dyDescent="0.3">
      <c r="A165" s="230" t="s">
        <v>245</v>
      </c>
      <c r="B165" s="234" t="s">
        <v>351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2.3148153559304801E-5</v>
      </c>
      <c r="D176" s="231"/>
    </row>
    <row r="177" spans="2:5" hidden="1" x14ac:dyDescent="0.3">
      <c r="B177" s="230" t="s">
        <v>260</v>
      </c>
      <c r="C177" s="238">
        <f>NvsEndTime</f>
        <v>41808.602881944404</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'3941'!B2</f>
        <v>50</v>
      </c>
      <c r="W2" s="380" t="s">
        <v>4</v>
      </c>
      <c r="X2" s="381"/>
      <c r="Y2" s="382"/>
      <c r="Z2" s="382"/>
      <c r="AA2" s="382"/>
      <c r="AB2" s="382"/>
      <c r="AC2" s="382"/>
      <c r="AD2" s="9"/>
    </row>
    <row r="3" spans="1:30" ht="20.399999999999999" x14ac:dyDescent="0.35">
      <c r="B3" s="10" t="str">
        <f>"Revenue Estimate Worksheet for "&amp;B124</f>
        <v>Revenue Estimate Worksheet for Ben Gamla - Palm Beach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'3941'!G7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86.05</v>
      </c>
      <c r="E10" s="48">
        <v>83.07</v>
      </c>
      <c r="F10" s="48">
        <v>0</v>
      </c>
      <c r="G10" s="49">
        <f>IF($B$154&lt;8,D10*2,D10+E10)</f>
        <v>169.12</v>
      </c>
      <c r="H10" s="50"/>
      <c r="I10" s="51">
        <v>1.1259999999999999</v>
      </c>
      <c r="J10" s="51"/>
      <c r="K10" s="52">
        <f>ROUND(G10*I10,4)</f>
        <v>190.42910000000001</v>
      </c>
      <c r="L10" s="53">
        <f>ROUND(ROUND(K10*$G$7,4)*($K$7),0)</f>
        <v>790032</v>
      </c>
      <c r="N10" s="54">
        <v>5101</v>
      </c>
      <c r="O10" s="55">
        <v>101</v>
      </c>
      <c r="Q10" s="56"/>
      <c r="V10" s="391" t="s">
        <v>27</v>
      </c>
      <c r="W10" s="391"/>
      <c r="X10" s="392">
        <f>IF('3941'!K$84=1,'3941'!G10,0)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20.45</v>
      </c>
      <c r="E11" s="14">
        <v>24.57</v>
      </c>
      <c r="F11" s="14">
        <v>0</v>
      </c>
      <c r="G11" s="49">
        <f t="shared" ref="G11:G25" si="2">IF($B$154&lt;8,D11*2,D11+E11)</f>
        <v>45.019999999999996</v>
      </c>
      <c r="H11" s="50"/>
      <c r="I11" s="59">
        <f>I10</f>
        <v>1.1259999999999999</v>
      </c>
      <c r="J11" s="59"/>
      <c r="K11" s="52">
        <f t="shared" ref="K11:K25" si="3">ROUND(G11*I11,4)</f>
        <v>50.692500000000003</v>
      </c>
      <c r="L11" s="53">
        <f t="shared" ref="L11:L25" si="4">ROUND(ROUND(K11*$G$7,4)*($K$7),0)</f>
        <v>210308</v>
      </c>
      <c r="M11" s="1" t="str">
        <f>IF(ROUND(G11,2)=ROUND(SUM(G28:G30),2)," ","CHECK 2. PK-3 Lines Below")</f>
        <v xml:space="preserve"> </v>
      </c>
      <c r="N11" s="54">
        <v>5101</v>
      </c>
      <c r="O11" s="60" t="s">
        <v>30</v>
      </c>
      <c r="Q11" s="56"/>
      <c r="V11" s="402" t="s">
        <v>29</v>
      </c>
      <c r="W11" s="402"/>
      <c r="X11" s="392">
        <f>IF('3941'!K$84=1,'3941'!G11,0)</f>
        <v>0</v>
      </c>
      <c r="Y11" s="392"/>
      <c r="Z11" s="403">
        <v>1</v>
      </c>
      <c r="AA11" s="403"/>
      <c r="AB11" s="57">
        <f t="shared" si="0"/>
        <v>0</v>
      </c>
      <c r="AC11" s="58">
        <f t="shared" si="1"/>
        <v>0</v>
      </c>
      <c r="AD11" s="9"/>
    </row>
    <row r="12" spans="1:30" x14ac:dyDescent="0.3">
      <c r="A12" s="1" t="s">
        <v>31</v>
      </c>
      <c r="B12" s="14" t="s">
        <v>32</v>
      </c>
      <c r="C12" s="14"/>
      <c r="D12" s="14">
        <v>23.55</v>
      </c>
      <c r="E12" s="14">
        <v>21.05</v>
      </c>
      <c r="F12" s="14">
        <v>0</v>
      </c>
      <c r="G12" s="49">
        <f t="shared" si="2"/>
        <v>44.6</v>
      </c>
      <c r="H12" s="50"/>
      <c r="I12" s="59">
        <v>1</v>
      </c>
      <c r="J12" s="59"/>
      <c r="K12" s="52">
        <f t="shared" si="3"/>
        <v>44.6</v>
      </c>
      <c r="L12" s="53">
        <f t="shared" si="4"/>
        <v>185032</v>
      </c>
      <c r="N12" s="54">
        <v>5102</v>
      </c>
      <c r="O12" s="55">
        <v>102</v>
      </c>
      <c r="Q12" s="56"/>
      <c r="V12" s="402" t="s">
        <v>32</v>
      </c>
      <c r="W12" s="402"/>
      <c r="X12" s="392">
        <f>IF('3941'!K$84=1,'3941'!G12,0)</f>
        <v>0</v>
      </c>
      <c r="Y12" s="392"/>
      <c r="Z12" s="403">
        <v>1</v>
      </c>
      <c r="AA12" s="403"/>
      <c r="AB12" s="57">
        <f t="shared" si="0"/>
        <v>0</v>
      </c>
      <c r="AC12" s="58">
        <f t="shared" si="1"/>
        <v>0</v>
      </c>
      <c r="AD12" s="9"/>
    </row>
    <row r="13" spans="1:30" x14ac:dyDescent="0.3">
      <c r="A13" s="1" t="s">
        <v>33</v>
      </c>
      <c r="B13" s="14" t="s">
        <v>34</v>
      </c>
      <c r="C13" s="14"/>
      <c r="D13" s="14">
        <v>8.5</v>
      </c>
      <c r="E13" s="14">
        <v>10.5</v>
      </c>
      <c r="F13" s="14">
        <v>0</v>
      </c>
      <c r="G13" s="49">
        <f t="shared" si="2"/>
        <v>19</v>
      </c>
      <c r="H13" s="50"/>
      <c r="I13" s="59">
        <f>I12</f>
        <v>1</v>
      </c>
      <c r="J13" s="59"/>
      <c r="K13" s="52">
        <f t="shared" si="3"/>
        <v>19</v>
      </c>
      <c r="L13" s="53">
        <f t="shared" si="4"/>
        <v>78825</v>
      </c>
      <c r="M13" s="1" t="str">
        <f>IF(ROUND(G13,2)=ROUND(SUM(G31:G33),2)," ","CHECK 2. 4-8 Lines Below")</f>
        <v xml:space="preserve"> </v>
      </c>
      <c r="N13" s="54">
        <v>5102</v>
      </c>
      <c r="O13" s="60" t="s">
        <v>35</v>
      </c>
      <c r="Q13" s="56"/>
      <c r="V13" s="402" t="s">
        <v>34</v>
      </c>
      <c r="W13" s="402"/>
      <c r="X13" s="392">
        <f>IF('3941'!K$84=1,'3941'!G13,0)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IF('3941'!K$84=1,'3941'!G14,0)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IF('3941'!K$84=1,'3941'!G15,0)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IF('3941'!K$84=1,'3941'!G16,0)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IF('3941'!K$84=1,'3941'!G17,0)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IF('3941'!K$84=1,'3941'!G18,0)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IF('3941'!K$84=1,'3941'!G19,0)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IF('3941'!K$84=1,'3941'!G20,0)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IF('3941'!K$84=1,'3941'!G21,0)</f>
        <v>0</v>
      </c>
      <c r="Y21" s="392"/>
      <c r="Z21" s="403">
        <v>1</v>
      </c>
      <c r="AA21" s="403"/>
      <c r="AB21" s="57">
        <f t="shared" si="0"/>
        <v>0</v>
      </c>
      <c r="AC21" s="58">
        <f t="shared" si="1"/>
        <v>0</v>
      </c>
      <c r="AD21" s="9"/>
    </row>
    <row r="22" spans="1:30" ht="16.2" x14ac:dyDescent="0.35">
      <c r="A22" s="1" t="s">
        <v>53</v>
      </c>
      <c r="B22" s="14" t="s">
        <v>54</v>
      </c>
      <c r="C22" s="14"/>
      <c r="D22" s="14">
        <v>0.92</v>
      </c>
      <c r="E22" s="14">
        <v>0.92</v>
      </c>
      <c r="F22" s="14">
        <v>0</v>
      </c>
      <c r="G22" s="49">
        <f t="shared" si="2"/>
        <v>1.84</v>
      </c>
      <c r="H22" s="50"/>
      <c r="I22" s="59">
        <v>1.147</v>
      </c>
      <c r="J22" s="59"/>
      <c r="K22" s="52">
        <f t="shared" si="3"/>
        <v>2.1105</v>
      </c>
      <c r="L22" s="53">
        <f t="shared" si="4"/>
        <v>8756</v>
      </c>
      <c r="N22" s="54">
        <v>5101</v>
      </c>
      <c r="O22" s="55">
        <v>130</v>
      </c>
      <c r="Q22" s="56"/>
      <c r="V22" s="402" t="s">
        <v>54</v>
      </c>
      <c r="W22" s="402"/>
      <c r="X22" s="392">
        <f>IF('3941'!K$84=1,'3941'!G22,0)</f>
        <v>0</v>
      </c>
      <c r="Y22" s="392"/>
      <c r="Z22" s="403">
        <v>1</v>
      </c>
      <c r="AA22" s="403"/>
      <c r="AB22" s="57">
        <f t="shared" si="0"/>
        <v>0</v>
      </c>
      <c r="AC22" s="58">
        <f t="shared" si="1"/>
        <v>0</v>
      </c>
      <c r="AD22" s="9"/>
    </row>
    <row r="23" spans="1:30" ht="16.2" x14ac:dyDescent="0.35">
      <c r="A23" s="1" t="s">
        <v>55</v>
      </c>
      <c r="B23" s="14" t="s">
        <v>56</v>
      </c>
      <c r="C23" s="14"/>
      <c r="D23" s="14">
        <v>0.45</v>
      </c>
      <c r="E23" s="14">
        <v>0.45</v>
      </c>
      <c r="F23" s="14">
        <v>0</v>
      </c>
      <c r="G23" s="49">
        <f t="shared" si="2"/>
        <v>0.9</v>
      </c>
      <c r="H23" s="50"/>
      <c r="I23" s="59">
        <f>I22</f>
        <v>1.147</v>
      </c>
      <c r="J23" s="59"/>
      <c r="K23" s="52">
        <f t="shared" si="3"/>
        <v>1.0323</v>
      </c>
      <c r="L23" s="53">
        <f t="shared" si="4"/>
        <v>4283</v>
      </c>
      <c r="N23" s="54">
        <v>5102</v>
      </c>
      <c r="O23" s="55">
        <v>130</v>
      </c>
      <c r="Q23" s="56"/>
      <c r="V23" s="402" t="s">
        <v>56</v>
      </c>
      <c r="W23" s="402"/>
      <c r="X23" s="392">
        <f>IF('3941'!K$84=1,'3941'!G23,0)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IF('3941'!K$84=1,'3941'!G24,0)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IF('3941'!K$84=1,'3941'!G25,0)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139.91999999999999</v>
      </c>
      <c r="E26" s="64">
        <f t="shared" si="5"/>
        <v>140.55999999999997</v>
      </c>
      <c r="F26" s="64"/>
      <c r="G26" s="64">
        <f>SUM(G10:G25)</f>
        <v>280.47999999999996</v>
      </c>
      <c r="H26" s="65"/>
      <c r="I26" s="65"/>
      <c r="J26" s="66"/>
      <c r="K26" s="67">
        <f>SUM(K10:K25)</f>
        <v>307.86440000000005</v>
      </c>
      <c r="L26" s="68">
        <f>SUM(L10:L25)</f>
        <v>1277236</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16.5</v>
      </c>
      <c r="E28" s="14">
        <v>20.02</v>
      </c>
      <c r="F28" s="79">
        <v>0</v>
      </c>
      <c r="G28" s="49">
        <f t="shared" ref="G28:G36" si="6">IF($B$154&lt;8,D28*2,D28+E28)</f>
        <v>36.519999999999996</v>
      </c>
      <c r="H28" s="80"/>
      <c r="I28" s="81" t="s">
        <v>69</v>
      </c>
      <c r="J28" s="54">
        <v>251</v>
      </c>
      <c r="K28" s="82">
        <v>1047</v>
      </c>
      <c r="L28" s="83">
        <f>ROUND(G28*K28,0)</f>
        <v>38236</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3.95</v>
      </c>
      <c r="E29" s="14">
        <v>4.03</v>
      </c>
      <c r="F29" s="90">
        <v>0</v>
      </c>
      <c r="G29" s="49">
        <f t="shared" si="6"/>
        <v>7.98</v>
      </c>
      <c r="H29" s="80"/>
      <c r="I29" s="54" t="s">
        <v>69</v>
      </c>
      <c r="J29" s="54">
        <v>252</v>
      </c>
      <c r="K29" s="82">
        <v>3380</v>
      </c>
      <c r="L29" s="83">
        <f t="shared" ref="L29:L36" si="8">ROUND(G29*K29,0)</f>
        <v>26972</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0.52</v>
      </c>
      <c r="F30" s="90">
        <v>0</v>
      </c>
      <c r="G30" s="49">
        <f t="shared" si="6"/>
        <v>0.52</v>
      </c>
      <c r="H30" s="80"/>
      <c r="I30" s="54" t="s">
        <v>69</v>
      </c>
      <c r="J30" s="54">
        <v>253</v>
      </c>
      <c r="K30" s="82">
        <v>6896</v>
      </c>
      <c r="L30" s="83">
        <f t="shared" si="8"/>
        <v>3586</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7.51</v>
      </c>
      <c r="E31" s="14">
        <v>8.99</v>
      </c>
      <c r="F31" s="90">
        <v>0</v>
      </c>
      <c r="G31" s="49">
        <f t="shared" si="6"/>
        <v>16.5</v>
      </c>
      <c r="H31" s="80"/>
      <c r="I31" s="91" t="s">
        <v>73</v>
      </c>
      <c r="J31" s="54">
        <v>251</v>
      </c>
      <c r="K31" s="82">
        <v>1173</v>
      </c>
      <c r="L31" s="83">
        <f t="shared" si="8"/>
        <v>19355</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0.99</v>
      </c>
      <c r="E32" s="14">
        <v>1.51</v>
      </c>
      <c r="F32" s="90">
        <v>0</v>
      </c>
      <c r="G32" s="49">
        <f t="shared" si="6"/>
        <v>2.5</v>
      </c>
      <c r="H32" s="80"/>
      <c r="I32" s="91" t="s">
        <v>73</v>
      </c>
      <c r="J32" s="54">
        <v>252</v>
      </c>
      <c r="K32" s="82">
        <v>3506</v>
      </c>
      <c r="L32" s="83">
        <f t="shared" si="8"/>
        <v>8765</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28.95</v>
      </c>
      <c r="E37" s="64">
        <f t="shared" si="10"/>
        <v>35.07</v>
      </c>
      <c r="F37" s="64"/>
      <c r="G37" s="64">
        <f>SUM(G28:G36)</f>
        <v>64.02000000000001</v>
      </c>
      <c r="H37" s="65"/>
      <c r="I37" s="14" t="s">
        <v>81</v>
      </c>
      <c r="J37" s="14"/>
      <c r="K37" s="14"/>
      <c r="L37" s="53">
        <f>SUM(L28:L36)</f>
        <v>96914</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53572</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1427722</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243.2321</v>
      </c>
      <c r="D47" s="123"/>
      <c r="E47" s="123"/>
      <c r="F47" s="123"/>
      <c r="G47" s="124">
        <f>K7</f>
        <v>1.0289999999999999</v>
      </c>
      <c r="H47" s="124"/>
      <c r="I47" s="125">
        <v>1325.01</v>
      </c>
      <c r="J47" s="126" t="s">
        <v>96</v>
      </c>
      <c r="K47" s="127">
        <f>ROUND(C47*G47*I47,0)</f>
        <v>331631</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64.632300000000001</v>
      </c>
      <c r="D48" s="123"/>
      <c r="E48" s="123"/>
      <c r="F48" s="123"/>
      <c r="G48" s="124">
        <f>K7</f>
        <v>1.0289999999999999</v>
      </c>
      <c r="H48" s="124"/>
      <c r="I48" s="125">
        <v>903.8</v>
      </c>
      <c r="J48" s="126" t="s">
        <v>96</v>
      </c>
      <c r="K48" s="127">
        <f>ROUND(C48*G48*I48,0)</f>
        <v>60109</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307.86439999999999</v>
      </c>
      <c r="D50" s="146"/>
      <c r="E50" s="147"/>
      <c r="F50" s="147"/>
      <c r="G50" s="148" t="s">
        <v>98</v>
      </c>
      <c r="H50" s="148"/>
      <c r="I50" s="148"/>
      <c r="J50" s="148"/>
      <c r="K50" s="148"/>
      <c r="L50" s="53">
        <f>IF(B2=75,0,K49+K48+K47)</f>
        <v>391740</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307.86440000000005</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1.554E-3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280.47999999999996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1.5460000000000001E-3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1.554E-3</v>
      </c>
      <c r="L59" s="53">
        <f>ROUND(I59*K59,0)</f>
        <v>6575</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1.554E-3</v>
      </c>
      <c r="L67" s="53">
        <f>ROUND(I67*K67,0)</f>
        <v>161148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1.5460000000000001E-3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1.554E-3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1.554E-3</v>
      </c>
      <c r="L71" s="53">
        <f>ROUND(I71*K71,0)</f>
        <v>2899</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1.5460000000000001E-3</v>
      </c>
      <c r="L72" s="53">
        <f>ROUND(I72*K72,0)</f>
        <v>21588</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1.5460000000000001E-3</v>
      </c>
      <c r="L77" s="53">
        <f>ROUND(I77*K77,0)</f>
        <v>2654</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1.554E-3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2014326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'3941'!AC81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2014326</v>
      </c>
      <c r="L86" s="83">
        <f>IF(G26=0,0,IF(G26&gt;250,-(((250/G26)*K86)*IF(M86="H",0.02,0.05)),IF(M86="H",-0.02*K86,-0.05*K86)))</f>
        <v>-89771.374073017694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1924554.6259269824</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-160380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1764174.6259269824</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160379.51144790748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10944.925926982309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352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353</v>
      </c>
      <c r="C123" s="221" t="s">
        <v>199</v>
      </c>
    </row>
    <row r="124" spans="2:3" hidden="1" x14ac:dyDescent="0.3">
      <c r="B124" s="225" t="s">
        <v>354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41808.602893518502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352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353</v>
      </c>
      <c r="C164" s="235" t="s">
        <v>244</v>
      </c>
      <c r="D164" s="231"/>
    </row>
    <row r="165" spans="1:4" hidden="1" x14ac:dyDescent="0.3">
      <c r="A165" s="230" t="s">
        <v>245</v>
      </c>
      <c r="B165" s="234" t="s">
        <v>354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41808.602893518502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'3961'!B2</f>
        <v>50</v>
      </c>
      <c r="W2" s="380" t="s">
        <v>4</v>
      </c>
      <c r="X2" s="381"/>
      <c r="Y2" s="382"/>
      <c r="Z2" s="382"/>
      <c r="AA2" s="382"/>
      <c r="AB2" s="382"/>
      <c r="AC2" s="382"/>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'3961'!G7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45.77</v>
      </c>
      <c r="E10" s="48">
        <v>42.79</v>
      </c>
      <c r="F10" s="48">
        <v>0</v>
      </c>
      <c r="G10" s="49">
        <f>IF($B$154&lt;8,D10*2,D10+E10)</f>
        <v>88.56</v>
      </c>
      <c r="H10" s="50"/>
      <c r="I10" s="51">
        <v>1.1259999999999999</v>
      </c>
      <c r="J10" s="51"/>
      <c r="K10" s="52">
        <f>ROUND(G10*I10,4)</f>
        <v>99.718599999999995</v>
      </c>
      <c r="L10" s="53">
        <f>ROUND(ROUND(K10*$G$7,4)*($K$7),0)</f>
        <v>413702</v>
      </c>
      <c r="N10" s="54">
        <v>5101</v>
      </c>
      <c r="O10" s="55">
        <v>101</v>
      </c>
      <c r="Q10" s="56"/>
      <c r="V10" s="391" t="s">
        <v>27</v>
      </c>
      <c r="W10" s="391"/>
      <c r="X10" s="392">
        <f>IF('3961'!K$84=1,'3961'!G10,0)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4.51</v>
      </c>
      <c r="E11" s="14">
        <v>6.6</v>
      </c>
      <c r="F11" s="14">
        <v>0</v>
      </c>
      <c r="G11" s="49">
        <f t="shared" ref="G11:G25" si="2">IF($B$154&lt;8,D11*2,D11+E11)</f>
        <v>11.11</v>
      </c>
      <c r="H11" s="50"/>
      <c r="I11" s="59">
        <f>I10</f>
        <v>1.1259999999999999</v>
      </c>
      <c r="J11" s="59"/>
      <c r="K11" s="52">
        <f t="shared" ref="K11:K25" si="3">ROUND(G11*I11,4)</f>
        <v>12.5099</v>
      </c>
      <c r="L11" s="53">
        <f t="shared" ref="L11:L25" si="4">ROUND(ROUND(K11*$G$7,4)*($K$7),0)</f>
        <v>51900</v>
      </c>
      <c r="M11" s="1" t="str">
        <f>IF(ROUND(G11,2)=ROUND(SUM(G28:G30),2)," ","CHECK 2. PK-3 Lines Below")</f>
        <v xml:space="preserve"> </v>
      </c>
      <c r="N11" s="54">
        <v>5101</v>
      </c>
      <c r="O11" s="60" t="s">
        <v>30</v>
      </c>
      <c r="Q11" s="56"/>
      <c r="V11" s="402" t="s">
        <v>29</v>
      </c>
      <c r="W11" s="402"/>
      <c r="X11" s="392">
        <f>IF('3961'!K$84=1,'3961'!G11,0)</f>
        <v>0</v>
      </c>
      <c r="Y11" s="392"/>
      <c r="Z11" s="403">
        <v>1</v>
      </c>
      <c r="AA11" s="403"/>
      <c r="AB11" s="57">
        <f t="shared" si="0"/>
        <v>0</v>
      </c>
      <c r="AC11" s="58">
        <f t="shared" si="1"/>
        <v>0</v>
      </c>
      <c r="AD11" s="9"/>
    </row>
    <row r="12" spans="1:30" x14ac:dyDescent="0.3">
      <c r="A12" s="1" t="s">
        <v>31</v>
      </c>
      <c r="B12" s="14" t="s">
        <v>32</v>
      </c>
      <c r="C12" s="14"/>
      <c r="D12" s="14">
        <v>61</v>
      </c>
      <c r="E12" s="14">
        <v>59.46</v>
      </c>
      <c r="F12" s="14">
        <v>0</v>
      </c>
      <c r="G12" s="49">
        <f t="shared" si="2"/>
        <v>120.46000000000001</v>
      </c>
      <c r="H12" s="50"/>
      <c r="I12" s="59">
        <v>1</v>
      </c>
      <c r="J12" s="59"/>
      <c r="K12" s="52">
        <f t="shared" si="3"/>
        <v>120.46</v>
      </c>
      <c r="L12" s="53">
        <f t="shared" si="4"/>
        <v>499751</v>
      </c>
      <c r="N12" s="54">
        <v>5102</v>
      </c>
      <c r="O12" s="55">
        <v>102</v>
      </c>
      <c r="Q12" s="56"/>
      <c r="V12" s="402" t="s">
        <v>32</v>
      </c>
      <c r="W12" s="402"/>
      <c r="X12" s="392">
        <f>IF('3961'!K$84=1,'3961'!G12,0)</f>
        <v>0</v>
      </c>
      <c r="Y12" s="392"/>
      <c r="Z12" s="403">
        <v>1</v>
      </c>
      <c r="AA12" s="403"/>
      <c r="AB12" s="57">
        <f t="shared" si="0"/>
        <v>0</v>
      </c>
      <c r="AC12" s="58">
        <f t="shared" si="1"/>
        <v>0</v>
      </c>
      <c r="AD12" s="9"/>
    </row>
    <row r="13" spans="1:30" x14ac:dyDescent="0.3">
      <c r="A13" s="1" t="s">
        <v>33</v>
      </c>
      <c r="B13" s="14" t="s">
        <v>34</v>
      </c>
      <c r="C13" s="14"/>
      <c r="D13" s="14">
        <v>3.59</v>
      </c>
      <c r="E13" s="14">
        <v>2.5099999999999998</v>
      </c>
      <c r="F13" s="14">
        <v>0</v>
      </c>
      <c r="G13" s="49">
        <f t="shared" si="2"/>
        <v>6.1</v>
      </c>
      <c r="H13" s="50"/>
      <c r="I13" s="59">
        <f>I12</f>
        <v>1</v>
      </c>
      <c r="J13" s="59"/>
      <c r="K13" s="52">
        <f t="shared" si="3"/>
        <v>6.1</v>
      </c>
      <c r="L13" s="53">
        <f t="shared" si="4"/>
        <v>25307</v>
      </c>
      <c r="M13" s="1" t="str">
        <f>IF(ROUND(G13,2)=ROUND(SUM(G31:G33),2)," ","CHECK 2. 4-8 Lines Below")</f>
        <v xml:space="preserve"> </v>
      </c>
      <c r="N13" s="54">
        <v>5102</v>
      </c>
      <c r="O13" s="60" t="s">
        <v>35</v>
      </c>
      <c r="Q13" s="56"/>
      <c r="V13" s="402" t="s">
        <v>34</v>
      </c>
      <c r="W13" s="402"/>
      <c r="X13" s="392">
        <f>IF('3961'!K$84=1,'3961'!G13,0)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IF('3961'!K$84=1,'3961'!G14,0)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IF('3961'!K$84=1,'3961'!G15,0)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IF('3961'!K$84=1,'3961'!G16,0)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IF('3961'!K$84=1,'3961'!G17,0)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IF('3961'!K$84=1,'3961'!G18,0)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IF('3961'!K$84=1,'3961'!G19,0)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IF('3961'!K$84=1,'3961'!G20,0)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IF('3961'!K$84=1,'3961'!G21,0)</f>
        <v>0</v>
      </c>
      <c r="Y21" s="392"/>
      <c r="Z21" s="403">
        <v>1</v>
      </c>
      <c r="AA21" s="403"/>
      <c r="AB21" s="57">
        <f t="shared" si="0"/>
        <v>0</v>
      </c>
      <c r="AC21" s="58">
        <f t="shared" si="1"/>
        <v>0</v>
      </c>
      <c r="AD21" s="9"/>
    </row>
    <row r="22" spans="1:30" ht="16.2" x14ac:dyDescent="0.35">
      <c r="A22" s="1" t="s">
        <v>53</v>
      </c>
      <c r="B22" s="14" t="s">
        <v>54</v>
      </c>
      <c r="C22" s="14"/>
      <c r="D22" s="14">
        <v>1.74</v>
      </c>
      <c r="E22" s="14">
        <v>1.3</v>
      </c>
      <c r="F22" s="14">
        <v>0</v>
      </c>
      <c r="G22" s="49">
        <f t="shared" si="2"/>
        <v>3.04</v>
      </c>
      <c r="H22" s="50"/>
      <c r="I22" s="59">
        <v>1.147</v>
      </c>
      <c r="J22" s="59"/>
      <c r="K22" s="52">
        <f t="shared" si="3"/>
        <v>3.4868999999999999</v>
      </c>
      <c r="L22" s="53">
        <f t="shared" si="4"/>
        <v>14466</v>
      </c>
      <c r="N22" s="54">
        <v>5101</v>
      </c>
      <c r="O22" s="55">
        <v>130</v>
      </c>
      <c r="Q22" s="56"/>
      <c r="V22" s="402" t="s">
        <v>54</v>
      </c>
      <c r="W22" s="402"/>
      <c r="X22" s="392">
        <f>IF('3961'!K$84=1,'3961'!G22,0)</f>
        <v>0</v>
      </c>
      <c r="Y22" s="392"/>
      <c r="Z22" s="403">
        <v>1</v>
      </c>
      <c r="AA22" s="403"/>
      <c r="AB22" s="57">
        <f t="shared" si="0"/>
        <v>0</v>
      </c>
      <c r="AC22" s="58">
        <f t="shared" si="1"/>
        <v>0</v>
      </c>
      <c r="AD22" s="9"/>
    </row>
    <row r="23" spans="1:30" ht="16.2" x14ac:dyDescent="0.35">
      <c r="A23" s="1" t="s">
        <v>55</v>
      </c>
      <c r="B23" s="14" t="s">
        <v>56</v>
      </c>
      <c r="C23" s="14"/>
      <c r="D23" s="14">
        <v>0.44</v>
      </c>
      <c r="E23" s="14">
        <v>0.44</v>
      </c>
      <c r="F23" s="14">
        <v>0</v>
      </c>
      <c r="G23" s="49">
        <f t="shared" si="2"/>
        <v>0.88</v>
      </c>
      <c r="H23" s="50"/>
      <c r="I23" s="59">
        <f>I22</f>
        <v>1.147</v>
      </c>
      <c r="J23" s="59"/>
      <c r="K23" s="52">
        <f t="shared" si="3"/>
        <v>1.0094000000000001</v>
      </c>
      <c r="L23" s="53">
        <f t="shared" si="4"/>
        <v>4188</v>
      </c>
      <c r="N23" s="54">
        <v>5102</v>
      </c>
      <c r="O23" s="55">
        <v>130</v>
      </c>
      <c r="Q23" s="56"/>
      <c r="V23" s="402" t="s">
        <v>56</v>
      </c>
      <c r="W23" s="402"/>
      <c r="X23" s="392">
        <f>IF('3961'!K$84=1,'3961'!G23,0)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IF('3961'!K$84=1,'3961'!G24,0)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IF('3961'!K$84=1,'3961'!G25,0)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117.05</v>
      </c>
      <c r="E26" s="64">
        <f t="shared" si="5"/>
        <v>113.1</v>
      </c>
      <c r="F26" s="64"/>
      <c r="G26" s="64">
        <f>SUM(G10:G25)</f>
        <v>230.14999999999998</v>
      </c>
      <c r="H26" s="65"/>
      <c r="I26" s="65"/>
      <c r="J26" s="66"/>
      <c r="K26" s="67">
        <f>SUM(K10:K25)</f>
        <v>243.28479999999996</v>
      </c>
      <c r="L26" s="68">
        <f>SUM(L10:L25)</f>
        <v>1009314</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4.51</v>
      </c>
      <c r="E28" s="14">
        <v>6.6</v>
      </c>
      <c r="F28" s="79">
        <v>0</v>
      </c>
      <c r="G28" s="49">
        <f t="shared" ref="G28:G36" si="6">IF($B$154&lt;8,D28*2,D28+E28)</f>
        <v>11.11</v>
      </c>
      <c r="H28" s="80"/>
      <c r="I28" s="81" t="s">
        <v>69</v>
      </c>
      <c r="J28" s="54">
        <v>251</v>
      </c>
      <c r="K28" s="82">
        <v>1047</v>
      </c>
      <c r="L28" s="83">
        <f>ROUND(G28*K28,0)</f>
        <v>11632</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3.59</v>
      </c>
      <c r="E31" s="14">
        <v>2.5099999999999998</v>
      </c>
      <c r="F31" s="90">
        <v>0</v>
      </c>
      <c r="G31" s="49">
        <f t="shared" si="6"/>
        <v>6.1</v>
      </c>
      <c r="H31" s="80"/>
      <c r="I31" s="91" t="s">
        <v>73</v>
      </c>
      <c r="J31" s="54">
        <v>251</v>
      </c>
      <c r="K31" s="82">
        <v>1173</v>
      </c>
      <c r="L31" s="83">
        <f t="shared" si="8"/>
        <v>7155</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8.1</v>
      </c>
      <c r="E37" s="64">
        <f t="shared" si="10"/>
        <v>9.11</v>
      </c>
      <c r="F37" s="64"/>
      <c r="G37" s="64">
        <f>SUM(G28:G36)</f>
        <v>17.21</v>
      </c>
      <c r="H37" s="65"/>
      <c r="I37" s="14" t="s">
        <v>81</v>
      </c>
      <c r="J37" s="14"/>
      <c r="K37" s="14"/>
      <c r="L37" s="53">
        <f>SUM(L28:L36)</f>
        <v>18787</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43959</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1072060</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115.7154</v>
      </c>
      <c r="D47" s="123"/>
      <c r="E47" s="123"/>
      <c r="F47" s="123"/>
      <c r="G47" s="124">
        <f>K7</f>
        <v>1.0289999999999999</v>
      </c>
      <c r="H47" s="124"/>
      <c r="I47" s="125">
        <v>1325.01</v>
      </c>
      <c r="J47" s="126" t="s">
        <v>96</v>
      </c>
      <c r="K47" s="127">
        <f>ROUND(C47*G47*I47,0)</f>
        <v>157770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127.56939999999999</v>
      </c>
      <c r="D48" s="123"/>
      <c r="E48" s="123"/>
      <c r="F48" s="123"/>
      <c r="G48" s="124">
        <f>K7</f>
        <v>1.0289999999999999</v>
      </c>
      <c r="H48" s="124"/>
      <c r="I48" s="125">
        <v>903.8</v>
      </c>
      <c r="J48" s="126" t="s">
        <v>96</v>
      </c>
      <c r="K48" s="127">
        <f>ROUND(C48*G48*I48,0)</f>
        <v>118641</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243.28479999999999</v>
      </c>
      <c r="D50" s="146"/>
      <c r="E50" s="147"/>
      <c r="F50" s="147"/>
      <c r="G50" s="148" t="s">
        <v>98</v>
      </c>
      <c r="H50" s="148"/>
      <c r="I50" s="148"/>
      <c r="J50" s="148"/>
      <c r="K50" s="148"/>
      <c r="L50" s="53">
        <f>IF(B2=75,0,K49+K48+K47)</f>
        <v>276411</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243.28479999999996</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1.2279999999999999E-3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230.14999999999998</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1.2689999999999999E-3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1.2279999999999999E-3</v>
      </c>
      <c r="L59" s="53">
        <f>ROUND(I59*K59,0)</f>
        <v>5196</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1.2279999999999999E-3</v>
      </c>
      <c r="L67" s="53">
        <f>ROUND(I67*K67,0)</f>
        <v>127342</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1.2689999999999999E-3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1.2279999999999999E-3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1.2279999999999999E-3</v>
      </c>
      <c r="L71" s="53">
        <f>ROUND(I71*K71,0)</f>
        <v>2291</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1.2689999999999999E-3</v>
      </c>
      <c r="L72" s="53">
        <f>ROUND(I72*K72,0)</f>
        <v>17720</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1.2689999999999999E-3</v>
      </c>
      <c r="L77" s="53">
        <f>ROUND(I77*K77,0)</f>
        <v>2179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1.2279999999999999E-3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1503199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'3961'!AC81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1503199</v>
      </c>
      <c r="L86" s="83">
        <f>IF(G26=0,0,IF(G26&gt;250,-(((250/G26)*K86)*IF(M86="H",0.02,0.05)),IF(M86="H",-0.02*K86,-0.05*K86)))</f>
        <v>-75159.95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1428039.05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-119003</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1309036.05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119003.27727272728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355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356</v>
      </c>
      <c r="C123" s="221" t="s">
        <v>199</v>
      </c>
    </row>
    <row r="124" spans="2:3" hidden="1" x14ac:dyDescent="0.3">
      <c r="B124" s="225" t="s">
        <v>357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41808.602928240703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355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356</v>
      </c>
      <c r="C164" s="235" t="s">
        <v>244</v>
      </c>
      <c r="D164" s="231"/>
    </row>
    <row r="165" spans="1:4" hidden="1" x14ac:dyDescent="0.3">
      <c r="A165" s="230" t="s">
        <v>245</v>
      </c>
      <c r="B165" s="234" t="s">
        <v>357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41808.602928240703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'3971'!B2</f>
        <v>50</v>
      </c>
      <c r="W2" s="380" t="s">
        <v>4</v>
      </c>
      <c r="X2" s="381"/>
      <c r="Y2" s="382"/>
      <c r="Z2" s="382"/>
      <c r="AA2" s="382"/>
      <c r="AB2" s="382"/>
      <c r="AC2" s="382"/>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'3971'!G7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IF('3971'!K$84=1,'3971'!G10,0)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IF('3971'!K$84=1,'3971'!G11,0)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IF('3971'!K$84=1,'3971'!G12,0)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IF('3971'!K$84=1,'3971'!G13,0)</f>
        <v>0</v>
      </c>
      <c r="Y13" s="392"/>
      <c r="Z13" s="403">
        <v>1</v>
      </c>
      <c r="AA13" s="403"/>
      <c r="AB13" s="57">
        <f t="shared" si="0"/>
        <v>0</v>
      </c>
      <c r="AC13" s="58">
        <f t="shared" si="1"/>
        <v>0</v>
      </c>
      <c r="AD13" s="9"/>
    </row>
    <row r="14" spans="1:30" x14ac:dyDescent="0.3">
      <c r="A14" s="1" t="s">
        <v>36</v>
      </c>
      <c r="B14" s="14" t="s">
        <v>37</v>
      </c>
      <c r="C14" s="14"/>
      <c r="D14" s="14">
        <v>203.49</v>
      </c>
      <c r="E14" s="14">
        <v>202.21</v>
      </c>
      <c r="F14" s="14">
        <v>0</v>
      </c>
      <c r="G14" s="49">
        <f t="shared" si="2"/>
        <v>405.70000000000005</v>
      </c>
      <c r="H14" s="50"/>
      <c r="I14" s="59">
        <v>1.004</v>
      </c>
      <c r="J14" s="59"/>
      <c r="K14" s="52">
        <f t="shared" si="3"/>
        <v>407.32279999999997</v>
      </c>
      <c r="L14" s="53">
        <f t="shared" si="4"/>
        <v>1689857</v>
      </c>
      <c r="N14" s="54">
        <v>5103</v>
      </c>
      <c r="O14" s="55">
        <v>103</v>
      </c>
      <c r="Q14" s="56"/>
      <c r="V14" s="402" t="s">
        <v>37</v>
      </c>
      <c r="W14" s="402"/>
      <c r="X14" s="392">
        <f>IF('3971'!K$84=1,'3971'!G14,0)</f>
        <v>0</v>
      </c>
      <c r="Y14" s="392"/>
      <c r="Z14" s="403">
        <v>1</v>
      </c>
      <c r="AA14" s="403"/>
      <c r="AB14" s="57">
        <f t="shared" si="0"/>
        <v>0</v>
      </c>
      <c r="AC14" s="58">
        <f t="shared" si="1"/>
        <v>0</v>
      </c>
      <c r="AD14" s="9"/>
    </row>
    <row r="15" spans="1:30" x14ac:dyDescent="0.3">
      <c r="A15" s="1" t="s">
        <v>38</v>
      </c>
      <c r="B15" s="14" t="s">
        <v>39</v>
      </c>
      <c r="C15" s="14"/>
      <c r="D15" s="14">
        <v>44.68</v>
      </c>
      <c r="E15" s="14">
        <v>48.8</v>
      </c>
      <c r="F15" s="14">
        <v>0</v>
      </c>
      <c r="G15" s="49">
        <f t="shared" si="2"/>
        <v>93.47999999999999</v>
      </c>
      <c r="H15" s="50"/>
      <c r="I15" s="59">
        <f>I14</f>
        <v>1.004</v>
      </c>
      <c r="J15" s="59"/>
      <c r="K15" s="52">
        <f t="shared" si="3"/>
        <v>93.853899999999996</v>
      </c>
      <c r="L15" s="61">
        <f t="shared" si="4"/>
        <v>389371</v>
      </c>
      <c r="M15" s="1" t="str">
        <f>IF(ROUND(G15,2)=ROUND(SUM(G34:G36),2)," ","CHECK 2. 9-12 Lines Below")</f>
        <v xml:space="preserve"> </v>
      </c>
      <c r="N15" s="54">
        <v>5103</v>
      </c>
      <c r="O15" s="60" t="s">
        <v>40</v>
      </c>
      <c r="Q15" s="56"/>
      <c r="V15" s="402" t="s">
        <v>39</v>
      </c>
      <c r="W15" s="402"/>
      <c r="X15" s="392">
        <f>IF('3971'!K$84=1,'3971'!G15,0)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IF('3971'!K$84=1,'3971'!G16,0)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IF('3971'!K$84=1,'3971'!G17,0)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IF('3971'!K$84=1,'3971'!G18,0)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IF('3971'!K$84=1,'3971'!G19,0)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IF('3971'!K$84=1,'3971'!G20,0)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IF('3971'!K$84=1,'3971'!G21,0)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IF('3971'!K$84=1,'3971'!G22,0)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IF('3971'!K$84=1,'3971'!G23,0)</f>
        <v>0</v>
      </c>
      <c r="Y23" s="392"/>
      <c r="Z23" s="403">
        <v>1</v>
      </c>
      <c r="AA23" s="403"/>
      <c r="AB23" s="57">
        <f t="shared" si="0"/>
        <v>0</v>
      </c>
      <c r="AC23" s="58">
        <f t="shared" si="1"/>
        <v>0</v>
      </c>
      <c r="AD23" s="9"/>
    </row>
    <row r="24" spans="1:30" ht="16.2" x14ac:dyDescent="0.35">
      <c r="A24" s="1" t="s">
        <v>57</v>
      </c>
      <c r="B24" s="14" t="s">
        <v>58</v>
      </c>
      <c r="C24" s="14"/>
      <c r="D24" s="14">
        <v>3.7</v>
      </c>
      <c r="E24" s="14">
        <v>4.3899999999999997</v>
      </c>
      <c r="F24" s="14">
        <v>0</v>
      </c>
      <c r="G24" s="49">
        <f t="shared" si="2"/>
        <v>8.09</v>
      </c>
      <c r="H24" s="50"/>
      <c r="I24" s="59">
        <f>I23</f>
        <v>1.147</v>
      </c>
      <c r="J24" s="59"/>
      <c r="K24" s="52">
        <f t="shared" si="3"/>
        <v>9.2791999999999994</v>
      </c>
      <c r="L24" s="53">
        <f t="shared" si="4"/>
        <v>38497</v>
      </c>
      <c r="N24" s="54">
        <v>5103</v>
      </c>
      <c r="O24" s="55">
        <v>130</v>
      </c>
      <c r="Q24" s="56"/>
      <c r="V24" s="402" t="s">
        <v>58</v>
      </c>
      <c r="W24" s="402"/>
      <c r="X24" s="392">
        <f>IF('3971'!K$84=1,'3971'!G24,0)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IF('3971'!K$84=1,'3971'!G25,0)</f>
        <v>0</v>
      </c>
      <c r="Y25" s="392"/>
      <c r="Z25" s="403">
        <v>1</v>
      </c>
      <c r="AA25" s="403"/>
      <c r="AB25" s="57">
        <f t="shared" si="0"/>
        <v>0</v>
      </c>
      <c r="AC25" s="58">
        <f t="shared" si="1"/>
        <v>0</v>
      </c>
      <c r="AD25" s="9"/>
    </row>
    <row r="26" spans="1:30" ht="20.25" customHeight="1" thickBot="1" x14ac:dyDescent="0.35">
      <c r="B26" s="63" t="s">
        <v>61</v>
      </c>
      <c r="C26" s="63"/>
      <c r="D26" s="64">
        <f t="shared" ref="D26:E26" si="5">SUM(D10:D25)</f>
        <v>251.87</v>
      </c>
      <c r="E26" s="64">
        <f t="shared" si="5"/>
        <v>255.39999999999998</v>
      </c>
      <c r="F26" s="64"/>
      <c r="G26" s="64">
        <f>SUM(G10:G25)</f>
        <v>507.27000000000004</v>
      </c>
      <c r="H26" s="65"/>
      <c r="I26" s="65"/>
      <c r="J26" s="66"/>
      <c r="K26" s="67">
        <f>SUM(K10:K25)</f>
        <v>510.45589999999999</v>
      </c>
      <c r="L26" s="68">
        <f>SUM(L10:L25)</f>
        <v>2117725</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44.68</v>
      </c>
      <c r="E34" s="14">
        <v>45.45</v>
      </c>
      <c r="F34" s="90">
        <v>0</v>
      </c>
      <c r="G34" s="49">
        <f t="shared" si="6"/>
        <v>90.13</v>
      </c>
      <c r="H34" s="80"/>
      <c r="I34" s="91" t="s">
        <v>77</v>
      </c>
      <c r="J34" s="54">
        <v>251</v>
      </c>
      <c r="K34" s="82">
        <v>835</v>
      </c>
      <c r="L34" s="83">
        <f t="shared" si="8"/>
        <v>75259</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3.35</v>
      </c>
      <c r="F35" s="90">
        <v>0</v>
      </c>
      <c r="G35" s="49">
        <f t="shared" si="6"/>
        <v>3.35</v>
      </c>
      <c r="H35" s="80"/>
      <c r="I35" s="91" t="s">
        <v>77</v>
      </c>
      <c r="J35" s="54">
        <v>252</v>
      </c>
      <c r="K35" s="82">
        <v>3168</v>
      </c>
      <c r="L35" s="83">
        <f t="shared" si="8"/>
        <v>10613</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44.68</v>
      </c>
      <c r="E37" s="64">
        <f t="shared" si="10"/>
        <v>48.800000000000004</v>
      </c>
      <c r="F37" s="64"/>
      <c r="G37" s="64">
        <f>SUM(G28:G36)</f>
        <v>93.47999999999999</v>
      </c>
      <c r="H37" s="65"/>
      <c r="I37" s="14" t="s">
        <v>81</v>
      </c>
      <c r="J37" s="14"/>
      <c r="K37" s="14"/>
      <c r="L37" s="53">
        <f>SUM(L28:L36)</f>
        <v>85872</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96889</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2300486</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510.45589999999999</v>
      </c>
      <c r="D49" s="123"/>
      <c r="E49" s="123"/>
      <c r="F49" s="123"/>
      <c r="G49" s="124">
        <f>K7</f>
        <v>1.0289999999999999</v>
      </c>
      <c r="H49" s="124"/>
      <c r="I49" s="125">
        <v>905.98</v>
      </c>
      <c r="J49" s="126" t="s">
        <v>96</v>
      </c>
      <c r="K49" s="127">
        <f>ROUND(C49*G49*I49,0)</f>
        <v>475874</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510.45589999999999</v>
      </c>
      <c r="D50" s="146"/>
      <c r="E50" s="147"/>
      <c r="F50" s="147"/>
      <c r="G50" s="148" t="s">
        <v>98</v>
      </c>
      <c r="H50" s="148"/>
      <c r="I50" s="148"/>
      <c r="J50" s="148"/>
      <c r="K50" s="148"/>
      <c r="L50" s="53">
        <f>IF(B2=75,0,K49+K48+K47)</f>
        <v>475874</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510.45589999999999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2.5769999999999999E-3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507.27000000000004</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2.797E-3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2.5769999999999999E-3</v>
      </c>
      <c r="L59" s="53">
        <f>ROUND(I59*K59,0)</f>
        <v>10903</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2.5769999999999999E-3</v>
      </c>
      <c r="L67" s="53">
        <f>ROUND(I67*K67,0)</f>
        <v>267232</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2.797E-3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2.5769999999999999E-3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2.5769999999999999E-3</v>
      </c>
      <c r="L71" s="53">
        <f>ROUND(I71*K71,0)</f>
        <v>4808</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2.797E-3</v>
      </c>
      <c r="L72" s="53">
        <f>ROUND(I72*K72,0)</f>
        <v>39057</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301.5</v>
      </c>
      <c r="AA74" s="173" t="s">
        <v>130</v>
      </c>
      <c r="AB74" s="174">
        <f>+K75</f>
        <v>361</v>
      </c>
      <c r="AC74" s="58">
        <f>ROUND(AB74*Z74,0)</f>
        <v>108842</v>
      </c>
      <c r="AD74" s="9"/>
    </row>
    <row r="75" spans="1:30" ht="19.5" customHeight="1" x14ac:dyDescent="0.3">
      <c r="A75" s="1" t="s">
        <v>131</v>
      </c>
      <c r="B75" s="175" t="s">
        <v>128</v>
      </c>
      <c r="C75" s="176" t="s">
        <v>129</v>
      </c>
      <c r="D75" s="175">
        <v>351</v>
      </c>
      <c r="E75" s="175">
        <v>252</v>
      </c>
      <c r="F75" s="175">
        <v>0</v>
      </c>
      <c r="G75" s="177">
        <f>IF($B$154&lt;8,D75,E75)</f>
        <v>252</v>
      </c>
      <c r="H75" s="178"/>
      <c r="I75" s="179">
        <f>AVERAGE(G75,D75)</f>
        <v>301.5</v>
      </c>
      <c r="J75" s="180" t="s">
        <v>130</v>
      </c>
      <c r="K75" s="181">
        <v>361</v>
      </c>
      <c r="L75" s="53">
        <f>ROUND(K75*I75,0)</f>
        <v>108842</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2.797E-3</v>
      </c>
      <c r="L77" s="53">
        <f>ROUND(I77*K77,0)</f>
        <v>4802</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2.5769999999999999E-3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108842</v>
      </c>
      <c r="AD81" s="197"/>
    </row>
    <row r="82" spans="1:30" ht="22.5" customHeight="1" thickTop="1" thickBot="1" x14ac:dyDescent="0.35">
      <c r="B82" s="14" t="s">
        <v>140</v>
      </c>
      <c r="C82" s="14"/>
      <c r="D82" s="14"/>
      <c r="E82" s="14"/>
      <c r="F82" s="14"/>
      <c r="G82" s="14"/>
      <c r="H82" s="14"/>
      <c r="I82" s="14"/>
      <c r="J82" s="14"/>
      <c r="K82" s="14"/>
      <c r="L82" s="198">
        <f>SUM(L44:L81)</f>
        <v>3212004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'3971'!AC81</f>
        <v>108842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3212004</v>
      </c>
      <c r="L86" s="83">
        <f>IF(G26=0,0,IF(G26&gt;250,-(((250/G26)*K86)*IF(M86="H",0.02,0.05)),IF(M86="H",-0.02*K86,-0.05*K86)))</f>
        <v>-79149.269619729137</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3132854.7303802706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-261071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2871783.7303802706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261071.24821638825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81450.930380270875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358</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359</v>
      </c>
      <c r="C123" s="221" t="s">
        <v>199</v>
      </c>
    </row>
    <row r="124" spans="2:3" hidden="1" x14ac:dyDescent="0.3">
      <c r="B124" s="225" t="s">
        <v>360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41808.602951388901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358</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359</v>
      </c>
      <c r="C164" s="235" t="s">
        <v>244</v>
      </c>
      <c r="D164" s="231"/>
    </row>
    <row r="165" spans="1:4" hidden="1" x14ac:dyDescent="0.3">
      <c r="A165" s="230" t="s">
        <v>245</v>
      </c>
      <c r="B165" s="234" t="s">
        <v>360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41808.602951388901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26"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'4000'!B2</f>
        <v>50</v>
      </c>
      <c r="W2" s="380" t="s">
        <v>4</v>
      </c>
      <c r="X2" s="381"/>
      <c r="Y2" s="382"/>
      <c r="Z2" s="382"/>
      <c r="AA2" s="382"/>
      <c r="AB2" s="382"/>
      <c r="AC2" s="382"/>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'4000'!G7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176.44</v>
      </c>
      <c r="E10" s="48">
        <v>165.69</v>
      </c>
      <c r="F10" s="48">
        <v>0</v>
      </c>
      <c r="G10" s="49">
        <f>IF($B$154&lt;8,D10*2,D10+E10)</f>
        <v>342.13</v>
      </c>
      <c r="H10" s="50"/>
      <c r="I10" s="51">
        <v>1.1259999999999999</v>
      </c>
      <c r="J10" s="51"/>
      <c r="K10" s="52">
        <f>ROUND(G10*I10,4)</f>
        <v>385.23840000000001</v>
      </c>
      <c r="L10" s="53">
        <f>ROUND(ROUND(K10*$G$7,4)*($K$7),0)</f>
        <v>1598235</v>
      </c>
      <c r="N10" s="54">
        <v>5101</v>
      </c>
      <c r="O10" s="55">
        <v>101</v>
      </c>
      <c r="Q10" s="56"/>
      <c r="V10" s="391" t="s">
        <v>27</v>
      </c>
      <c r="W10" s="391"/>
      <c r="X10" s="392">
        <f>IF('4000'!K$84=1,'4000'!G10,0)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25.63</v>
      </c>
      <c r="E11" s="14">
        <v>23.65</v>
      </c>
      <c r="F11" s="14">
        <v>0</v>
      </c>
      <c r="G11" s="49">
        <f t="shared" ref="G11:G25" si="2">IF($B$154&lt;8,D11*2,D11+E11)</f>
        <v>49.28</v>
      </c>
      <c r="H11" s="50"/>
      <c r="I11" s="59">
        <f>I10</f>
        <v>1.1259999999999999</v>
      </c>
      <c r="J11" s="59"/>
      <c r="K11" s="52">
        <f t="shared" ref="K11:K25" si="3">ROUND(G11*I11,4)</f>
        <v>55.4893</v>
      </c>
      <c r="L11" s="53">
        <f t="shared" ref="L11:L25" si="4">ROUND(ROUND(K11*$G$7,4)*($K$7),0)</f>
        <v>230208</v>
      </c>
      <c r="M11" s="1" t="str">
        <f>IF(ROUND(G11,2)=ROUND(SUM(G28:G30),2)," ","CHECK 2. PK-3 Lines Below")</f>
        <v xml:space="preserve"> </v>
      </c>
      <c r="N11" s="54">
        <v>5101</v>
      </c>
      <c r="O11" s="60" t="s">
        <v>30</v>
      </c>
      <c r="Q11" s="56"/>
      <c r="V11" s="402" t="s">
        <v>29</v>
      </c>
      <c r="W11" s="402"/>
      <c r="X11" s="392">
        <f>IF('4000'!K$84=1,'4000'!G11,0)</f>
        <v>0</v>
      </c>
      <c r="Y11" s="392"/>
      <c r="Z11" s="403">
        <v>1</v>
      </c>
      <c r="AA11" s="403"/>
      <c r="AB11" s="57">
        <f t="shared" si="0"/>
        <v>0</v>
      </c>
      <c r="AC11" s="58">
        <f t="shared" si="1"/>
        <v>0</v>
      </c>
      <c r="AD11" s="9"/>
    </row>
    <row r="12" spans="1:30" x14ac:dyDescent="0.3">
      <c r="A12" s="1" t="s">
        <v>31</v>
      </c>
      <c r="B12" s="14" t="s">
        <v>32</v>
      </c>
      <c r="C12" s="14"/>
      <c r="D12" s="14">
        <v>110.43</v>
      </c>
      <c r="E12" s="14">
        <v>98.8</v>
      </c>
      <c r="F12" s="14">
        <v>0</v>
      </c>
      <c r="G12" s="49">
        <f t="shared" si="2"/>
        <v>209.23000000000002</v>
      </c>
      <c r="H12" s="50"/>
      <c r="I12" s="59">
        <v>1</v>
      </c>
      <c r="J12" s="59"/>
      <c r="K12" s="52">
        <f t="shared" si="3"/>
        <v>209.23</v>
      </c>
      <c r="L12" s="53">
        <f t="shared" si="4"/>
        <v>868031</v>
      </c>
      <c r="N12" s="54">
        <v>5102</v>
      </c>
      <c r="O12" s="55">
        <v>102</v>
      </c>
      <c r="Q12" s="56"/>
      <c r="V12" s="402" t="s">
        <v>32</v>
      </c>
      <c r="W12" s="402"/>
      <c r="X12" s="392">
        <f>IF('4000'!K$84=1,'4000'!G12,0)</f>
        <v>0</v>
      </c>
      <c r="Y12" s="392"/>
      <c r="Z12" s="403">
        <v>1</v>
      </c>
      <c r="AA12" s="403"/>
      <c r="AB12" s="57">
        <f t="shared" si="0"/>
        <v>0</v>
      </c>
      <c r="AC12" s="58">
        <f t="shared" si="1"/>
        <v>0</v>
      </c>
      <c r="AD12" s="9"/>
    </row>
    <row r="13" spans="1:30" x14ac:dyDescent="0.3">
      <c r="A13" s="1" t="s">
        <v>33</v>
      </c>
      <c r="B13" s="14" t="s">
        <v>34</v>
      </c>
      <c r="C13" s="14"/>
      <c r="D13" s="14">
        <v>26.65</v>
      </c>
      <c r="E13" s="14">
        <v>26.39</v>
      </c>
      <c r="F13" s="14">
        <v>0</v>
      </c>
      <c r="G13" s="49">
        <f t="shared" si="2"/>
        <v>53.04</v>
      </c>
      <c r="H13" s="50"/>
      <c r="I13" s="59">
        <f>I12</f>
        <v>1</v>
      </c>
      <c r="J13" s="59"/>
      <c r="K13" s="52">
        <f t="shared" si="3"/>
        <v>53.04</v>
      </c>
      <c r="L13" s="53">
        <f t="shared" si="4"/>
        <v>220047</v>
      </c>
      <c r="M13" s="1" t="str">
        <f>IF(ROUND(G13,2)=ROUND(SUM(G31:G33),2)," ","CHECK 2. 4-8 Lines Below")</f>
        <v xml:space="preserve"> </v>
      </c>
      <c r="N13" s="54">
        <v>5102</v>
      </c>
      <c r="O13" s="60" t="s">
        <v>35</v>
      </c>
      <c r="Q13" s="56"/>
      <c r="V13" s="402" t="s">
        <v>34</v>
      </c>
      <c r="W13" s="402"/>
      <c r="X13" s="392">
        <f>IF('4000'!K$84=1,'4000'!G13,0)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IF('4000'!K$84=1,'4000'!G14,0)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IF('4000'!K$84=1,'4000'!G15,0)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IF('4000'!K$84=1,'4000'!G16,0)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IF('4000'!K$84=1,'4000'!G17,0)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IF('4000'!K$84=1,'4000'!G18,0)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IF('4000'!K$84=1,'4000'!G19,0)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IF('4000'!K$84=1,'4000'!G20,0)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IF('4000'!K$84=1,'4000'!G21,0)</f>
        <v>0</v>
      </c>
      <c r="Y21" s="392"/>
      <c r="Z21" s="403">
        <v>1</v>
      </c>
      <c r="AA21" s="403"/>
      <c r="AB21" s="57">
        <f t="shared" si="0"/>
        <v>0</v>
      </c>
      <c r="AC21" s="58">
        <f t="shared" si="1"/>
        <v>0</v>
      </c>
      <c r="AD21" s="9"/>
    </row>
    <row r="22" spans="1:30" ht="16.2" x14ac:dyDescent="0.35">
      <c r="A22" s="1" t="s">
        <v>53</v>
      </c>
      <c r="B22" s="14" t="s">
        <v>54</v>
      </c>
      <c r="C22" s="14"/>
      <c r="D22" s="14">
        <v>7.61</v>
      </c>
      <c r="E22" s="14">
        <v>7.2</v>
      </c>
      <c r="F22" s="14">
        <v>0</v>
      </c>
      <c r="G22" s="49">
        <f t="shared" si="2"/>
        <v>14.81</v>
      </c>
      <c r="H22" s="50"/>
      <c r="I22" s="59">
        <v>1.147</v>
      </c>
      <c r="J22" s="59"/>
      <c r="K22" s="52">
        <f t="shared" si="3"/>
        <v>16.987100000000002</v>
      </c>
      <c r="L22" s="53">
        <f t="shared" si="4"/>
        <v>70474</v>
      </c>
      <c r="N22" s="54">
        <v>5101</v>
      </c>
      <c r="O22" s="55">
        <v>130</v>
      </c>
      <c r="Q22" s="56"/>
      <c r="V22" s="402" t="s">
        <v>54</v>
      </c>
      <c r="W22" s="402"/>
      <c r="X22" s="392">
        <f>IF('4000'!K$84=1,'4000'!G22,0)</f>
        <v>0</v>
      </c>
      <c r="Y22" s="392"/>
      <c r="Z22" s="403">
        <v>1</v>
      </c>
      <c r="AA22" s="403"/>
      <c r="AB22" s="57">
        <f t="shared" si="0"/>
        <v>0</v>
      </c>
      <c r="AC22" s="58">
        <f t="shared" si="1"/>
        <v>0</v>
      </c>
      <c r="AD22" s="9"/>
    </row>
    <row r="23" spans="1:30" ht="16.2" x14ac:dyDescent="0.35">
      <c r="A23" s="1" t="s">
        <v>55</v>
      </c>
      <c r="B23" s="14" t="s">
        <v>56</v>
      </c>
      <c r="C23" s="14"/>
      <c r="D23" s="14">
        <v>2.4300000000000002</v>
      </c>
      <c r="E23" s="14">
        <v>2.4500000000000002</v>
      </c>
      <c r="F23" s="14">
        <v>0</v>
      </c>
      <c r="G23" s="49">
        <f t="shared" si="2"/>
        <v>4.8800000000000008</v>
      </c>
      <c r="H23" s="50"/>
      <c r="I23" s="59">
        <f>I22</f>
        <v>1.147</v>
      </c>
      <c r="J23" s="59"/>
      <c r="K23" s="52">
        <f t="shared" si="3"/>
        <v>5.5974000000000004</v>
      </c>
      <c r="L23" s="53">
        <f t="shared" si="4"/>
        <v>23222</v>
      </c>
      <c r="N23" s="54">
        <v>5102</v>
      </c>
      <c r="O23" s="55">
        <v>130</v>
      </c>
      <c r="Q23" s="56"/>
      <c r="V23" s="402" t="s">
        <v>56</v>
      </c>
      <c r="W23" s="402"/>
      <c r="X23" s="392">
        <f>IF('4000'!K$84=1,'4000'!G23,0)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IF('4000'!K$84=1,'4000'!G24,0)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IF('4000'!K$84=1,'4000'!G25,0)</f>
        <v>0</v>
      </c>
      <c r="Y25" s="392"/>
      <c r="Z25" s="403">
        <v>1</v>
      </c>
      <c r="AA25" s="403"/>
      <c r="AB25" s="57">
        <f t="shared" si="0"/>
        <v>0</v>
      </c>
      <c r="AC25" s="58">
        <f t="shared" si="1"/>
        <v>0</v>
      </c>
      <c r="AD25" s="9"/>
    </row>
    <row r="26" spans="1:30" ht="20.25" customHeight="1" thickBot="1" x14ac:dyDescent="0.35">
      <c r="B26" s="63" t="s">
        <v>61</v>
      </c>
      <c r="C26" s="63"/>
      <c r="D26" s="64">
        <f t="shared" ref="D26:E26" si="5">SUM(D10:D25)</f>
        <v>349.19</v>
      </c>
      <c r="E26" s="64">
        <f t="shared" si="5"/>
        <v>324.17999999999995</v>
      </c>
      <c r="F26" s="64"/>
      <c r="G26" s="64">
        <f>SUM(G10:G25)</f>
        <v>673.36999999999989</v>
      </c>
      <c r="H26" s="65"/>
      <c r="I26" s="65"/>
      <c r="J26" s="66"/>
      <c r="K26" s="67">
        <f>SUM(K10:K25)</f>
        <v>725.58220000000006</v>
      </c>
      <c r="L26" s="68">
        <f>SUM(L10:L25)</f>
        <v>3010217</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22.51</v>
      </c>
      <c r="E28" s="14">
        <v>20.65</v>
      </c>
      <c r="F28" s="79">
        <v>0</v>
      </c>
      <c r="G28" s="49">
        <f t="shared" ref="G28:G36" si="6">IF($B$154&lt;8,D28*2,D28+E28)</f>
        <v>43.16</v>
      </c>
      <c r="H28" s="80"/>
      <c r="I28" s="81" t="s">
        <v>69</v>
      </c>
      <c r="J28" s="54">
        <v>251</v>
      </c>
      <c r="K28" s="82">
        <v>1047</v>
      </c>
      <c r="L28" s="83">
        <f>ROUND(G28*K28,0)</f>
        <v>45189</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3.12</v>
      </c>
      <c r="E29" s="14">
        <v>3</v>
      </c>
      <c r="F29" s="90">
        <v>0</v>
      </c>
      <c r="G29" s="49">
        <f t="shared" si="6"/>
        <v>6.12</v>
      </c>
      <c r="H29" s="80"/>
      <c r="I29" s="54" t="s">
        <v>69</v>
      </c>
      <c r="J29" s="54">
        <v>252</v>
      </c>
      <c r="K29" s="82">
        <v>3380</v>
      </c>
      <c r="L29" s="83">
        <f t="shared" ref="L29:L36" si="8">ROUND(G29*K29,0)</f>
        <v>20686</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25.05</v>
      </c>
      <c r="E31" s="14">
        <v>24.89</v>
      </c>
      <c r="F31" s="90">
        <v>0</v>
      </c>
      <c r="G31" s="49">
        <f t="shared" si="6"/>
        <v>49.94</v>
      </c>
      <c r="H31" s="80"/>
      <c r="I31" s="91" t="s">
        <v>73</v>
      </c>
      <c r="J31" s="54">
        <v>251</v>
      </c>
      <c r="K31" s="82">
        <v>1173</v>
      </c>
      <c r="L31" s="83">
        <f t="shared" si="8"/>
        <v>58580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1.6</v>
      </c>
      <c r="E32" s="14">
        <v>1.5</v>
      </c>
      <c r="F32" s="90">
        <v>0</v>
      </c>
      <c r="G32" s="49">
        <f t="shared" si="6"/>
        <v>3.1</v>
      </c>
      <c r="H32" s="80"/>
      <c r="I32" s="91" t="s">
        <v>73</v>
      </c>
      <c r="J32" s="54">
        <v>252</v>
      </c>
      <c r="K32" s="82">
        <v>3506</v>
      </c>
      <c r="L32" s="83">
        <f t="shared" si="8"/>
        <v>10869</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52.280000000000008</v>
      </c>
      <c r="E37" s="64">
        <f t="shared" si="10"/>
        <v>50.04</v>
      </c>
      <c r="F37" s="64"/>
      <c r="G37" s="64">
        <f>SUM(G28:G36)</f>
        <v>102.32</v>
      </c>
      <c r="H37" s="65"/>
      <c r="I37" s="14" t="s">
        <v>81</v>
      </c>
      <c r="J37" s="14"/>
      <c r="K37" s="14"/>
      <c r="L37" s="53">
        <f>SUM(L28:L36)</f>
        <v>135324</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128614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3274155</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457.71480000000003</v>
      </c>
      <c r="D47" s="123"/>
      <c r="E47" s="123"/>
      <c r="F47" s="123"/>
      <c r="G47" s="124">
        <f>K7</f>
        <v>1.0289999999999999</v>
      </c>
      <c r="H47" s="124"/>
      <c r="I47" s="125">
        <v>1325.01</v>
      </c>
      <c r="J47" s="126" t="s">
        <v>96</v>
      </c>
      <c r="K47" s="127">
        <f>ROUND(C47*G47*I47,0)</f>
        <v>624065</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267.86739999999998</v>
      </c>
      <c r="D48" s="123"/>
      <c r="E48" s="123"/>
      <c r="F48" s="123"/>
      <c r="G48" s="124">
        <f>K7</f>
        <v>1.0289999999999999</v>
      </c>
      <c r="H48" s="124"/>
      <c r="I48" s="125">
        <v>903.8</v>
      </c>
      <c r="J48" s="126" t="s">
        <v>96</v>
      </c>
      <c r="K48" s="127">
        <f>ROUND(C48*G48*I48,0)</f>
        <v>249119</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725.58220000000006</v>
      </c>
      <c r="D50" s="146"/>
      <c r="E50" s="147"/>
      <c r="F50" s="147"/>
      <c r="G50" s="148" t="s">
        <v>98</v>
      </c>
      <c r="H50" s="148"/>
      <c r="I50" s="148"/>
      <c r="J50" s="148"/>
      <c r="K50" s="148"/>
      <c r="L50" s="53">
        <f>IF(B2=75,0,K49+K48+K47)</f>
        <v>873184</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725.58220000000006</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3.6640000000000002E-3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673.36999999999989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3.712E-3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3.6640000000000002E-3</v>
      </c>
      <c r="L59" s="53">
        <f>ROUND(I59*K59,0)</f>
        <v>15502</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3.6640000000000002E-3</v>
      </c>
      <c r="L67" s="53">
        <f>ROUND(I67*K67,0)</f>
        <v>379952</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3.712E-3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3.6640000000000002E-3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3.6640000000000002E-3</v>
      </c>
      <c r="L71" s="53">
        <f>ROUND(I71*K71,0)</f>
        <v>6836</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3.712E-3</v>
      </c>
      <c r="L72" s="53">
        <f>ROUND(I72*K72,0)</f>
        <v>51834</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23</v>
      </c>
      <c r="AA74" s="173" t="s">
        <v>130</v>
      </c>
      <c r="AB74" s="174">
        <f>+K75</f>
        <v>361</v>
      </c>
      <c r="AC74" s="58">
        <f>ROUND(AB74*Z74,0)</f>
        <v>8303</v>
      </c>
      <c r="AD74" s="9"/>
    </row>
    <row r="75" spans="1:30" ht="19.5" customHeight="1" x14ac:dyDescent="0.3">
      <c r="A75" s="1" t="s">
        <v>131</v>
      </c>
      <c r="B75" s="175" t="s">
        <v>128</v>
      </c>
      <c r="C75" s="176" t="s">
        <v>129</v>
      </c>
      <c r="D75" s="175">
        <v>15</v>
      </c>
      <c r="E75" s="175">
        <v>31</v>
      </c>
      <c r="F75" s="175">
        <v>0</v>
      </c>
      <c r="G75" s="177">
        <f>IF($B$154&lt;8,D75,E75)</f>
        <v>31</v>
      </c>
      <c r="H75" s="178"/>
      <c r="I75" s="179">
        <f>AVERAGE(G75,D75)</f>
        <v>23</v>
      </c>
      <c r="J75" s="180" t="s">
        <v>130</v>
      </c>
      <c r="K75" s="181">
        <v>361</v>
      </c>
      <c r="L75" s="53">
        <f>ROUND(K75*I75,0)</f>
        <v>8303</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3.712E-3</v>
      </c>
      <c r="L77" s="53">
        <f>ROUND(I77*K77,0)</f>
        <v>6373</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3.6640000000000002E-3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8303</v>
      </c>
      <c r="AD81" s="197"/>
    </row>
    <row r="82" spans="1:30" ht="22.5" customHeight="1" thickTop="1" thickBot="1" x14ac:dyDescent="0.35">
      <c r="B82" s="14" t="s">
        <v>140</v>
      </c>
      <c r="C82" s="14"/>
      <c r="D82" s="14"/>
      <c r="E82" s="14"/>
      <c r="F82" s="14"/>
      <c r="G82" s="14"/>
      <c r="H82" s="14"/>
      <c r="I82" s="14"/>
      <c r="J82" s="14"/>
      <c r="K82" s="14"/>
      <c r="L82" s="198">
        <f>SUM(L44:L81)</f>
        <v>4616139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'4000'!AC81</f>
        <v>8303</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4616139</v>
      </c>
      <c r="L86" s="83">
        <f>IF(G26=0,0,IF(G26&gt;250,-(((250/G26)*K86)*IF(M86="H",0.02,0.05)),IF(M86="H",-0.02*K86,-0.05*K86)))</f>
        <v>-85690.983411794427</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4530448.0165882055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-377537</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4152911.0165882055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377537.36514438229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145115.9665882056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361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362</v>
      </c>
      <c r="C123" s="221" t="s">
        <v>199</v>
      </c>
    </row>
    <row r="124" spans="2:3" hidden="1" x14ac:dyDescent="0.3">
      <c r="B124" s="225" t="s">
        <v>363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41808.602974537003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361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362</v>
      </c>
      <c r="C164" s="235" t="s">
        <v>244</v>
      </c>
      <c r="D164" s="231"/>
    </row>
    <row r="165" spans="1:4" hidden="1" x14ac:dyDescent="0.3">
      <c r="A165" s="230" t="s">
        <v>245</v>
      </c>
      <c r="B165" s="234" t="s">
        <v>363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41808.602974537003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'0054'!B2</f>
        <v>50</v>
      </c>
      <c r="W2" s="380" t="s">
        <v>4</v>
      </c>
      <c r="X2" s="381"/>
      <c r="Y2" s="382"/>
      <c r="Z2" s="382"/>
      <c r="AA2" s="382"/>
      <c r="AB2" s="382"/>
      <c r="AC2" s="382"/>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'0054'!G7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32.200000000000003</v>
      </c>
      <c r="E10" s="48">
        <v>31.75</v>
      </c>
      <c r="F10" s="48">
        <v>0</v>
      </c>
      <c r="G10" s="49">
        <f>IF($B$154&lt;8,D10*2,D10+E10)</f>
        <v>63.95</v>
      </c>
      <c r="H10" s="50"/>
      <c r="I10" s="51">
        <v>1.1259999999999999</v>
      </c>
      <c r="J10" s="51"/>
      <c r="K10" s="52">
        <f>ROUND(G10*I10,4)</f>
        <v>72.0077</v>
      </c>
      <c r="L10" s="53">
        <f>ROUND(ROUND(K10*$G$7,4)*($K$7),0)</f>
        <v>298738</v>
      </c>
      <c r="N10" s="54">
        <v>5101</v>
      </c>
      <c r="O10" s="55">
        <v>101</v>
      </c>
      <c r="Q10" s="56"/>
      <c r="V10" s="391" t="s">
        <v>27</v>
      </c>
      <c r="W10" s="391"/>
      <c r="X10" s="392">
        <f>IF('0054'!K$84=1,'0054'!G10,0)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2</v>
      </c>
      <c r="E11" s="14">
        <v>2</v>
      </c>
      <c r="F11" s="14">
        <v>0</v>
      </c>
      <c r="G11" s="49">
        <f t="shared" ref="G11:G25" si="2">IF($B$154&lt;8,D11*2,D11+E11)</f>
        <v>4</v>
      </c>
      <c r="H11" s="50"/>
      <c r="I11" s="59">
        <f>I10</f>
        <v>1.1259999999999999</v>
      </c>
      <c r="J11" s="59"/>
      <c r="K11" s="52">
        <f t="shared" ref="K11:K25" si="3">ROUND(G11*I11,4)</f>
        <v>4.5039999999999996</v>
      </c>
      <c r="L11" s="53">
        <f t="shared" ref="L11:L25" si="4">ROUND(ROUND(K11*$G$7,4)*($K$7),0)</f>
        <v>18686</v>
      </c>
      <c r="M11" s="1" t="str">
        <f>IF(ROUND(G11,2)=ROUND(SUM(G28:G30),2)," ","CHECK 2. PK-3 Lines Below")</f>
        <v xml:space="preserve"> </v>
      </c>
      <c r="N11" s="54">
        <v>5101</v>
      </c>
      <c r="O11" s="60" t="s">
        <v>30</v>
      </c>
      <c r="Q11" s="56"/>
      <c r="V11" s="402" t="s">
        <v>29</v>
      </c>
      <c r="W11" s="402"/>
      <c r="X11" s="392">
        <f>IF('0054'!K$84=1,'0054'!G11,0)</f>
        <v>0</v>
      </c>
      <c r="Y11" s="392"/>
      <c r="Z11" s="403">
        <v>1</v>
      </c>
      <c r="AA11" s="403"/>
      <c r="AB11" s="57">
        <f t="shared" si="0"/>
        <v>0</v>
      </c>
      <c r="AC11" s="58">
        <f t="shared" si="1"/>
        <v>0</v>
      </c>
      <c r="AD11" s="9"/>
    </row>
    <row r="12" spans="1:30" x14ac:dyDescent="0.3">
      <c r="A12" s="1" t="s">
        <v>31</v>
      </c>
      <c r="B12" s="14" t="s">
        <v>32</v>
      </c>
      <c r="C12" s="14"/>
      <c r="D12" s="14">
        <v>14.08</v>
      </c>
      <c r="E12" s="14">
        <v>13.59</v>
      </c>
      <c r="F12" s="14">
        <v>0</v>
      </c>
      <c r="G12" s="49">
        <f t="shared" si="2"/>
        <v>27.67</v>
      </c>
      <c r="H12" s="50"/>
      <c r="I12" s="59">
        <v>1</v>
      </c>
      <c r="J12" s="59"/>
      <c r="K12" s="52">
        <f t="shared" si="3"/>
        <v>27.67</v>
      </c>
      <c r="L12" s="53">
        <f t="shared" si="4"/>
        <v>114794</v>
      </c>
      <c r="N12" s="54">
        <v>5102</v>
      </c>
      <c r="O12" s="55">
        <v>102</v>
      </c>
      <c r="Q12" s="56"/>
      <c r="V12" s="402" t="s">
        <v>32</v>
      </c>
      <c r="W12" s="402"/>
      <c r="X12" s="392">
        <f>IF('0054'!K$84=1,'0054'!G12,0)</f>
        <v>0</v>
      </c>
      <c r="Y12" s="392"/>
      <c r="Z12" s="403">
        <v>1</v>
      </c>
      <c r="AA12" s="403"/>
      <c r="AB12" s="57">
        <f t="shared" si="0"/>
        <v>0</v>
      </c>
      <c r="AC12" s="58">
        <f t="shared" si="1"/>
        <v>0</v>
      </c>
      <c r="AD12" s="9"/>
    </row>
    <row r="13" spans="1:30" x14ac:dyDescent="0.3">
      <c r="A13" s="1" t="s">
        <v>33</v>
      </c>
      <c r="B13" s="14" t="s">
        <v>34</v>
      </c>
      <c r="C13" s="14"/>
      <c r="D13" s="14">
        <v>2</v>
      </c>
      <c r="E13" s="14">
        <v>2</v>
      </c>
      <c r="F13" s="14">
        <v>0</v>
      </c>
      <c r="G13" s="49">
        <f t="shared" si="2"/>
        <v>4</v>
      </c>
      <c r="H13" s="50"/>
      <c r="I13" s="59">
        <f>I12</f>
        <v>1</v>
      </c>
      <c r="J13" s="59"/>
      <c r="K13" s="52">
        <f t="shared" si="3"/>
        <v>4</v>
      </c>
      <c r="L13" s="53">
        <f t="shared" si="4"/>
        <v>16595</v>
      </c>
      <c r="M13" s="1" t="str">
        <f>IF(ROUND(G13,2)=ROUND(SUM(G31:G33),2)," ","CHECK 2. 4-8 Lines Below")</f>
        <v xml:space="preserve"> </v>
      </c>
      <c r="N13" s="54">
        <v>5102</v>
      </c>
      <c r="O13" s="60" t="s">
        <v>35</v>
      </c>
      <c r="Q13" s="56"/>
      <c r="V13" s="402" t="s">
        <v>34</v>
      </c>
      <c r="W13" s="402"/>
      <c r="X13" s="392">
        <f>IF('0054'!K$84=1,'0054'!G13,0)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IF('0054'!K$84=1,'0054'!G14,0)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IF('0054'!K$84=1,'0054'!G15,0)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IF('0054'!K$84=1,'0054'!G16,0)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IF('0054'!K$84=1,'0054'!G17,0)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IF('0054'!K$84=1,'0054'!G18,0)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IF('0054'!K$84=1,'0054'!G19,0)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IF('0054'!K$84=1,'0054'!G20,0)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IF('0054'!K$84=1,'0054'!G21,0)</f>
        <v>0</v>
      </c>
      <c r="Y21" s="392"/>
      <c r="Z21" s="403">
        <v>1</v>
      </c>
      <c r="AA21" s="403"/>
      <c r="AB21" s="57">
        <f t="shared" si="0"/>
        <v>0</v>
      </c>
      <c r="AC21" s="58">
        <f t="shared" si="1"/>
        <v>0</v>
      </c>
      <c r="AD21" s="9"/>
    </row>
    <row r="22" spans="1:30" ht="16.2" x14ac:dyDescent="0.35">
      <c r="A22" s="1" t="s">
        <v>53</v>
      </c>
      <c r="B22" s="14" t="s">
        <v>54</v>
      </c>
      <c r="C22" s="14"/>
      <c r="D22" s="14">
        <v>1.23</v>
      </c>
      <c r="E22" s="14">
        <v>1.23</v>
      </c>
      <c r="F22" s="14">
        <v>0</v>
      </c>
      <c r="G22" s="49">
        <f t="shared" si="2"/>
        <v>2.46</v>
      </c>
      <c r="H22" s="50"/>
      <c r="I22" s="59">
        <v>1.147</v>
      </c>
      <c r="J22" s="59"/>
      <c r="K22" s="52">
        <f t="shared" si="3"/>
        <v>2.8216000000000001</v>
      </c>
      <c r="L22" s="53">
        <f t="shared" si="4"/>
        <v>11706</v>
      </c>
      <c r="N22" s="54">
        <v>5101</v>
      </c>
      <c r="O22" s="55">
        <v>130</v>
      </c>
      <c r="Q22" s="56"/>
      <c r="V22" s="402" t="s">
        <v>54</v>
      </c>
      <c r="W22" s="402"/>
      <c r="X22" s="392">
        <f>IF('0054'!K$84=1,'0054'!G22,0)</f>
        <v>0</v>
      </c>
      <c r="Y22" s="392"/>
      <c r="Z22" s="403">
        <v>1</v>
      </c>
      <c r="AA22" s="403"/>
      <c r="AB22" s="57">
        <f t="shared" si="0"/>
        <v>0</v>
      </c>
      <c r="AC22" s="58">
        <f t="shared" si="1"/>
        <v>0</v>
      </c>
      <c r="AD22" s="9"/>
    </row>
    <row r="23" spans="1:30" ht="16.2" x14ac:dyDescent="0.35">
      <c r="A23" s="1" t="s">
        <v>55</v>
      </c>
      <c r="B23" s="14" t="s">
        <v>56</v>
      </c>
      <c r="C23" s="14"/>
      <c r="D23" s="14">
        <v>0.41</v>
      </c>
      <c r="E23" s="14">
        <v>0.42</v>
      </c>
      <c r="F23" s="14">
        <v>0</v>
      </c>
      <c r="G23" s="49">
        <f t="shared" si="2"/>
        <v>0.83</v>
      </c>
      <c r="H23" s="50"/>
      <c r="I23" s="59">
        <f>I22</f>
        <v>1.147</v>
      </c>
      <c r="J23" s="59"/>
      <c r="K23" s="52">
        <f t="shared" si="3"/>
        <v>0.95199999999999996</v>
      </c>
      <c r="L23" s="53">
        <f t="shared" si="4"/>
        <v>3950</v>
      </c>
      <c r="N23" s="54">
        <v>5102</v>
      </c>
      <c r="O23" s="55">
        <v>130</v>
      </c>
      <c r="Q23" s="56"/>
      <c r="V23" s="402" t="s">
        <v>56</v>
      </c>
      <c r="W23" s="402"/>
      <c r="X23" s="392">
        <f>IF('0054'!K$84=1,'0054'!G23,0)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IF('0054'!K$84=1,'0054'!G24,0)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IF('0054'!K$84=1,'0054'!G25,0)</f>
        <v>0</v>
      </c>
      <c r="Y25" s="392"/>
      <c r="Z25" s="403">
        <v>1</v>
      </c>
      <c r="AA25" s="403"/>
      <c r="AB25" s="57">
        <f t="shared" si="0"/>
        <v>0</v>
      </c>
      <c r="AC25" s="58">
        <f t="shared" si="1"/>
        <v>0</v>
      </c>
      <c r="AD25" s="9"/>
    </row>
    <row r="26" spans="1:30" ht="20.25" customHeight="1" thickBot="1" x14ac:dyDescent="0.35">
      <c r="B26" s="63" t="s">
        <v>61</v>
      </c>
      <c r="C26" s="63"/>
      <c r="D26" s="64">
        <f t="shared" ref="D26:E26" si="5">SUM(D10:D25)</f>
        <v>51.919999999999995</v>
      </c>
      <c r="E26" s="64">
        <f t="shared" si="5"/>
        <v>50.99</v>
      </c>
      <c r="F26" s="64"/>
      <c r="G26" s="64">
        <f>SUM(G10:G25)</f>
        <v>102.91</v>
      </c>
      <c r="H26" s="65"/>
      <c r="I26" s="65"/>
      <c r="J26" s="66"/>
      <c r="K26" s="67">
        <f>SUM(K10:K25)</f>
        <v>111.95530000000001</v>
      </c>
      <c r="L26" s="68">
        <f>SUM(L10:L25)</f>
        <v>464469</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2</v>
      </c>
      <c r="E28" s="14">
        <v>2</v>
      </c>
      <c r="F28" s="79">
        <v>0</v>
      </c>
      <c r="G28" s="49">
        <f t="shared" ref="G28:G36" si="6">IF($B$154&lt;8,D28*2,D28+E28)</f>
        <v>4</v>
      </c>
      <c r="H28" s="80"/>
      <c r="I28" s="81" t="s">
        <v>69</v>
      </c>
      <c r="J28" s="54">
        <v>251</v>
      </c>
      <c r="K28" s="82">
        <v>1047</v>
      </c>
      <c r="L28" s="83">
        <f>ROUND(G28*K28,0)</f>
        <v>4188</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v>
      </c>
      <c r="E31" s="14">
        <v>2</v>
      </c>
      <c r="F31" s="90">
        <v>0</v>
      </c>
      <c r="G31" s="49">
        <f t="shared" si="6"/>
        <v>4</v>
      </c>
      <c r="H31" s="80"/>
      <c r="I31" s="91" t="s">
        <v>73</v>
      </c>
      <c r="J31" s="54">
        <v>251</v>
      </c>
      <c r="K31" s="82">
        <v>1173</v>
      </c>
      <c r="L31" s="83">
        <f t="shared" si="8"/>
        <v>4692</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v>
      </c>
      <c r="E37" s="64">
        <f t="shared" si="10"/>
        <v>4</v>
      </c>
      <c r="F37" s="64"/>
      <c r="G37" s="64">
        <f>SUM(G28:G36)</f>
        <v>8</v>
      </c>
      <c r="H37" s="65"/>
      <c r="I37" s="14" t="s">
        <v>81</v>
      </c>
      <c r="J37" s="14"/>
      <c r="K37" s="14"/>
      <c r="L37" s="53">
        <f>SUM(L28:L36)</f>
        <v>8880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19656</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493005</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79.333300000000008</v>
      </c>
      <c r="D47" s="123"/>
      <c r="E47" s="123"/>
      <c r="F47" s="123"/>
      <c r="G47" s="124">
        <f>K7</f>
        <v>1.0289999999999999</v>
      </c>
      <c r="H47" s="124"/>
      <c r="I47" s="125">
        <v>1325.01</v>
      </c>
      <c r="J47" s="126" t="s">
        <v>96</v>
      </c>
      <c r="K47" s="127">
        <f>ROUND(C47*G47*I47,0)</f>
        <v>108166</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32.622</v>
      </c>
      <c r="D48" s="123"/>
      <c r="E48" s="123"/>
      <c r="F48" s="123"/>
      <c r="G48" s="124">
        <f>K7</f>
        <v>1.0289999999999999</v>
      </c>
      <c r="H48" s="124"/>
      <c r="I48" s="125">
        <v>903.8</v>
      </c>
      <c r="J48" s="126" t="s">
        <v>96</v>
      </c>
      <c r="K48" s="127">
        <f>ROUND(C48*G48*I48,0)</f>
        <v>30339</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111.95530000000001</v>
      </c>
      <c r="D50" s="146"/>
      <c r="E50" s="147"/>
      <c r="F50" s="147"/>
      <c r="G50" s="148" t="s">
        <v>98</v>
      </c>
      <c r="H50" s="148"/>
      <c r="I50" s="148"/>
      <c r="J50" s="148"/>
      <c r="K50" s="148"/>
      <c r="L50" s="53">
        <f>IF(B2=75,0,K49+K48+K47)</f>
        <v>138505</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111.95530000000001</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5.6499999999999996E-4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102.91</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5.6700000000000001E-4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5.6499999999999996E-4</v>
      </c>
      <c r="L59" s="53">
        <f>ROUND(I59*K59,0)</f>
        <v>2390</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5.6499999999999996E-4</v>
      </c>
      <c r="L67" s="53">
        <f>ROUND(I67*K67,0)</f>
        <v>58590</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5.6700000000000001E-4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5.6499999999999996E-4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5.6499999999999996E-4</v>
      </c>
      <c r="L71" s="53">
        <f>ROUND(I71*K71,0)</f>
        <v>1054</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5.6700000000000001E-4</v>
      </c>
      <c r="L72" s="53">
        <f>ROUND(I72*K72,0)</f>
        <v>7918</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5.6700000000000001E-4</v>
      </c>
      <c r="L77" s="53">
        <f>ROUND(I77*K77,0)</f>
        <v>974</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5.6499999999999996E-4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702436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'0054'!AC81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702436</v>
      </c>
      <c r="L86" s="83">
        <f>IF(G26=0,0,IF(G26&gt;250,-(((250/G26)*K86)*IF(M86="H",0.02,0.05)),IF(M86="H",-0.02*K86,-0.05*K86)))</f>
        <v>-35121.800000000003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667314.19999999995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-55610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611704.19999999995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55609.472727272725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2.31481462833472E-5</v>
      </c>
      <c r="C135" s="227"/>
    </row>
    <row r="136" spans="1:5" hidden="1" x14ac:dyDescent="0.3">
      <c r="B136" s="228">
        <f>NvsEndTime</f>
        <v>41808.6022800926</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173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198</v>
      </c>
      <c r="C164" s="235" t="s">
        <v>244</v>
      </c>
      <c r="D164" s="231"/>
    </row>
    <row r="165" spans="1:4" hidden="1" x14ac:dyDescent="0.3">
      <c r="A165" s="230" t="s">
        <v>245</v>
      </c>
      <c r="B165" s="234" t="s">
        <v>200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2.31481462833472E-5</v>
      </c>
      <c r="D176" s="231"/>
    </row>
    <row r="177" spans="2:5" hidden="1" x14ac:dyDescent="0.3">
      <c r="B177" s="230" t="s">
        <v>260</v>
      </c>
      <c r="C177" s="238">
        <f>NvsEndTime</f>
        <v>41808.6022800926</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N2" s="3"/>
      <c r="O2" s="1"/>
      <c r="V2" s="8">
        <f>'4001'!B2</f>
        <v>50</v>
      </c>
      <c r="W2" s="380" t="s">
        <v>4</v>
      </c>
      <c r="X2" s="381"/>
      <c r="Y2" s="382"/>
      <c r="Z2" s="382"/>
      <c r="AA2" s="382"/>
      <c r="AB2" s="382"/>
      <c r="AC2" s="382"/>
      <c r="AD2" s="9"/>
    </row>
    <row r="3" spans="1:30" ht="20.399999999999999" x14ac:dyDescent="0.35">
      <c r="B3" s="10" t="s">
        <v>414</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'4001'!G7</f>
        <v>4031.77</v>
      </c>
      <c r="Y7" s="396"/>
      <c r="Z7" s="397" t="s">
        <v>12</v>
      </c>
      <c r="AA7" s="397"/>
      <c r="AB7" s="398">
        <f>+K7</f>
        <v>1.0289999999999999</v>
      </c>
      <c r="AC7" s="398"/>
      <c r="AD7" s="9"/>
    </row>
    <row r="8" spans="1:30" ht="51" customHeight="1" x14ac:dyDescent="0.3">
      <c r="B8" s="28" t="s">
        <v>13</v>
      </c>
      <c r="C8" s="28"/>
      <c r="D8" s="359" t="s">
        <v>514</v>
      </c>
      <c r="E8" s="30"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159.5</v>
      </c>
      <c r="E10" s="48"/>
      <c r="F10" s="48"/>
      <c r="G10" s="49">
        <f>IF(E10=0,D10*2,D10+E10)</f>
        <v>319</v>
      </c>
      <c r="H10" s="50"/>
      <c r="I10" s="51">
        <v>1.1259999999999999</v>
      </c>
      <c r="J10" s="51"/>
      <c r="K10" s="52">
        <f>ROUND(G10*I10,4)</f>
        <v>359.19400000000002</v>
      </c>
      <c r="L10" s="53">
        <f>ROUND(ROUND(K10*$G$7,4)*($K$7),0)</f>
        <v>1490185</v>
      </c>
      <c r="N10" s="54">
        <v>5101</v>
      </c>
      <c r="O10" s="55">
        <v>101</v>
      </c>
      <c r="Q10" s="56"/>
      <c r="V10" s="391" t="s">
        <v>27</v>
      </c>
      <c r="W10" s="391"/>
      <c r="X10" s="392">
        <f>IF('4001'!K$84=1,'4001'!G10,0)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IF('4001'!K$84=1,'4001'!G11,0)</f>
        <v>0</v>
      </c>
      <c r="Y11" s="392"/>
      <c r="Z11" s="403">
        <v>1</v>
      </c>
      <c r="AA11" s="403"/>
      <c r="AB11" s="57">
        <f t="shared" si="0"/>
        <v>0</v>
      </c>
      <c r="AC11" s="58">
        <f t="shared" si="1"/>
        <v>0</v>
      </c>
      <c r="AD11" s="9"/>
    </row>
    <row r="12" spans="1:30" x14ac:dyDescent="0.3">
      <c r="A12" s="1" t="s">
        <v>31</v>
      </c>
      <c r="B12" s="14" t="s">
        <v>32</v>
      </c>
      <c r="C12" s="14"/>
      <c r="D12" s="14">
        <v>78.5</v>
      </c>
      <c r="E12" s="14"/>
      <c r="F12" s="14"/>
      <c r="G12" s="49">
        <f t="shared" si="2"/>
        <v>157</v>
      </c>
      <c r="H12" s="50"/>
      <c r="I12" s="59">
        <v>1</v>
      </c>
      <c r="J12" s="59"/>
      <c r="K12" s="52">
        <f t="shared" si="3"/>
        <v>157</v>
      </c>
      <c r="L12" s="53">
        <f t="shared" si="4"/>
        <v>651345</v>
      </c>
      <c r="N12" s="54">
        <v>5102</v>
      </c>
      <c r="O12" s="55">
        <v>102</v>
      </c>
      <c r="Q12" s="56"/>
      <c r="V12" s="402" t="s">
        <v>32</v>
      </c>
      <c r="W12" s="402"/>
      <c r="X12" s="392">
        <f>IF('4001'!K$84=1,'4001'!G12,0)</f>
        <v>0</v>
      </c>
      <c r="Y12" s="392"/>
      <c r="Z12" s="403">
        <v>1</v>
      </c>
      <c r="AA12" s="403"/>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IF('4001'!K$84=1,'4001'!G13,0)</f>
        <v>0</v>
      </c>
      <c r="Y13" s="392"/>
      <c r="Z13" s="403">
        <v>1</v>
      </c>
      <c r="AA13" s="403"/>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402" t="s">
        <v>37</v>
      </c>
      <c r="W14" s="402"/>
      <c r="X14" s="392">
        <f>IF('4001'!K$84=1,'4001'!G14,0)</f>
        <v>0</v>
      </c>
      <c r="Y14" s="392"/>
      <c r="Z14" s="403">
        <v>1</v>
      </c>
      <c r="AA14" s="403"/>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IF('4001'!K$84=1,'4001'!G15,0)</f>
        <v>0</v>
      </c>
      <c r="Y15" s="392"/>
      <c r="Z15" s="403">
        <v>1</v>
      </c>
      <c r="AA15" s="403"/>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402" t="s">
        <v>42</v>
      </c>
      <c r="W16" s="402"/>
      <c r="X16" s="392">
        <f>IF('4001'!K$84=1,'4001'!G16,0)</f>
        <v>0</v>
      </c>
      <c r="Y16" s="392"/>
      <c r="Z16" s="403">
        <v>1</v>
      </c>
      <c r="AA16" s="403"/>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402" t="s">
        <v>44</v>
      </c>
      <c r="W17" s="402"/>
      <c r="X17" s="392">
        <f>IF('4001'!K$84=1,'4001'!G17,0)</f>
        <v>0</v>
      </c>
      <c r="Y17" s="392"/>
      <c r="Z17" s="403">
        <v>1</v>
      </c>
      <c r="AA17" s="403"/>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402" t="s">
        <v>46</v>
      </c>
      <c r="W18" s="402"/>
      <c r="X18" s="392">
        <f>IF('4001'!K$84=1,'4001'!G18,0)</f>
        <v>0</v>
      </c>
      <c r="Y18" s="392"/>
      <c r="Z18" s="403">
        <v>1</v>
      </c>
      <c r="AA18" s="403"/>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402" t="s">
        <v>48</v>
      </c>
      <c r="W19" s="402"/>
      <c r="X19" s="392">
        <f>IF('4001'!K$84=1,'4001'!G19,0)</f>
        <v>0</v>
      </c>
      <c r="Y19" s="392"/>
      <c r="Z19" s="403">
        <v>1</v>
      </c>
      <c r="AA19" s="403"/>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402" t="s">
        <v>50</v>
      </c>
      <c r="W20" s="402"/>
      <c r="X20" s="392">
        <f>IF('4001'!K$84=1,'4001'!G20,0)</f>
        <v>0</v>
      </c>
      <c r="Y20" s="392"/>
      <c r="Z20" s="403">
        <v>1</v>
      </c>
      <c r="AA20" s="403"/>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402" t="s">
        <v>52</v>
      </c>
      <c r="W21" s="402"/>
      <c r="X21" s="392">
        <f>IF('4001'!K$84=1,'4001'!G21,0)</f>
        <v>0</v>
      </c>
      <c r="Y21" s="392"/>
      <c r="Z21" s="403">
        <v>1</v>
      </c>
      <c r="AA21" s="403"/>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402" t="s">
        <v>54</v>
      </c>
      <c r="W22" s="402"/>
      <c r="X22" s="392">
        <f>IF('4001'!K$84=1,'4001'!G22,0)</f>
        <v>0</v>
      </c>
      <c r="Y22" s="392"/>
      <c r="Z22" s="403">
        <v>1</v>
      </c>
      <c r="AA22" s="403"/>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402" t="s">
        <v>56</v>
      </c>
      <c r="W23" s="402"/>
      <c r="X23" s="392">
        <f>IF('4001'!K$84=1,'4001'!G23,0)</f>
        <v>0</v>
      </c>
      <c r="Y23" s="392"/>
      <c r="Z23" s="403">
        <v>1</v>
      </c>
      <c r="AA23" s="403"/>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402" t="s">
        <v>58</v>
      </c>
      <c r="W24" s="402"/>
      <c r="X24" s="392">
        <f>IF('4001'!K$84=1,'4001'!G24,0)</f>
        <v>0</v>
      </c>
      <c r="Y24" s="392"/>
      <c r="Z24" s="403">
        <v>1</v>
      </c>
      <c r="AA24" s="403"/>
      <c r="AB24" s="57">
        <f t="shared" si="0"/>
        <v>0</v>
      </c>
      <c r="AC24" s="58">
        <f t="shared" si="1"/>
        <v>0</v>
      </c>
      <c r="AD24" s="9"/>
    </row>
    <row r="25" spans="1:30" ht="16.8" thickBot="1" x14ac:dyDescent="0.4">
      <c r="A25" s="1" t="s">
        <v>59</v>
      </c>
      <c r="B25" s="14" t="s">
        <v>60</v>
      </c>
      <c r="C25" s="14"/>
      <c r="D25" s="14">
        <v>0</v>
      </c>
      <c r="E25" s="14"/>
      <c r="F25" s="14"/>
      <c r="G25" s="248">
        <f t="shared" si="2"/>
        <v>0</v>
      </c>
      <c r="H25" s="50"/>
      <c r="I25" s="59">
        <v>1.004</v>
      </c>
      <c r="J25" s="59"/>
      <c r="K25" s="52">
        <f t="shared" si="3"/>
        <v>0</v>
      </c>
      <c r="L25" s="53">
        <f t="shared" si="4"/>
        <v>0</v>
      </c>
      <c r="N25" s="54">
        <v>5310</v>
      </c>
      <c r="O25" s="55">
        <v>300</v>
      </c>
      <c r="Q25" s="56"/>
      <c r="V25" s="402" t="s">
        <v>60</v>
      </c>
      <c r="W25" s="402"/>
      <c r="X25" s="392">
        <f>IF('4001'!K$84=1,'4001'!G25,0)</f>
        <v>0</v>
      </c>
      <c r="Y25" s="392"/>
      <c r="Z25" s="403">
        <v>1</v>
      </c>
      <c r="AA25" s="403"/>
      <c r="AB25" s="57">
        <f t="shared" si="0"/>
        <v>0</v>
      </c>
      <c r="AC25" s="58">
        <f t="shared" si="1"/>
        <v>0</v>
      </c>
      <c r="AD25" s="9"/>
    </row>
    <row r="26" spans="1:30" ht="20.25" customHeight="1" thickBot="1" x14ac:dyDescent="0.35">
      <c r="B26" s="63" t="s">
        <v>61</v>
      </c>
      <c r="C26" s="63"/>
      <c r="D26" s="64">
        <f t="shared" ref="D26:E26" si="5">SUM(D10:D25)</f>
        <v>238</v>
      </c>
      <c r="E26" s="64">
        <f t="shared" si="5"/>
        <v>0</v>
      </c>
      <c r="F26" s="64"/>
      <c r="G26" s="64">
        <f>SUM(G10:G25)</f>
        <v>476</v>
      </c>
      <c r="H26" s="65"/>
      <c r="I26" s="65"/>
      <c r="J26" s="66"/>
      <c r="K26" s="67">
        <f>SUM(K10:K25)</f>
        <v>516.19399999999996</v>
      </c>
      <c r="L26" s="68">
        <f>SUM(L10:L25)</f>
        <v>2141530</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371" t="s">
        <v>514</v>
      </c>
      <c r="E27" s="371"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c r="F28" s="79"/>
      <c r="G28" s="49">
        <f>IF(E28=0,D28*2,D28+E28)</f>
        <v>0</v>
      </c>
      <c r="H28" s="80"/>
      <c r="I28" s="81" t="s">
        <v>69</v>
      </c>
      <c r="J28" s="54">
        <v>251</v>
      </c>
      <c r="K28" s="82">
        <v>1047</v>
      </c>
      <c r="L28" s="83">
        <f>ROUND(G28*K28,0)</f>
        <v>0</v>
      </c>
      <c r="N28" s="13">
        <v>5101</v>
      </c>
      <c r="O28" s="56">
        <v>251</v>
      </c>
      <c r="P28" s="84"/>
      <c r="Q28" s="85"/>
      <c r="V28" s="416" t="s">
        <v>68</v>
      </c>
      <c r="W28" s="416"/>
      <c r="X28" s="417"/>
      <c r="Y28" s="417"/>
      <c r="Z28" s="86" t="s">
        <v>69</v>
      </c>
      <c r="AA28" s="87">
        <v>251</v>
      </c>
      <c r="AB28" s="88">
        <f>+K28</f>
        <v>1047</v>
      </c>
      <c r="AC28" s="89">
        <f t="shared" ref="AC28:AC36" si="6">ROUND(X28*AB28,0)</f>
        <v>0</v>
      </c>
      <c r="AD28" s="9"/>
    </row>
    <row r="29" spans="1:30" x14ac:dyDescent="0.3">
      <c r="A29" s="1" t="s">
        <v>70</v>
      </c>
      <c r="B29" s="412"/>
      <c r="C29" s="413"/>
      <c r="D29" s="14">
        <v>0</v>
      </c>
      <c r="E29" s="14"/>
      <c r="F29" s="90"/>
      <c r="G29" s="49">
        <f t="shared" ref="G29:G36" si="7">IF(E29=0,D29*2,D29+E29)</f>
        <v>0</v>
      </c>
      <c r="H29" s="80"/>
      <c r="I29" s="54" t="s">
        <v>69</v>
      </c>
      <c r="J29" s="54">
        <v>252</v>
      </c>
      <c r="K29" s="82">
        <v>3380</v>
      </c>
      <c r="L29" s="83">
        <f t="shared" ref="L29:L36" si="8">ROUND(G29*K29,0)</f>
        <v>0</v>
      </c>
      <c r="N29" s="13">
        <v>5101</v>
      </c>
      <c r="O29" s="56">
        <v>252</v>
      </c>
      <c r="P29" s="84"/>
      <c r="Q29" s="85"/>
      <c r="V29" s="416"/>
      <c r="W29" s="416"/>
      <c r="X29" s="417"/>
      <c r="Y29" s="417"/>
      <c r="Z29" s="87" t="s">
        <v>69</v>
      </c>
      <c r="AA29" s="87">
        <v>252</v>
      </c>
      <c r="AB29" s="88">
        <f t="shared" ref="AB29:AB36" si="9">+K29</f>
        <v>3380</v>
      </c>
      <c r="AC29" s="89">
        <f t="shared" si="6"/>
        <v>0</v>
      </c>
      <c r="AD29" s="9"/>
    </row>
    <row r="30" spans="1:30" x14ac:dyDescent="0.3">
      <c r="A30" s="1" t="s">
        <v>71</v>
      </c>
      <c r="B30" s="412"/>
      <c r="C30" s="413"/>
      <c r="D30" s="14">
        <v>0</v>
      </c>
      <c r="E30" s="14"/>
      <c r="F30" s="90"/>
      <c r="G30" s="49">
        <f t="shared" si="7"/>
        <v>0</v>
      </c>
      <c r="H30" s="80"/>
      <c r="I30" s="54" t="s">
        <v>69</v>
      </c>
      <c r="J30" s="54">
        <v>253</v>
      </c>
      <c r="K30" s="82">
        <v>6896</v>
      </c>
      <c r="L30" s="83">
        <f t="shared" si="8"/>
        <v>0</v>
      </c>
      <c r="N30" s="13">
        <v>5101</v>
      </c>
      <c r="O30" s="56">
        <v>253</v>
      </c>
      <c r="P30" s="84"/>
      <c r="Q30" s="69"/>
      <c r="V30" s="416"/>
      <c r="W30" s="416"/>
      <c r="X30" s="417"/>
      <c r="Y30" s="417"/>
      <c r="Z30" s="87" t="s">
        <v>69</v>
      </c>
      <c r="AA30" s="87">
        <v>253</v>
      </c>
      <c r="AB30" s="88">
        <f t="shared" si="9"/>
        <v>6896</v>
      </c>
      <c r="AC30" s="89">
        <f t="shared" si="6"/>
        <v>0</v>
      </c>
      <c r="AD30" s="9"/>
    </row>
    <row r="31" spans="1:30" x14ac:dyDescent="0.3">
      <c r="A31" s="1" t="s">
        <v>72</v>
      </c>
      <c r="B31" s="412"/>
      <c r="C31" s="413"/>
      <c r="D31" s="14">
        <v>0</v>
      </c>
      <c r="E31" s="14"/>
      <c r="F31" s="90"/>
      <c r="G31" s="49">
        <f t="shared" si="7"/>
        <v>0</v>
      </c>
      <c r="H31" s="80"/>
      <c r="I31" s="91" t="s">
        <v>73</v>
      </c>
      <c r="J31" s="54">
        <v>251</v>
      </c>
      <c r="K31" s="82">
        <v>1173</v>
      </c>
      <c r="L31" s="83">
        <f t="shared" si="8"/>
        <v>0</v>
      </c>
      <c r="N31" s="13">
        <v>5102</v>
      </c>
      <c r="O31" s="56">
        <v>251</v>
      </c>
      <c r="P31" s="84"/>
      <c r="Q31" s="69"/>
      <c r="V31" s="416"/>
      <c r="W31" s="416"/>
      <c r="X31" s="417"/>
      <c r="Y31" s="417"/>
      <c r="Z31" s="92" t="s">
        <v>73</v>
      </c>
      <c r="AA31" s="87">
        <v>251</v>
      </c>
      <c r="AB31" s="88">
        <f t="shared" si="9"/>
        <v>1173</v>
      </c>
      <c r="AC31" s="89">
        <f t="shared" si="6"/>
        <v>0</v>
      </c>
      <c r="AD31" s="9"/>
    </row>
    <row r="32" spans="1:30" x14ac:dyDescent="0.3">
      <c r="A32" s="1" t="s">
        <v>74</v>
      </c>
      <c r="B32" s="412"/>
      <c r="C32" s="413"/>
      <c r="D32" s="14">
        <v>0</v>
      </c>
      <c r="E32" s="14"/>
      <c r="F32" s="90"/>
      <c r="G32" s="49">
        <f t="shared" si="7"/>
        <v>0</v>
      </c>
      <c r="H32" s="80"/>
      <c r="I32" s="91" t="s">
        <v>73</v>
      </c>
      <c r="J32" s="54">
        <v>252</v>
      </c>
      <c r="K32" s="82">
        <v>3506</v>
      </c>
      <c r="L32" s="83">
        <f t="shared" si="8"/>
        <v>0</v>
      </c>
      <c r="N32" s="13">
        <v>5102</v>
      </c>
      <c r="O32" s="56">
        <v>252</v>
      </c>
      <c r="P32" s="84"/>
      <c r="Q32" s="56"/>
      <c r="V32" s="416"/>
      <c r="W32" s="416"/>
      <c r="X32" s="417"/>
      <c r="Y32" s="417"/>
      <c r="Z32" s="92" t="s">
        <v>73</v>
      </c>
      <c r="AA32" s="87">
        <v>252</v>
      </c>
      <c r="AB32" s="88">
        <f t="shared" si="9"/>
        <v>3506</v>
      </c>
      <c r="AC32" s="89">
        <f t="shared" si="6"/>
        <v>0</v>
      </c>
      <c r="AD32" s="9"/>
    </row>
    <row r="33" spans="1:30" x14ac:dyDescent="0.3">
      <c r="A33" s="1" t="s">
        <v>75</v>
      </c>
      <c r="B33" s="412"/>
      <c r="C33" s="413"/>
      <c r="D33" s="14">
        <v>0</v>
      </c>
      <c r="E33" s="14"/>
      <c r="F33" s="90"/>
      <c r="G33" s="49">
        <f t="shared" si="7"/>
        <v>0</v>
      </c>
      <c r="H33" s="80"/>
      <c r="I33" s="91" t="s">
        <v>73</v>
      </c>
      <c r="J33" s="54">
        <v>253</v>
      </c>
      <c r="K33" s="82">
        <v>7023</v>
      </c>
      <c r="L33" s="83">
        <f t="shared" si="8"/>
        <v>0</v>
      </c>
      <c r="N33" s="13">
        <v>5102</v>
      </c>
      <c r="O33" s="56">
        <v>253</v>
      </c>
      <c r="P33" s="84"/>
      <c r="Q33" s="85"/>
      <c r="V33" s="416"/>
      <c r="W33" s="416"/>
      <c r="X33" s="417"/>
      <c r="Y33" s="417"/>
      <c r="Z33" s="92" t="s">
        <v>73</v>
      </c>
      <c r="AA33" s="87">
        <v>253</v>
      </c>
      <c r="AB33" s="88">
        <f t="shared" si="9"/>
        <v>7023</v>
      </c>
      <c r="AC33" s="89">
        <f t="shared" si="6"/>
        <v>0</v>
      </c>
      <c r="AD33" s="9"/>
    </row>
    <row r="34" spans="1:30" x14ac:dyDescent="0.3">
      <c r="A34" s="1" t="s">
        <v>76</v>
      </c>
      <c r="B34" s="412"/>
      <c r="C34" s="413"/>
      <c r="D34" s="14">
        <v>0</v>
      </c>
      <c r="E34" s="14"/>
      <c r="F34" s="90"/>
      <c r="G34" s="49">
        <f t="shared" si="7"/>
        <v>0</v>
      </c>
      <c r="H34" s="80"/>
      <c r="I34" s="91" t="s">
        <v>77</v>
      </c>
      <c r="J34" s="54">
        <v>251</v>
      </c>
      <c r="K34" s="82">
        <v>835</v>
      </c>
      <c r="L34" s="83">
        <f t="shared" si="8"/>
        <v>0</v>
      </c>
      <c r="N34" s="13">
        <v>5103</v>
      </c>
      <c r="O34" s="56">
        <v>251</v>
      </c>
      <c r="P34" s="84"/>
      <c r="Q34" s="85"/>
      <c r="V34" s="416"/>
      <c r="W34" s="416"/>
      <c r="X34" s="417"/>
      <c r="Y34" s="417"/>
      <c r="Z34" s="92" t="s">
        <v>77</v>
      </c>
      <c r="AA34" s="87">
        <v>251</v>
      </c>
      <c r="AB34" s="88">
        <f t="shared" si="9"/>
        <v>835</v>
      </c>
      <c r="AC34" s="89">
        <f t="shared" si="6"/>
        <v>0</v>
      </c>
      <c r="AD34" s="9"/>
    </row>
    <row r="35" spans="1:30" x14ac:dyDescent="0.3">
      <c r="A35" s="1" t="s">
        <v>78</v>
      </c>
      <c r="B35" s="412"/>
      <c r="C35" s="413"/>
      <c r="D35" s="14">
        <v>0</v>
      </c>
      <c r="E35" s="14"/>
      <c r="F35" s="90"/>
      <c r="G35" s="49">
        <f t="shared" si="7"/>
        <v>0</v>
      </c>
      <c r="H35" s="80"/>
      <c r="I35" s="91" t="s">
        <v>77</v>
      </c>
      <c r="J35" s="54">
        <v>252</v>
      </c>
      <c r="K35" s="82">
        <v>3168</v>
      </c>
      <c r="L35" s="83">
        <f t="shared" si="8"/>
        <v>0</v>
      </c>
      <c r="N35" s="13">
        <v>5103</v>
      </c>
      <c r="O35" s="56">
        <v>252</v>
      </c>
      <c r="P35" s="84"/>
      <c r="Q35" s="93"/>
      <c r="V35" s="416"/>
      <c r="W35" s="416"/>
      <c r="X35" s="417"/>
      <c r="Y35" s="417"/>
      <c r="Z35" s="92" t="s">
        <v>77</v>
      </c>
      <c r="AA35" s="87">
        <v>252</v>
      </c>
      <c r="AB35" s="88">
        <f t="shared" si="9"/>
        <v>3168</v>
      </c>
      <c r="AC35" s="89">
        <f t="shared" si="6"/>
        <v>0</v>
      </c>
      <c r="AD35" s="9"/>
    </row>
    <row r="36" spans="1:30" ht="16.2" thickBot="1" x14ac:dyDescent="0.35">
      <c r="A36" s="1" t="s">
        <v>79</v>
      </c>
      <c r="B36" s="414"/>
      <c r="C36" s="415"/>
      <c r="D36" s="14">
        <v>0</v>
      </c>
      <c r="E36" s="14"/>
      <c r="F36" s="90"/>
      <c r="G36" s="49">
        <f t="shared" si="7"/>
        <v>0</v>
      </c>
      <c r="H36" s="80"/>
      <c r="I36" s="91" t="s">
        <v>77</v>
      </c>
      <c r="J36" s="54">
        <v>253</v>
      </c>
      <c r="K36" s="82">
        <v>6685</v>
      </c>
      <c r="L36" s="94">
        <f t="shared" si="8"/>
        <v>0</v>
      </c>
      <c r="N36" s="13">
        <v>5103</v>
      </c>
      <c r="O36" s="56">
        <v>253</v>
      </c>
      <c r="P36" s="84"/>
      <c r="Q36" s="95"/>
      <c r="V36" s="416"/>
      <c r="W36" s="416"/>
      <c r="X36" s="424"/>
      <c r="Y36" s="424"/>
      <c r="Z36" s="92" t="s">
        <v>77</v>
      </c>
      <c r="AA36" s="8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90916</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2232446</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1" t="s">
        <v>91</v>
      </c>
      <c r="X46" s="434" t="s">
        <v>94</v>
      </c>
      <c r="Y46" s="434"/>
      <c r="Z46" s="435" t="s">
        <v>93</v>
      </c>
      <c r="AA46" s="435"/>
      <c r="AB46" s="435"/>
      <c r="AC46" s="435"/>
      <c r="AD46" s="122"/>
    </row>
    <row r="47" spans="1:30" ht="18.75" customHeight="1" x14ac:dyDescent="0.3">
      <c r="B47" s="104" t="s">
        <v>95</v>
      </c>
      <c r="C47" s="123">
        <f>K10+K11+K16+K19+K22</f>
        <v>359.19400000000002</v>
      </c>
      <c r="D47" s="123"/>
      <c r="E47" s="123"/>
      <c r="F47" s="123"/>
      <c r="G47" s="124">
        <f>K7</f>
        <v>1.0289999999999999</v>
      </c>
      <c r="H47" s="124"/>
      <c r="I47" s="125">
        <v>1325.01</v>
      </c>
      <c r="J47" s="126" t="s">
        <v>96</v>
      </c>
      <c r="K47" s="127">
        <f>ROUND(C47*G47*I47,0)</f>
        <v>489738</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157</v>
      </c>
      <c r="D48" s="123"/>
      <c r="E48" s="123"/>
      <c r="F48" s="123"/>
      <c r="G48" s="124">
        <f>K7</f>
        <v>1.0289999999999999</v>
      </c>
      <c r="H48" s="124"/>
      <c r="I48" s="125">
        <v>903.8</v>
      </c>
      <c r="J48" s="126" t="s">
        <v>96</v>
      </c>
      <c r="K48" s="127">
        <f>ROUND(C48*G48*I48,0)</f>
        <v>146012</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516.19399999999996</v>
      </c>
      <c r="D50" s="146"/>
      <c r="E50" s="147"/>
      <c r="F50" s="147"/>
      <c r="G50" s="148" t="s">
        <v>98</v>
      </c>
      <c r="H50" s="148"/>
      <c r="I50" s="148"/>
      <c r="J50" s="148"/>
      <c r="K50" s="148"/>
      <c r="L50" s="53">
        <f>IF(B2=75,0,K49+K48+K47)</f>
        <v>635750</v>
      </c>
      <c r="N50" s="3"/>
      <c r="O50" s="1"/>
      <c r="V50" s="151"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516.19399999999996</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2.6059999999999998E-3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476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2.624E-3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2.6059999999999998E-3</v>
      </c>
      <c r="L59" s="53">
        <f>ROUND(I59*K59,0)</f>
        <v>11026</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2.6059999999999998E-3</v>
      </c>
      <c r="L67" s="53">
        <f>ROUND(I67*K67,0)</f>
        <v>270239</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2.624E-3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2.6059999999999998E-3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2.6059999999999998E-3</v>
      </c>
      <c r="L71" s="53">
        <f>ROUND(I71*K71,0)</f>
        <v>4862</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2.624E-3</v>
      </c>
      <c r="L72" s="53">
        <f>ROUND(I72*K72,0)</f>
        <v>36641</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25</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2.624E-3</v>
      </c>
      <c r="L77" s="53">
        <f>ROUND(I77*K77,0)</f>
        <v>4505</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2.6059999999999998E-3</v>
      </c>
      <c r="L78" s="53">
        <f>ROUND(I78*K78,0)</f>
        <v>0</v>
      </c>
      <c r="O78" s="1"/>
      <c r="V78" s="430" t="str">
        <f t="shared" ref="V78:V79"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f t="shared" si="11"/>
        <v>0</v>
      </c>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3195469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'4001'!AC81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13" t="s">
        <v>148</v>
      </c>
      <c r="C86" s="14"/>
      <c r="D86" s="14"/>
      <c r="E86" s="14"/>
      <c r="F86" s="14"/>
      <c r="G86" s="14"/>
      <c r="H86" s="14"/>
      <c r="I86" s="14"/>
      <c r="J86" s="206" t="s">
        <v>149</v>
      </c>
      <c r="K86" s="207">
        <f>IF(K84=1,L84,L82)</f>
        <v>3195469</v>
      </c>
      <c r="L86" s="83">
        <f>IF(G26=0,0,IF(G26&gt;250,-(((250/G26)*K86)*IF(M86="H",0.02,0.05)),IF(M86="H",-0.02*K86,-0.05*K86)))</f>
        <v>-83914.627100840342</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13" t="s">
        <v>151</v>
      </c>
      <c r="C87" s="14"/>
      <c r="D87" s="14"/>
      <c r="E87" s="14"/>
      <c r="F87" s="14"/>
      <c r="G87" s="14"/>
      <c r="H87" s="14"/>
      <c r="I87" s="14"/>
      <c r="J87" s="14"/>
      <c r="K87" s="208"/>
      <c r="L87" s="202">
        <f>L82+L86</f>
        <v>3111554.3728991598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v>-148481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2963073.3728991598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269370.30662719632</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75858.82289915967</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386</v>
      </c>
      <c r="C109" s="221" t="s">
        <v>178</v>
      </c>
      <c r="V109" s="220"/>
    </row>
    <row r="110" spans="2:30" hidden="1" x14ac:dyDescent="0.3">
      <c r="B110" s="227"/>
      <c r="C110" s="221"/>
      <c r="V110" s="220"/>
    </row>
    <row r="111" spans="2:30" hidden="1" x14ac:dyDescent="0.3">
      <c r="B111" s="225" t="s">
        <v>387</v>
      </c>
      <c r="C111" s="221" t="s">
        <v>180</v>
      </c>
      <c r="V111" s="220"/>
    </row>
    <row r="112" spans="2:30" hidden="1" x14ac:dyDescent="0.3">
      <c r="B112" s="225" t="s">
        <v>387</v>
      </c>
      <c r="C112" s="221" t="s">
        <v>181</v>
      </c>
    </row>
    <row r="113" spans="2:3" hidden="1" x14ac:dyDescent="0.3">
      <c r="B113" s="225" t="s">
        <v>285</v>
      </c>
      <c r="C113" s="221" t="s">
        <v>183</v>
      </c>
    </row>
    <row r="114" spans="2:3" hidden="1" x14ac:dyDescent="0.3">
      <c r="B114" s="225" t="s">
        <v>388</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hidden="1" x14ac:dyDescent="0.3">
      <c r="B139" s="221"/>
      <c r="C139" s="221"/>
    </row>
    <row r="140" spans="2:3" hidden="1" x14ac:dyDescent="0.3">
      <c r="B140" s="221"/>
      <c r="C140" s="221"/>
    </row>
    <row r="141" spans="2:3" hidden="1" x14ac:dyDescent="0.3">
      <c r="B141" s="221"/>
      <c r="C141" s="221"/>
    </row>
    <row r="142" spans="2:3" hidden="1" x14ac:dyDescent="0.3">
      <c r="B142" s="221"/>
      <c r="C142" s="221"/>
    </row>
    <row r="143" spans="2:3" hidden="1" x14ac:dyDescent="0.3">
      <c r="B143" s="221"/>
      <c r="C143" s="221"/>
    </row>
    <row r="144" spans="2:3" hidden="1" x14ac:dyDescent="0.3">
      <c r="B144" s="221"/>
      <c r="C144" s="221"/>
    </row>
    <row r="145" spans="2:3" hidden="1" x14ac:dyDescent="0.3">
      <c r="B145" s="221"/>
      <c r="C145" s="221"/>
    </row>
    <row r="146" spans="2:3" hidden="1" x14ac:dyDescent="0.3">
      <c r="B146" s="221"/>
      <c r="C146" s="221"/>
    </row>
    <row r="147" spans="2:3" hidden="1" x14ac:dyDescent="0.3">
      <c r="B147" s="221"/>
      <c r="C147" s="221"/>
    </row>
    <row r="148" spans="2:3" hidden="1" x14ac:dyDescent="0.3">
      <c r="B148" s="221"/>
      <c r="C148" s="221"/>
    </row>
    <row r="149" spans="2:3" hidden="1" x14ac:dyDescent="0.3">
      <c r="B149" s="221"/>
      <c r="C149" s="221"/>
    </row>
    <row r="150" spans="2:3" hidden="1" x14ac:dyDescent="0.3">
      <c r="B150" s="221"/>
      <c r="C150" s="221"/>
    </row>
    <row r="151" spans="2:3" hidden="1" x14ac:dyDescent="0.3">
      <c r="B151" s="221"/>
      <c r="C151" s="221"/>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'4002'!B2</f>
        <v>50</v>
      </c>
      <c r="W2" s="380" t="s">
        <v>4</v>
      </c>
      <c r="X2" s="381"/>
      <c r="Y2" s="382"/>
      <c r="Z2" s="382"/>
      <c r="AA2" s="382"/>
      <c r="AB2" s="382"/>
      <c r="AC2" s="382"/>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'4002'!G7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128.01</v>
      </c>
      <c r="E10" s="48">
        <v>130.69999999999999</v>
      </c>
      <c r="F10" s="48">
        <v>0</v>
      </c>
      <c r="G10" s="49">
        <f>IF($B$154&lt;8,D10*2,D10+E10)</f>
        <v>258.70999999999998</v>
      </c>
      <c r="H10" s="50"/>
      <c r="I10" s="51">
        <v>1.1259999999999999</v>
      </c>
      <c r="J10" s="51"/>
      <c r="K10" s="52">
        <f>ROUND(G10*I10,4)</f>
        <v>291.3075</v>
      </c>
      <c r="L10" s="53">
        <f>ROUND(ROUND(K10*$G$7,4)*($K$7),0)</f>
        <v>1208545</v>
      </c>
      <c r="N10" s="54">
        <v>5101</v>
      </c>
      <c r="O10" s="55">
        <v>101</v>
      </c>
      <c r="Q10" s="56"/>
      <c r="V10" s="391" t="s">
        <v>27</v>
      </c>
      <c r="W10" s="391"/>
      <c r="X10" s="392">
        <f>IF('4002'!K$84=1,'4002'!G10,0)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16.34</v>
      </c>
      <c r="E11" s="14">
        <v>19.45</v>
      </c>
      <c r="F11" s="14">
        <v>0</v>
      </c>
      <c r="G11" s="49">
        <f t="shared" ref="G11:G25" si="2">IF($B$154&lt;8,D11*2,D11+E11)</f>
        <v>35.79</v>
      </c>
      <c r="H11" s="50"/>
      <c r="I11" s="59">
        <f>I10</f>
        <v>1.1259999999999999</v>
      </c>
      <c r="J11" s="59"/>
      <c r="K11" s="52">
        <f t="shared" ref="K11:K25" si="3">ROUND(G11*I11,4)</f>
        <v>40.299500000000002</v>
      </c>
      <c r="L11" s="53">
        <f t="shared" ref="L11:L25" si="4">ROUND(ROUND(K11*$G$7,4)*($K$7),0)</f>
        <v>167190</v>
      </c>
      <c r="M11" s="1" t="str">
        <f>IF(ROUND(G11,2)=ROUND(SUM(G28:G30),2)," ","CHECK 2. PK-3 Lines Below")</f>
        <v xml:space="preserve"> </v>
      </c>
      <c r="N11" s="54">
        <v>5101</v>
      </c>
      <c r="O11" s="60" t="s">
        <v>30</v>
      </c>
      <c r="Q11" s="56"/>
      <c r="V11" s="402" t="s">
        <v>29</v>
      </c>
      <c r="W11" s="402"/>
      <c r="X11" s="392">
        <f>IF('4002'!K$84=1,'4002'!G11,0)</f>
        <v>0</v>
      </c>
      <c r="Y11" s="392"/>
      <c r="Z11" s="403">
        <v>1</v>
      </c>
      <c r="AA11" s="403"/>
      <c r="AB11" s="57">
        <f t="shared" si="0"/>
        <v>0</v>
      </c>
      <c r="AC11" s="58">
        <f t="shared" si="1"/>
        <v>0</v>
      </c>
      <c r="AD11" s="9"/>
    </row>
    <row r="12" spans="1:30" x14ac:dyDescent="0.3">
      <c r="A12" s="1" t="s">
        <v>31</v>
      </c>
      <c r="B12" s="14" t="s">
        <v>32</v>
      </c>
      <c r="C12" s="14"/>
      <c r="D12" s="14">
        <v>100.15</v>
      </c>
      <c r="E12" s="14">
        <v>100.25</v>
      </c>
      <c r="F12" s="14">
        <v>0</v>
      </c>
      <c r="G12" s="49">
        <f t="shared" si="2"/>
        <v>200.4</v>
      </c>
      <c r="H12" s="50"/>
      <c r="I12" s="59">
        <v>1</v>
      </c>
      <c r="J12" s="59"/>
      <c r="K12" s="52">
        <f t="shared" si="3"/>
        <v>200.4</v>
      </c>
      <c r="L12" s="53">
        <f t="shared" si="4"/>
        <v>831398</v>
      </c>
      <c r="N12" s="54">
        <v>5102</v>
      </c>
      <c r="O12" s="55">
        <v>102</v>
      </c>
      <c r="Q12" s="56"/>
      <c r="V12" s="402" t="s">
        <v>32</v>
      </c>
      <c r="W12" s="402"/>
      <c r="X12" s="392">
        <f>IF('4002'!K$84=1,'4002'!G12,0)</f>
        <v>0</v>
      </c>
      <c r="Y12" s="392"/>
      <c r="Z12" s="403">
        <v>1</v>
      </c>
      <c r="AA12" s="403"/>
      <c r="AB12" s="57">
        <f t="shared" si="0"/>
        <v>0</v>
      </c>
      <c r="AC12" s="58">
        <f t="shared" si="1"/>
        <v>0</v>
      </c>
      <c r="AD12" s="9"/>
    </row>
    <row r="13" spans="1:30" x14ac:dyDescent="0.3">
      <c r="A13" s="1" t="s">
        <v>33</v>
      </c>
      <c r="B13" s="14" t="s">
        <v>34</v>
      </c>
      <c r="C13" s="14"/>
      <c r="D13" s="14">
        <v>23.3</v>
      </c>
      <c r="E13" s="14">
        <v>20.89</v>
      </c>
      <c r="F13" s="14">
        <v>0</v>
      </c>
      <c r="G13" s="49">
        <f t="shared" si="2"/>
        <v>44.19</v>
      </c>
      <c r="H13" s="50"/>
      <c r="I13" s="59">
        <f>I12</f>
        <v>1</v>
      </c>
      <c r="J13" s="59"/>
      <c r="K13" s="52">
        <f t="shared" si="3"/>
        <v>44.19</v>
      </c>
      <c r="L13" s="53">
        <f t="shared" si="4"/>
        <v>183331</v>
      </c>
      <c r="M13" s="1" t="str">
        <f>IF(ROUND(G13,2)=ROUND(SUM(G31:G33),2)," ","CHECK 2. 4-8 Lines Below")</f>
        <v xml:space="preserve"> </v>
      </c>
      <c r="N13" s="54">
        <v>5102</v>
      </c>
      <c r="O13" s="60" t="s">
        <v>35</v>
      </c>
      <c r="Q13" s="56"/>
      <c r="V13" s="402" t="s">
        <v>34</v>
      </c>
      <c r="W13" s="402"/>
      <c r="X13" s="392">
        <f>IF('4002'!K$84=1,'4002'!G13,0)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IF('4002'!K$84=1,'4002'!G14,0)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IF('4002'!K$84=1,'4002'!G15,0)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IF('4002'!K$84=1,'4002'!G16,0)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IF('4002'!K$84=1,'4002'!G17,0)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IF('4002'!K$84=1,'4002'!G18,0)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IF('4002'!K$84=1,'4002'!G19,0)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IF('4002'!K$84=1,'4002'!G20,0)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IF('4002'!K$84=1,'4002'!G21,0)</f>
        <v>0</v>
      </c>
      <c r="Y21" s="392"/>
      <c r="Z21" s="403">
        <v>1</v>
      </c>
      <c r="AA21" s="403"/>
      <c r="AB21" s="57">
        <f t="shared" si="0"/>
        <v>0</v>
      </c>
      <c r="AC21" s="58">
        <f t="shared" si="1"/>
        <v>0</v>
      </c>
      <c r="AD21" s="9"/>
    </row>
    <row r="22" spans="1:30" ht="16.2" x14ac:dyDescent="0.35">
      <c r="A22" s="1" t="s">
        <v>53</v>
      </c>
      <c r="B22" s="14" t="s">
        <v>54</v>
      </c>
      <c r="C22" s="14"/>
      <c r="D22" s="14">
        <v>29.87</v>
      </c>
      <c r="E22" s="14">
        <v>29.78</v>
      </c>
      <c r="F22" s="14">
        <v>0</v>
      </c>
      <c r="G22" s="49">
        <f t="shared" si="2"/>
        <v>59.650000000000006</v>
      </c>
      <c r="H22" s="50"/>
      <c r="I22" s="59">
        <v>1.147</v>
      </c>
      <c r="J22" s="59"/>
      <c r="K22" s="52">
        <f t="shared" si="3"/>
        <v>68.418599999999998</v>
      </c>
      <c r="L22" s="53">
        <f t="shared" si="4"/>
        <v>283848</v>
      </c>
      <c r="N22" s="54">
        <v>5101</v>
      </c>
      <c r="O22" s="55">
        <v>130</v>
      </c>
      <c r="Q22" s="56"/>
      <c r="V22" s="402" t="s">
        <v>54</v>
      </c>
      <c r="W22" s="402"/>
      <c r="X22" s="392">
        <f>IF('4002'!K$84=1,'4002'!G22,0)</f>
        <v>0</v>
      </c>
      <c r="Y22" s="392"/>
      <c r="Z22" s="403">
        <v>1</v>
      </c>
      <c r="AA22" s="403"/>
      <c r="AB22" s="57">
        <f t="shared" si="0"/>
        <v>0</v>
      </c>
      <c r="AC22" s="58">
        <f t="shared" si="1"/>
        <v>0</v>
      </c>
      <c r="AD22" s="9"/>
    </row>
    <row r="23" spans="1:30" ht="16.2" x14ac:dyDescent="0.35">
      <c r="A23" s="1" t="s">
        <v>55</v>
      </c>
      <c r="B23" s="14" t="s">
        <v>56</v>
      </c>
      <c r="C23" s="14"/>
      <c r="D23" s="14">
        <v>10.08</v>
      </c>
      <c r="E23" s="14">
        <v>8.69</v>
      </c>
      <c r="F23" s="14">
        <v>0</v>
      </c>
      <c r="G23" s="49">
        <f t="shared" si="2"/>
        <v>18.77</v>
      </c>
      <c r="H23" s="50"/>
      <c r="I23" s="59">
        <f>I22</f>
        <v>1.147</v>
      </c>
      <c r="J23" s="59"/>
      <c r="K23" s="52">
        <f t="shared" si="3"/>
        <v>21.529199999999999</v>
      </c>
      <c r="L23" s="53">
        <f t="shared" si="4"/>
        <v>89318</v>
      </c>
      <c r="N23" s="54">
        <v>5102</v>
      </c>
      <c r="O23" s="55">
        <v>130</v>
      </c>
      <c r="Q23" s="56"/>
      <c r="V23" s="402" t="s">
        <v>56</v>
      </c>
      <c r="W23" s="402"/>
      <c r="X23" s="392">
        <f>IF('4002'!K$84=1,'4002'!G23,0)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IF('4002'!K$84=1,'4002'!G24,0)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IF('4002'!K$84=1,'4002'!G25,0)</f>
        <v>0</v>
      </c>
      <c r="Y25" s="392"/>
      <c r="Z25" s="403">
        <v>1</v>
      </c>
      <c r="AA25" s="403"/>
      <c r="AB25" s="57">
        <f t="shared" si="0"/>
        <v>0</v>
      </c>
      <c r="AC25" s="58">
        <f t="shared" si="1"/>
        <v>0</v>
      </c>
      <c r="AD25" s="9"/>
    </row>
    <row r="26" spans="1:30" ht="20.25" customHeight="1" thickBot="1" x14ac:dyDescent="0.35">
      <c r="B26" s="63" t="s">
        <v>61</v>
      </c>
      <c r="C26" s="63"/>
      <c r="D26" s="64">
        <f t="shared" ref="D26:E26" si="5">SUM(D10:D25)</f>
        <v>307.75</v>
      </c>
      <c r="E26" s="64">
        <f t="shared" si="5"/>
        <v>309.75999999999993</v>
      </c>
      <c r="F26" s="64"/>
      <c r="G26" s="64">
        <f>SUM(G10:G25)</f>
        <v>617.50999999999988</v>
      </c>
      <c r="H26" s="65"/>
      <c r="I26" s="65"/>
      <c r="J26" s="66"/>
      <c r="K26" s="67">
        <f>SUM(K10:K25)</f>
        <v>666.14480000000003</v>
      </c>
      <c r="L26" s="68">
        <f>SUM(L10:L25)</f>
        <v>2763630</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14.84</v>
      </c>
      <c r="E28" s="14">
        <v>17.95</v>
      </c>
      <c r="F28" s="79">
        <v>0</v>
      </c>
      <c r="G28" s="49">
        <f t="shared" ref="G28:G36" si="6">IF($B$154&lt;8,D28*2,D28+E28)</f>
        <v>32.79</v>
      </c>
      <c r="H28" s="80"/>
      <c r="I28" s="81" t="s">
        <v>69</v>
      </c>
      <c r="J28" s="54">
        <v>251</v>
      </c>
      <c r="K28" s="82">
        <v>1047</v>
      </c>
      <c r="L28" s="83">
        <f>ROUND(G28*K28,0)</f>
        <v>34331</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1.5</v>
      </c>
      <c r="E29" s="14">
        <v>1.5</v>
      </c>
      <c r="F29" s="90">
        <v>0</v>
      </c>
      <c r="G29" s="49">
        <f t="shared" si="6"/>
        <v>3</v>
      </c>
      <c r="H29" s="80"/>
      <c r="I29" s="54" t="s">
        <v>69</v>
      </c>
      <c r="J29" s="54">
        <v>252</v>
      </c>
      <c r="K29" s="82">
        <v>3380</v>
      </c>
      <c r="L29" s="83">
        <f t="shared" ref="L29:L36" si="8">ROUND(G29*K29,0)</f>
        <v>10140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21.72</v>
      </c>
      <c r="E31" s="14">
        <v>20.89</v>
      </c>
      <c r="F31" s="90">
        <v>0</v>
      </c>
      <c r="G31" s="49">
        <f t="shared" si="6"/>
        <v>42.61</v>
      </c>
      <c r="H31" s="80"/>
      <c r="I31" s="91" t="s">
        <v>73</v>
      </c>
      <c r="J31" s="54">
        <v>251</v>
      </c>
      <c r="K31" s="82">
        <v>1173</v>
      </c>
      <c r="L31" s="83">
        <f t="shared" si="8"/>
        <v>49982</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1.58</v>
      </c>
      <c r="E32" s="14">
        <v>0</v>
      </c>
      <c r="F32" s="90">
        <v>0</v>
      </c>
      <c r="G32" s="49">
        <f t="shared" si="6"/>
        <v>1.58</v>
      </c>
      <c r="H32" s="80"/>
      <c r="I32" s="91" t="s">
        <v>73</v>
      </c>
      <c r="J32" s="54">
        <v>252</v>
      </c>
      <c r="K32" s="82">
        <v>3506</v>
      </c>
      <c r="L32" s="83">
        <f t="shared" si="8"/>
        <v>5539</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39.64</v>
      </c>
      <c r="E37" s="64">
        <f t="shared" si="10"/>
        <v>40.340000000000003</v>
      </c>
      <c r="F37" s="64"/>
      <c r="G37" s="64">
        <f>SUM(G28:G36)</f>
        <v>79.98</v>
      </c>
      <c r="H37" s="65"/>
      <c r="I37" s="14" t="s">
        <v>81</v>
      </c>
      <c r="J37" s="14"/>
      <c r="K37" s="14"/>
      <c r="L37" s="53">
        <f>SUM(L28:L36)</f>
        <v>99992</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117944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2981566</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400.02560000000005</v>
      </c>
      <c r="D47" s="123"/>
      <c r="E47" s="123"/>
      <c r="F47" s="123"/>
      <c r="G47" s="124">
        <f>K7</f>
        <v>1.0289999999999999</v>
      </c>
      <c r="H47" s="124"/>
      <c r="I47" s="125">
        <v>1325.01</v>
      </c>
      <c r="J47" s="126" t="s">
        <v>96</v>
      </c>
      <c r="K47" s="127">
        <f>ROUND(C47*G47*I47,0)</f>
        <v>545409</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266.11919999999998</v>
      </c>
      <c r="D48" s="123"/>
      <c r="E48" s="123"/>
      <c r="F48" s="123"/>
      <c r="G48" s="124">
        <f>K7</f>
        <v>1.0289999999999999</v>
      </c>
      <c r="H48" s="124"/>
      <c r="I48" s="125">
        <v>903.8</v>
      </c>
      <c r="J48" s="126" t="s">
        <v>96</v>
      </c>
      <c r="K48" s="127">
        <f>ROUND(C48*G48*I48,0)</f>
        <v>247494</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666.14480000000003</v>
      </c>
      <c r="D50" s="146"/>
      <c r="E50" s="147"/>
      <c r="F50" s="147"/>
      <c r="G50" s="148" t="s">
        <v>98</v>
      </c>
      <c r="H50" s="148"/>
      <c r="I50" s="148"/>
      <c r="J50" s="148"/>
      <c r="K50" s="148"/>
      <c r="L50" s="53">
        <f>IF(B2=75,0,K49+K48+K47)</f>
        <v>792903</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666.14480000000003</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3.3639999999999998E-3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617.50999999999988</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3.405E-3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3.3639999999999998E-3</v>
      </c>
      <c r="L59" s="53">
        <f>ROUND(I59*K59,0)</f>
        <v>14233</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3.3639999999999998E-3</v>
      </c>
      <c r="L67" s="53">
        <f>ROUND(I67*K67,0)</f>
        <v>348842</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3.405E-3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3.3639999999999998E-3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3.3639999999999998E-3</v>
      </c>
      <c r="L71" s="53">
        <f>ROUND(I71*K71,0)</f>
        <v>6276</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3.405E-3</v>
      </c>
      <c r="L72" s="53">
        <f>ROUND(I72*K72,0)</f>
        <v>47547</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3.405E-3</v>
      </c>
      <c r="L77" s="53">
        <f>ROUND(I77*K77,0)</f>
        <v>5846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3.3639999999999998E-3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4197213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'4002'!AC81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4197213</v>
      </c>
      <c r="L86" s="83">
        <f>IF(G26=0,0,IF(G26&gt;250,-(((250/G26)*K86)*IF(M86="H",0.02,0.05)),IF(M86="H",-0.02*K86,-0.05*K86)))</f>
        <v>-84962.450000809724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4112250.5499991905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-342688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3769562.5499991905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342687.50454538094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124898.1999991903</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364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365</v>
      </c>
      <c r="C123" s="221" t="s">
        <v>199</v>
      </c>
    </row>
    <row r="124" spans="2:3" hidden="1" x14ac:dyDescent="0.3">
      <c r="B124" s="225" t="s">
        <v>366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41808.602986111102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364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365</v>
      </c>
      <c r="C164" s="235" t="s">
        <v>244</v>
      </c>
      <c r="D164" s="231"/>
    </row>
    <row r="165" spans="1:4" hidden="1" x14ac:dyDescent="0.3">
      <c r="A165" s="230" t="s">
        <v>245</v>
      </c>
      <c r="B165" s="234" t="s">
        <v>366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41808.602986111102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'4010'!B2</f>
        <v>50</v>
      </c>
      <c r="W2" s="380" t="s">
        <v>4</v>
      </c>
      <c r="X2" s="381"/>
      <c r="Y2" s="382"/>
      <c r="Z2" s="382"/>
      <c r="AA2" s="382"/>
      <c r="AB2" s="382"/>
      <c r="AC2" s="382"/>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'4010'!G7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51.22</v>
      </c>
      <c r="E10" s="48">
        <v>43.11</v>
      </c>
      <c r="F10" s="48">
        <v>0</v>
      </c>
      <c r="G10" s="49">
        <f>IF($B$154&lt;8,D10*2,D10+E10)</f>
        <v>94.33</v>
      </c>
      <c r="H10" s="50"/>
      <c r="I10" s="51">
        <v>1.1259999999999999</v>
      </c>
      <c r="J10" s="51"/>
      <c r="K10" s="52">
        <f>ROUND(G10*I10,4)</f>
        <v>106.21559999999999</v>
      </c>
      <c r="L10" s="53">
        <f>ROUND(ROUND(K10*$G$7,4)*($K$7),0)</f>
        <v>440656</v>
      </c>
      <c r="N10" s="54">
        <v>5101</v>
      </c>
      <c r="O10" s="55">
        <v>101</v>
      </c>
      <c r="Q10" s="56"/>
      <c r="V10" s="391" t="s">
        <v>27</v>
      </c>
      <c r="W10" s="391"/>
      <c r="X10" s="392">
        <f>IF('4010'!K$84=1,'4010'!G10,0)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5.0599999999999996</v>
      </c>
      <c r="E11" s="14">
        <v>5.4</v>
      </c>
      <c r="F11" s="14">
        <v>0</v>
      </c>
      <c r="G11" s="49">
        <f t="shared" ref="G11:G25" si="2">IF($B$154&lt;8,D11*2,D11+E11)</f>
        <v>10.46</v>
      </c>
      <c r="H11" s="50"/>
      <c r="I11" s="59">
        <f>I10</f>
        <v>1.1259999999999999</v>
      </c>
      <c r="J11" s="59"/>
      <c r="K11" s="52">
        <f t="shared" ref="K11:K25" si="3">ROUND(G11*I11,4)</f>
        <v>11.778</v>
      </c>
      <c r="L11" s="53">
        <f t="shared" ref="L11:L25" si="4">ROUND(ROUND(K11*$G$7,4)*($K$7),0)</f>
        <v>48863</v>
      </c>
      <c r="M11" s="1" t="str">
        <f>IF(ROUND(G11,2)=ROUND(SUM(G28:G30),2)," ","CHECK 2. PK-3 Lines Below")</f>
        <v xml:space="preserve"> </v>
      </c>
      <c r="N11" s="54">
        <v>5101</v>
      </c>
      <c r="O11" s="60" t="s">
        <v>30</v>
      </c>
      <c r="Q11" s="56"/>
      <c r="V11" s="402" t="s">
        <v>29</v>
      </c>
      <c r="W11" s="402"/>
      <c r="X11" s="392">
        <f>IF('4010'!K$84=1,'4010'!G11,0)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IF('4010'!K$84=1,'4010'!G12,0)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IF('4010'!K$84=1,'4010'!G13,0)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IF('4010'!K$84=1,'4010'!G14,0)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IF('4010'!K$84=1,'4010'!G15,0)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IF('4010'!K$84=1,'4010'!G16,0)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IF('4010'!K$84=1,'4010'!G17,0)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IF('4010'!K$84=1,'4010'!G18,0)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IF('4010'!K$84=1,'4010'!G19,0)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IF('4010'!K$84=1,'4010'!G20,0)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IF('4010'!K$84=1,'4010'!G21,0)</f>
        <v>0</v>
      </c>
      <c r="Y21" s="392"/>
      <c r="Z21" s="403">
        <v>1</v>
      </c>
      <c r="AA21" s="403"/>
      <c r="AB21" s="57">
        <f t="shared" si="0"/>
        <v>0</v>
      </c>
      <c r="AC21" s="58">
        <f t="shared" si="1"/>
        <v>0</v>
      </c>
      <c r="AD21" s="9"/>
    </row>
    <row r="22" spans="1:30" ht="16.2" x14ac:dyDescent="0.35">
      <c r="A22" s="1" t="s">
        <v>53</v>
      </c>
      <c r="B22" s="14" t="s">
        <v>54</v>
      </c>
      <c r="C22" s="14"/>
      <c r="D22" s="14">
        <v>1.37</v>
      </c>
      <c r="E22" s="14">
        <v>1.24</v>
      </c>
      <c r="F22" s="14">
        <v>0</v>
      </c>
      <c r="G22" s="49">
        <f t="shared" si="2"/>
        <v>2.6100000000000003</v>
      </c>
      <c r="H22" s="50"/>
      <c r="I22" s="59">
        <v>1.147</v>
      </c>
      <c r="J22" s="59"/>
      <c r="K22" s="52">
        <f t="shared" si="3"/>
        <v>2.9937</v>
      </c>
      <c r="L22" s="53">
        <f t="shared" si="4"/>
        <v>12420</v>
      </c>
      <c r="N22" s="54">
        <v>5101</v>
      </c>
      <c r="O22" s="55">
        <v>130</v>
      </c>
      <c r="Q22" s="56"/>
      <c r="V22" s="402" t="s">
        <v>54</v>
      </c>
      <c r="W22" s="402"/>
      <c r="X22" s="392">
        <f>IF('4010'!K$84=1,'4010'!G22,0)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IF('4010'!K$84=1,'4010'!G23,0)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IF('4010'!K$84=1,'4010'!G24,0)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IF('4010'!K$84=1,'4010'!G25,0)</f>
        <v>0</v>
      </c>
      <c r="Y25" s="392"/>
      <c r="Z25" s="403">
        <v>1</v>
      </c>
      <c r="AA25" s="403"/>
      <c r="AB25" s="57">
        <f t="shared" si="0"/>
        <v>0</v>
      </c>
      <c r="AC25" s="58">
        <f t="shared" si="1"/>
        <v>0</v>
      </c>
      <c r="AD25" s="9"/>
    </row>
    <row r="26" spans="1:30" ht="20.25" customHeight="1" thickBot="1" x14ac:dyDescent="0.35">
      <c r="B26" s="63" t="s">
        <v>61</v>
      </c>
      <c r="C26" s="63"/>
      <c r="D26" s="64">
        <f t="shared" ref="D26:E26" si="5">SUM(D10:D25)</f>
        <v>57.65</v>
      </c>
      <c r="E26" s="64">
        <f t="shared" si="5"/>
        <v>49.75</v>
      </c>
      <c r="F26" s="64"/>
      <c r="G26" s="64">
        <f>SUM(G10:G25)</f>
        <v>107.39999999999999</v>
      </c>
      <c r="H26" s="65"/>
      <c r="I26" s="65"/>
      <c r="J26" s="66"/>
      <c r="K26" s="67">
        <f>SUM(K10:K25)</f>
        <v>120.9873</v>
      </c>
      <c r="L26" s="68">
        <f>SUM(L10:L25)</f>
        <v>501939</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5.0599999999999996</v>
      </c>
      <c r="E28" s="14">
        <v>4.93</v>
      </c>
      <c r="F28" s="79">
        <v>0</v>
      </c>
      <c r="G28" s="49">
        <f t="shared" ref="G28:G36" si="6">IF($B$154&lt;8,D28*2,D28+E28)</f>
        <v>9.9899999999999984</v>
      </c>
      <c r="H28" s="80"/>
      <c r="I28" s="81" t="s">
        <v>69</v>
      </c>
      <c r="J28" s="54">
        <v>251</v>
      </c>
      <c r="K28" s="82">
        <v>1047</v>
      </c>
      <c r="L28" s="83">
        <f>ROUND(G28*K28,0)</f>
        <v>10460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0.47</v>
      </c>
      <c r="F29" s="90">
        <v>0</v>
      </c>
      <c r="G29" s="49">
        <f t="shared" si="6"/>
        <v>0.47</v>
      </c>
      <c r="H29" s="80"/>
      <c r="I29" s="54" t="s">
        <v>69</v>
      </c>
      <c r="J29" s="54">
        <v>252</v>
      </c>
      <c r="K29" s="82">
        <v>3380</v>
      </c>
      <c r="L29" s="83">
        <f t="shared" ref="L29:L36" si="8">ROUND(G29*K29,0)</f>
        <v>1589</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5.0599999999999996</v>
      </c>
      <c r="E37" s="64">
        <f t="shared" si="10"/>
        <v>5.3999999999999995</v>
      </c>
      <c r="F37" s="64"/>
      <c r="G37" s="64">
        <f>SUM(G28:G36)</f>
        <v>10.459999999999999</v>
      </c>
      <c r="H37" s="65"/>
      <c r="I37" s="14" t="s">
        <v>81</v>
      </c>
      <c r="J37" s="14"/>
      <c r="K37" s="14"/>
      <c r="L37" s="53">
        <f>SUM(L28:L36)</f>
        <v>12049</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20513</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534501</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120.9873</v>
      </c>
      <c r="D47" s="123"/>
      <c r="E47" s="123"/>
      <c r="F47" s="123"/>
      <c r="G47" s="124">
        <f>K7</f>
        <v>1.0289999999999999</v>
      </c>
      <c r="H47" s="124"/>
      <c r="I47" s="125">
        <v>1325.01</v>
      </c>
      <c r="J47" s="126" t="s">
        <v>96</v>
      </c>
      <c r="K47" s="127">
        <f>ROUND(C47*G47*I47,0)</f>
        <v>164958</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120.9873</v>
      </c>
      <c r="D50" s="146"/>
      <c r="E50" s="147"/>
      <c r="F50" s="147"/>
      <c r="G50" s="148" t="s">
        <v>98</v>
      </c>
      <c r="H50" s="148"/>
      <c r="I50" s="148"/>
      <c r="J50" s="148"/>
      <c r="K50" s="148"/>
      <c r="L50" s="53">
        <f>IF(B2=75,0,K49+K48+K47)</f>
        <v>164958</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120.9873</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6.11E-4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107.39999999999999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5.9199999999999997E-4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6.11E-4</v>
      </c>
      <c r="L59" s="53">
        <f>ROUND(I59*K59,0)</f>
        <v>2585</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6.11E-4</v>
      </c>
      <c r="L67" s="53">
        <f>ROUND(I67*K67,0)</f>
        <v>63360</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5.9199999999999997E-4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6.11E-4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6.11E-4</v>
      </c>
      <c r="L71" s="53">
        <f>ROUND(I71*K71,0)</f>
        <v>1140</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5.9199999999999997E-4</v>
      </c>
      <c r="L72" s="53">
        <f>ROUND(I72*K72,0)</f>
        <v>8267</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27.5</v>
      </c>
      <c r="AA74" s="173" t="s">
        <v>130</v>
      </c>
      <c r="AB74" s="174">
        <f>+K75</f>
        <v>361</v>
      </c>
      <c r="AC74" s="58">
        <f>ROUND(AB74*Z74,0)</f>
        <v>9928</v>
      </c>
      <c r="AD74" s="9"/>
    </row>
    <row r="75" spans="1:30" ht="19.5" customHeight="1" x14ac:dyDescent="0.3">
      <c r="A75" s="1" t="s">
        <v>131</v>
      </c>
      <c r="B75" s="175" t="s">
        <v>128</v>
      </c>
      <c r="C75" s="176" t="s">
        <v>129</v>
      </c>
      <c r="D75" s="175">
        <v>32</v>
      </c>
      <c r="E75" s="175">
        <v>23</v>
      </c>
      <c r="F75" s="175">
        <v>0</v>
      </c>
      <c r="G75" s="177">
        <f>IF($B$154&lt;8,D75,E75)</f>
        <v>23</v>
      </c>
      <c r="H75" s="178"/>
      <c r="I75" s="179">
        <f>AVERAGE(G75,D75)</f>
        <v>27.5</v>
      </c>
      <c r="J75" s="180" t="s">
        <v>130</v>
      </c>
      <c r="K75" s="181">
        <v>361</v>
      </c>
      <c r="L75" s="53">
        <f>ROUND(K75*I75,0)</f>
        <v>9928</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5.9199999999999997E-4</v>
      </c>
      <c r="L77" s="53">
        <f>ROUND(I77*K77,0)</f>
        <v>1016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6.11E-4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9928</v>
      </c>
      <c r="AD81" s="197"/>
    </row>
    <row r="82" spans="1:30" ht="22.5" customHeight="1" thickTop="1" thickBot="1" x14ac:dyDescent="0.35">
      <c r="B82" s="14" t="s">
        <v>140</v>
      </c>
      <c r="C82" s="14"/>
      <c r="D82" s="14"/>
      <c r="E82" s="14"/>
      <c r="F82" s="14"/>
      <c r="G82" s="14"/>
      <c r="H82" s="14"/>
      <c r="I82" s="14"/>
      <c r="J82" s="14"/>
      <c r="K82" s="14"/>
      <c r="L82" s="198">
        <f>SUM(L44:L81)</f>
        <v>785755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'4010'!AC81</f>
        <v>9928</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785755</v>
      </c>
      <c r="L86" s="83">
        <f>IF(G26=0,0,IF(G26&gt;250,-(((250/G26)*K86)*IF(M86="H",0.02,0.05)),IF(M86="H",-0.02*K86,-0.05*K86)))</f>
        <v>-39287.75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746467.25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-62206</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684261.25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62205.568181818184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367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368</v>
      </c>
      <c r="C123" s="221" t="s">
        <v>199</v>
      </c>
    </row>
    <row r="124" spans="2:3" hidden="1" x14ac:dyDescent="0.3">
      <c r="B124" s="225" t="s">
        <v>369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41808.603009259299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367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368</v>
      </c>
      <c r="C164" s="235" t="s">
        <v>244</v>
      </c>
      <c r="D164" s="231"/>
    </row>
    <row r="165" spans="1:4" hidden="1" x14ac:dyDescent="0.3">
      <c r="A165" s="230" t="s">
        <v>245</v>
      </c>
      <c r="B165" s="234" t="s">
        <v>369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41808.603009259299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'4012'!B2</f>
        <v>50</v>
      </c>
      <c r="W2" s="380" t="s">
        <v>4</v>
      </c>
      <c r="X2" s="381"/>
      <c r="Y2" s="382"/>
      <c r="Z2" s="382"/>
      <c r="AA2" s="382"/>
      <c r="AB2" s="382"/>
      <c r="AC2" s="382"/>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'4012'!G7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IF('4012'!K$84=1,'4012'!G10,0)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IF('4012'!K$84=1,'4012'!G11,0)</f>
        <v>0</v>
      </c>
      <c r="Y11" s="392"/>
      <c r="Z11" s="403">
        <v>1</v>
      </c>
      <c r="AA11" s="403"/>
      <c r="AB11" s="57">
        <f t="shared" si="0"/>
        <v>0</v>
      </c>
      <c r="AC11" s="58">
        <f t="shared" si="1"/>
        <v>0</v>
      </c>
      <c r="AD11" s="9"/>
    </row>
    <row r="12" spans="1:30" x14ac:dyDescent="0.3">
      <c r="A12" s="1" t="s">
        <v>31</v>
      </c>
      <c r="B12" s="14" t="s">
        <v>32</v>
      </c>
      <c r="C12" s="14"/>
      <c r="D12" s="14">
        <v>251.62</v>
      </c>
      <c r="E12" s="14">
        <v>246.78</v>
      </c>
      <c r="F12" s="14">
        <v>0</v>
      </c>
      <c r="G12" s="49">
        <f t="shared" si="2"/>
        <v>498.4</v>
      </c>
      <c r="H12" s="50"/>
      <c r="I12" s="59">
        <v>1</v>
      </c>
      <c r="J12" s="59"/>
      <c r="K12" s="52">
        <f t="shared" si="3"/>
        <v>498.4</v>
      </c>
      <c r="L12" s="53">
        <f t="shared" si="4"/>
        <v>2067708</v>
      </c>
      <c r="N12" s="54">
        <v>5102</v>
      </c>
      <c r="O12" s="55">
        <v>102</v>
      </c>
      <c r="Q12" s="56"/>
      <c r="V12" s="402" t="s">
        <v>32</v>
      </c>
      <c r="W12" s="402"/>
      <c r="X12" s="392">
        <f>IF('4012'!K$84=1,'4012'!G12,0)</f>
        <v>0</v>
      </c>
      <c r="Y12" s="392"/>
      <c r="Z12" s="403">
        <v>1</v>
      </c>
      <c r="AA12" s="403"/>
      <c r="AB12" s="57">
        <f t="shared" si="0"/>
        <v>0</v>
      </c>
      <c r="AC12" s="58">
        <f t="shared" si="1"/>
        <v>0</v>
      </c>
      <c r="AD12" s="9"/>
    </row>
    <row r="13" spans="1:30" x14ac:dyDescent="0.3">
      <c r="A13" s="1" t="s">
        <v>33</v>
      </c>
      <c r="B13" s="14" t="s">
        <v>34</v>
      </c>
      <c r="C13" s="14"/>
      <c r="D13" s="14">
        <v>24.35</v>
      </c>
      <c r="E13" s="14">
        <v>26.84</v>
      </c>
      <c r="F13" s="14">
        <v>0</v>
      </c>
      <c r="G13" s="49">
        <f t="shared" si="2"/>
        <v>51.19</v>
      </c>
      <c r="H13" s="50"/>
      <c r="I13" s="59">
        <f>I12</f>
        <v>1</v>
      </c>
      <c r="J13" s="59"/>
      <c r="K13" s="52">
        <f t="shared" si="3"/>
        <v>51.19</v>
      </c>
      <c r="L13" s="53">
        <f t="shared" si="4"/>
        <v>212372</v>
      </c>
      <c r="M13" s="1" t="str">
        <f>IF(ROUND(G13,2)=ROUND(SUM(G31:G33),2)," ","CHECK 2. 4-8 Lines Below")</f>
        <v xml:space="preserve"> </v>
      </c>
      <c r="N13" s="54">
        <v>5102</v>
      </c>
      <c r="O13" s="60" t="s">
        <v>35</v>
      </c>
      <c r="Q13" s="56"/>
      <c r="V13" s="402" t="s">
        <v>34</v>
      </c>
      <c r="W13" s="402"/>
      <c r="X13" s="392">
        <f>IF('4012'!K$84=1,'4012'!G13,0)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IF('4012'!K$84=1,'4012'!G14,0)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IF('4012'!K$84=1,'4012'!G15,0)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IF('4012'!K$84=1,'4012'!G16,0)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IF('4012'!K$84=1,'4012'!G17,0)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IF('4012'!K$84=1,'4012'!G18,0)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IF('4012'!K$84=1,'4012'!G19,0)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IF('4012'!K$84=1,'4012'!G20,0)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IF('4012'!K$84=1,'4012'!G21,0)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IF('4012'!K$84=1,'4012'!G22,0)</f>
        <v>0</v>
      </c>
      <c r="Y22" s="392"/>
      <c r="Z22" s="403">
        <v>1</v>
      </c>
      <c r="AA22" s="403"/>
      <c r="AB22" s="57">
        <f t="shared" si="0"/>
        <v>0</v>
      </c>
      <c r="AC22" s="58">
        <f t="shared" si="1"/>
        <v>0</v>
      </c>
      <c r="AD22" s="9"/>
    </row>
    <row r="23" spans="1:30" ht="16.2" x14ac:dyDescent="0.35">
      <c r="A23" s="1" t="s">
        <v>55</v>
      </c>
      <c r="B23" s="14" t="s">
        <v>56</v>
      </c>
      <c r="C23" s="14"/>
      <c r="D23" s="14">
        <v>0.28999999999999998</v>
      </c>
      <c r="E23" s="14">
        <v>0.36</v>
      </c>
      <c r="F23" s="14">
        <v>0</v>
      </c>
      <c r="G23" s="49">
        <f t="shared" si="2"/>
        <v>0.64999999999999991</v>
      </c>
      <c r="H23" s="50"/>
      <c r="I23" s="59">
        <f>I22</f>
        <v>1.147</v>
      </c>
      <c r="J23" s="59"/>
      <c r="K23" s="52">
        <f t="shared" si="3"/>
        <v>0.74560000000000004</v>
      </c>
      <c r="L23" s="53">
        <f t="shared" si="4"/>
        <v>3093</v>
      </c>
      <c r="N23" s="54">
        <v>5102</v>
      </c>
      <c r="O23" s="55">
        <v>130</v>
      </c>
      <c r="Q23" s="56"/>
      <c r="V23" s="402" t="s">
        <v>56</v>
      </c>
      <c r="W23" s="402"/>
      <c r="X23" s="392">
        <f>IF('4012'!K$84=1,'4012'!G23,0)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IF('4012'!K$84=1,'4012'!G24,0)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IF('4012'!K$84=1,'4012'!G25,0)</f>
        <v>0</v>
      </c>
      <c r="Y25" s="392"/>
      <c r="Z25" s="403">
        <v>1</v>
      </c>
      <c r="AA25" s="403"/>
      <c r="AB25" s="57">
        <f t="shared" si="0"/>
        <v>0</v>
      </c>
      <c r="AC25" s="58">
        <f t="shared" si="1"/>
        <v>0</v>
      </c>
      <c r="AD25" s="9"/>
    </row>
    <row r="26" spans="1:30" ht="20.25" customHeight="1" thickBot="1" x14ac:dyDescent="0.35">
      <c r="B26" s="63" t="s">
        <v>61</v>
      </c>
      <c r="C26" s="63"/>
      <c r="D26" s="64">
        <f t="shared" ref="D26:E26" si="5">SUM(D10:D25)</f>
        <v>276.26000000000005</v>
      </c>
      <c r="E26" s="64">
        <f t="shared" si="5"/>
        <v>273.98</v>
      </c>
      <c r="F26" s="64"/>
      <c r="G26" s="64">
        <f>SUM(G10:G25)</f>
        <v>550.2399999999999</v>
      </c>
      <c r="H26" s="65"/>
      <c r="I26" s="65"/>
      <c r="J26" s="66"/>
      <c r="K26" s="67">
        <f>SUM(K10:K25)</f>
        <v>550.33559999999989</v>
      </c>
      <c r="L26" s="68">
        <f>SUM(L10:L25)</f>
        <v>2283173</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21.85</v>
      </c>
      <c r="E31" s="14">
        <v>23.33</v>
      </c>
      <c r="F31" s="90">
        <v>0</v>
      </c>
      <c r="G31" s="49">
        <f t="shared" si="6"/>
        <v>45.18</v>
      </c>
      <c r="H31" s="80"/>
      <c r="I31" s="91" t="s">
        <v>73</v>
      </c>
      <c r="J31" s="54">
        <v>251</v>
      </c>
      <c r="K31" s="82">
        <v>1173</v>
      </c>
      <c r="L31" s="83">
        <f t="shared" si="8"/>
        <v>52996</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2.5</v>
      </c>
      <c r="E32" s="14">
        <v>3.01</v>
      </c>
      <c r="F32" s="90">
        <v>0</v>
      </c>
      <c r="G32" s="49">
        <f t="shared" si="6"/>
        <v>5.51</v>
      </c>
      <c r="H32" s="80"/>
      <c r="I32" s="91" t="s">
        <v>73</v>
      </c>
      <c r="J32" s="54">
        <v>252</v>
      </c>
      <c r="K32" s="82">
        <v>3506</v>
      </c>
      <c r="L32" s="83">
        <f t="shared" si="8"/>
        <v>19318</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0.5</v>
      </c>
      <c r="F33" s="90">
        <v>0</v>
      </c>
      <c r="G33" s="49">
        <f t="shared" si="6"/>
        <v>0.5</v>
      </c>
      <c r="H33" s="80"/>
      <c r="I33" s="91" t="s">
        <v>73</v>
      </c>
      <c r="J33" s="54">
        <v>253</v>
      </c>
      <c r="K33" s="82">
        <v>7023</v>
      </c>
      <c r="L33" s="83">
        <f t="shared" si="8"/>
        <v>3512</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24.35</v>
      </c>
      <c r="E37" s="64">
        <f t="shared" si="10"/>
        <v>26.839999999999996</v>
      </c>
      <c r="F37" s="64"/>
      <c r="G37" s="64">
        <f>SUM(G28:G36)</f>
        <v>51.19</v>
      </c>
      <c r="H37" s="65"/>
      <c r="I37" s="14" t="s">
        <v>81</v>
      </c>
      <c r="J37" s="14"/>
      <c r="K37" s="14"/>
      <c r="L37" s="53">
        <f>SUM(L28:L36)</f>
        <v>75826</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105096</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2464095</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550.33559999999989</v>
      </c>
      <c r="D48" s="123"/>
      <c r="E48" s="123"/>
      <c r="F48" s="123"/>
      <c r="G48" s="124">
        <f>K7</f>
        <v>1.0289999999999999</v>
      </c>
      <c r="H48" s="124"/>
      <c r="I48" s="125">
        <v>903.8</v>
      </c>
      <c r="J48" s="126" t="s">
        <v>96</v>
      </c>
      <c r="K48" s="127">
        <f>ROUND(C48*G48*I48,0)</f>
        <v>511818</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550.33559999999989</v>
      </c>
      <c r="D50" s="146"/>
      <c r="E50" s="147"/>
      <c r="F50" s="147"/>
      <c r="G50" s="148" t="s">
        <v>98</v>
      </c>
      <c r="H50" s="148"/>
      <c r="I50" s="148"/>
      <c r="J50" s="148"/>
      <c r="K50" s="148"/>
      <c r="L50" s="53">
        <f>IF(B2=75,0,K49+K48+K47)</f>
        <v>511818</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550.33559999999989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2.7789999999999998E-3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550.2399999999999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3.0339999999999998E-3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2.7789999999999998E-3</v>
      </c>
      <c r="L59" s="53">
        <f>ROUND(I59*K59,0)</f>
        <v>11758</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2.7789999999999998E-3</v>
      </c>
      <c r="L67" s="53">
        <f>ROUND(I67*K67,0)</f>
        <v>288179</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3.0339999999999998E-3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2.7789999999999998E-3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2.7789999999999998E-3</v>
      </c>
      <c r="L71" s="53">
        <f>ROUND(I71*K71,0)</f>
        <v>5185</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3.0339999999999998E-3</v>
      </c>
      <c r="L72" s="53">
        <f>ROUND(I72*K72,0)</f>
        <v>42367</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2</v>
      </c>
      <c r="AA74" s="173" t="s">
        <v>130</v>
      </c>
      <c r="AB74" s="174">
        <f>+K75</f>
        <v>361</v>
      </c>
      <c r="AC74" s="58">
        <f>ROUND(AB74*Z74,0)</f>
        <v>722</v>
      </c>
      <c r="AD74" s="9"/>
    </row>
    <row r="75" spans="1:30" ht="19.5" customHeight="1" x14ac:dyDescent="0.3">
      <c r="A75" s="1" t="s">
        <v>131</v>
      </c>
      <c r="B75" s="175" t="s">
        <v>128</v>
      </c>
      <c r="C75" s="176" t="s">
        <v>129</v>
      </c>
      <c r="D75" s="175">
        <v>2</v>
      </c>
      <c r="E75" s="175">
        <v>2</v>
      </c>
      <c r="F75" s="175">
        <v>0</v>
      </c>
      <c r="G75" s="177">
        <f>IF($B$154&lt;8,D75,E75)</f>
        <v>2</v>
      </c>
      <c r="H75" s="178"/>
      <c r="I75" s="179">
        <f>AVERAGE(G75,D75)</f>
        <v>2</v>
      </c>
      <c r="J75" s="180" t="s">
        <v>130</v>
      </c>
      <c r="K75" s="181">
        <v>361</v>
      </c>
      <c r="L75" s="53">
        <f>ROUND(K75*I75,0)</f>
        <v>722</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3.0339999999999998E-3</v>
      </c>
      <c r="L77" s="53">
        <f>ROUND(I77*K77,0)</f>
        <v>5209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2.7789999999999998E-3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722</v>
      </c>
      <c r="AD81" s="197"/>
    </row>
    <row r="82" spans="1:30" ht="22.5" customHeight="1" thickTop="1" thickBot="1" x14ac:dyDescent="0.35">
      <c r="B82" s="14" t="s">
        <v>140</v>
      </c>
      <c r="C82" s="14"/>
      <c r="D82" s="14"/>
      <c r="E82" s="14"/>
      <c r="F82" s="14"/>
      <c r="G82" s="14"/>
      <c r="H82" s="14"/>
      <c r="I82" s="14"/>
      <c r="J82" s="14"/>
      <c r="K82" s="14"/>
      <c r="L82" s="198">
        <f>SUM(L44:L81)</f>
        <v>3329333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'4012'!AC81</f>
        <v>722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3329333</v>
      </c>
      <c r="L86" s="83">
        <f>IF(G26=0,0,IF(G26&gt;250,-(((250/G26)*K86)*IF(M86="H",0.02,0.05)),IF(M86="H",-0.02*K86,-0.05*K86)))</f>
        <v>-75633.655314044794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3253699.344685955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-271142</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2982557.344685955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271141.57678963226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90832.994685955229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371</v>
      </c>
      <c r="C123" s="221" t="s">
        <v>199</v>
      </c>
    </row>
    <row r="124" spans="2:3" hidden="1" x14ac:dyDescent="0.3">
      <c r="B124" s="225" t="s">
        <v>372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2.31481462833472E-5</v>
      </c>
      <c r="C135" s="227"/>
    </row>
    <row r="136" spans="1:5" hidden="1" x14ac:dyDescent="0.3">
      <c r="B136" s="228">
        <f>NvsEndTime</f>
        <v>41808.603055555599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371</v>
      </c>
      <c r="C164" s="235" t="s">
        <v>244</v>
      </c>
      <c r="D164" s="231"/>
    </row>
    <row r="165" spans="1:4" hidden="1" x14ac:dyDescent="0.3">
      <c r="A165" s="230" t="s">
        <v>245</v>
      </c>
      <c r="B165" s="234" t="s">
        <v>372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2.31481462833472E-5</v>
      </c>
      <c r="D176" s="231"/>
    </row>
    <row r="177" spans="2:5" hidden="1" x14ac:dyDescent="0.3">
      <c r="B177" s="230" t="s">
        <v>260</v>
      </c>
      <c r="C177" s="238">
        <f>NvsEndTime</f>
        <v>41808.603055555599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'4013'!B2</f>
        <v>50</v>
      </c>
      <c r="W2" s="380" t="s">
        <v>4</v>
      </c>
      <c r="X2" s="381"/>
      <c r="Y2" s="382"/>
      <c r="Z2" s="382"/>
      <c r="AA2" s="382"/>
      <c r="AB2" s="382"/>
      <c r="AC2" s="382"/>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'4013'!G7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IF('4013'!K$84=1,'4013'!G10,0)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IF('4013'!K$84=1,'4013'!G11,0)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IF('4013'!K$84=1,'4013'!G12,0)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IF('4013'!K$84=1,'4013'!G13,0)</f>
        <v>0</v>
      </c>
      <c r="Y13" s="392"/>
      <c r="Z13" s="403">
        <v>1</v>
      </c>
      <c r="AA13" s="403"/>
      <c r="AB13" s="57">
        <f t="shared" si="0"/>
        <v>0</v>
      </c>
      <c r="AC13" s="58">
        <f t="shared" si="1"/>
        <v>0</v>
      </c>
      <c r="AD13" s="9"/>
    </row>
    <row r="14" spans="1:30" x14ac:dyDescent="0.3">
      <c r="A14" s="1" t="s">
        <v>36</v>
      </c>
      <c r="B14" s="14" t="s">
        <v>37</v>
      </c>
      <c r="C14" s="14"/>
      <c r="D14" s="14">
        <v>48.52</v>
      </c>
      <c r="E14" s="14">
        <v>42.43</v>
      </c>
      <c r="F14" s="14">
        <v>0</v>
      </c>
      <c r="G14" s="49">
        <f t="shared" si="2"/>
        <v>90.95</v>
      </c>
      <c r="H14" s="50"/>
      <c r="I14" s="59">
        <v>1.004</v>
      </c>
      <c r="J14" s="59"/>
      <c r="K14" s="52">
        <f t="shared" si="3"/>
        <v>91.313800000000001</v>
      </c>
      <c r="L14" s="53">
        <f t="shared" si="4"/>
        <v>378833</v>
      </c>
      <c r="N14" s="54">
        <v>5103</v>
      </c>
      <c r="O14" s="55">
        <v>103</v>
      </c>
      <c r="Q14" s="56"/>
      <c r="V14" s="402" t="s">
        <v>37</v>
      </c>
      <c r="W14" s="402"/>
      <c r="X14" s="392">
        <f>IF('4013'!K$84=1,'4013'!G14,0)</f>
        <v>0</v>
      </c>
      <c r="Y14" s="392"/>
      <c r="Z14" s="403">
        <v>1</v>
      </c>
      <c r="AA14" s="403"/>
      <c r="AB14" s="57">
        <f t="shared" si="0"/>
        <v>0</v>
      </c>
      <c r="AC14" s="58">
        <f t="shared" si="1"/>
        <v>0</v>
      </c>
      <c r="AD14" s="9"/>
    </row>
    <row r="15" spans="1:30" x14ac:dyDescent="0.3">
      <c r="A15" s="1" t="s">
        <v>38</v>
      </c>
      <c r="B15" s="14" t="s">
        <v>39</v>
      </c>
      <c r="C15" s="14"/>
      <c r="D15" s="14">
        <v>8.66</v>
      </c>
      <c r="E15" s="14">
        <v>8.34</v>
      </c>
      <c r="F15" s="14">
        <v>0</v>
      </c>
      <c r="G15" s="49">
        <f t="shared" si="2"/>
        <v>17</v>
      </c>
      <c r="H15" s="50"/>
      <c r="I15" s="59">
        <f>I14</f>
        <v>1.004</v>
      </c>
      <c r="J15" s="59"/>
      <c r="K15" s="52">
        <f t="shared" si="3"/>
        <v>17.068000000000001</v>
      </c>
      <c r="L15" s="61">
        <f t="shared" si="4"/>
        <v>70810</v>
      </c>
      <c r="M15" s="1" t="str">
        <f>IF(ROUND(G15,2)=ROUND(SUM(G34:G36),2)," ","CHECK 2. 9-12 Lines Below")</f>
        <v xml:space="preserve"> </v>
      </c>
      <c r="N15" s="54">
        <v>5103</v>
      </c>
      <c r="O15" s="60" t="s">
        <v>40</v>
      </c>
      <c r="Q15" s="56"/>
      <c r="V15" s="402" t="s">
        <v>39</v>
      </c>
      <c r="W15" s="402"/>
      <c r="X15" s="392">
        <f>IF('4013'!K$84=1,'4013'!G15,0)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IF('4013'!K$84=1,'4013'!G16,0)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IF('4013'!K$84=1,'4013'!G17,0)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IF('4013'!K$84=1,'4013'!G18,0)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IF('4013'!K$84=1,'4013'!G19,0)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IF('4013'!K$84=1,'4013'!G20,0)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IF('4013'!K$84=1,'4013'!G21,0)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IF('4013'!K$84=1,'4013'!G22,0)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IF('4013'!K$84=1,'4013'!G23,0)</f>
        <v>0</v>
      </c>
      <c r="Y23" s="392"/>
      <c r="Z23" s="403">
        <v>1</v>
      </c>
      <c r="AA23" s="403"/>
      <c r="AB23" s="57">
        <f t="shared" si="0"/>
        <v>0</v>
      </c>
      <c r="AC23" s="58">
        <f t="shared" si="1"/>
        <v>0</v>
      </c>
      <c r="AD23" s="9"/>
    </row>
    <row r="24" spans="1:30" ht="16.2" x14ac:dyDescent="0.35">
      <c r="A24" s="1" t="s">
        <v>57</v>
      </c>
      <c r="B24" s="14" t="s">
        <v>58</v>
      </c>
      <c r="C24" s="14"/>
      <c r="D24" s="14">
        <v>0.28999999999999998</v>
      </c>
      <c r="E24" s="14">
        <v>0.28999999999999998</v>
      </c>
      <c r="F24" s="14">
        <v>0</v>
      </c>
      <c r="G24" s="49">
        <f t="shared" si="2"/>
        <v>0.57999999999999996</v>
      </c>
      <c r="H24" s="50"/>
      <c r="I24" s="59">
        <f>I23</f>
        <v>1.147</v>
      </c>
      <c r="J24" s="59"/>
      <c r="K24" s="52">
        <f t="shared" si="3"/>
        <v>0.6653</v>
      </c>
      <c r="L24" s="53">
        <f t="shared" si="4"/>
        <v>2760</v>
      </c>
      <c r="N24" s="54">
        <v>5103</v>
      </c>
      <c r="O24" s="55">
        <v>130</v>
      </c>
      <c r="Q24" s="56"/>
      <c r="V24" s="402" t="s">
        <v>58</v>
      </c>
      <c r="W24" s="402"/>
      <c r="X24" s="392">
        <f>IF('4013'!K$84=1,'4013'!G24,0)</f>
        <v>0</v>
      </c>
      <c r="Y24" s="392"/>
      <c r="Z24" s="403">
        <v>1</v>
      </c>
      <c r="AA24" s="403"/>
      <c r="AB24" s="57">
        <f t="shared" si="0"/>
        <v>0</v>
      </c>
      <c r="AC24" s="58">
        <f t="shared" si="1"/>
        <v>0</v>
      </c>
      <c r="AD24" s="9"/>
    </row>
    <row r="25" spans="1:30" ht="16.8" thickBot="1" x14ac:dyDescent="0.4">
      <c r="A25" s="1" t="s">
        <v>59</v>
      </c>
      <c r="B25" s="14" t="s">
        <v>60</v>
      </c>
      <c r="C25" s="14"/>
      <c r="D25" s="14">
        <v>3.93</v>
      </c>
      <c r="E25" s="14">
        <v>4.74</v>
      </c>
      <c r="F25" s="14">
        <v>0</v>
      </c>
      <c r="G25" s="49">
        <f t="shared" si="2"/>
        <v>8.67</v>
      </c>
      <c r="H25" s="50"/>
      <c r="I25" s="59">
        <v>1.004</v>
      </c>
      <c r="J25" s="59"/>
      <c r="K25" s="52">
        <f t="shared" si="3"/>
        <v>8.7047000000000008</v>
      </c>
      <c r="L25" s="53">
        <f t="shared" si="4"/>
        <v>36113</v>
      </c>
      <c r="N25" s="54">
        <v>5310</v>
      </c>
      <c r="O25" s="55">
        <v>300</v>
      </c>
      <c r="Q25" s="56"/>
      <c r="V25" s="402" t="s">
        <v>60</v>
      </c>
      <c r="W25" s="402"/>
      <c r="X25" s="392">
        <f>IF('4013'!K$84=1,'4013'!G25,0)</f>
        <v>0</v>
      </c>
      <c r="Y25" s="392"/>
      <c r="Z25" s="403">
        <v>1</v>
      </c>
      <c r="AA25" s="403"/>
      <c r="AB25" s="57">
        <f t="shared" si="0"/>
        <v>0</v>
      </c>
      <c r="AC25" s="58">
        <f t="shared" si="1"/>
        <v>0</v>
      </c>
      <c r="AD25" s="9"/>
    </row>
    <row r="26" spans="1:30" ht="20.25" customHeight="1" thickBot="1" x14ac:dyDescent="0.35">
      <c r="B26" s="63" t="s">
        <v>61</v>
      </c>
      <c r="C26" s="63"/>
      <c r="D26" s="64">
        <f t="shared" ref="D26:E26" si="5">SUM(D10:D25)</f>
        <v>61.400000000000006</v>
      </c>
      <c r="E26" s="64">
        <f t="shared" si="5"/>
        <v>55.8</v>
      </c>
      <c r="F26" s="64"/>
      <c r="G26" s="64">
        <f>SUM(G10:G25)</f>
        <v>117.2</v>
      </c>
      <c r="H26" s="65"/>
      <c r="I26" s="65"/>
      <c r="J26" s="66"/>
      <c r="K26" s="67">
        <f>SUM(K10:K25)</f>
        <v>117.7518</v>
      </c>
      <c r="L26" s="68">
        <f>SUM(L10:L25)</f>
        <v>488516</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8.66</v>
      </c>
      <c r="E34" s="14">
        <v>8.34</v>
      </c>
      <c r="F34" s="90">
        <v>0</v>
      </c>
      <c r="G34" s="49">
        <f t="shared" si="6"/>
        <v>17</v>
      </c>
      <c r="H34" s="80"/>
      <c r="I34" s="91" t="s">
        <v>77</v>
      </c>
      <c r="J34" s="54">
        <v>251</v>
      </c>
      <c r="K34" s="82">
        <v>835</v>
      </c>
      <c r="L34" s="83">
        <f t="shared" si="8"/>
        <v>14195</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8.66</v>
      </c>
      <c r="E37" s="64">
        <f t="shared" si="10"/>
        <v>8.34</v>
      </c>
      <c r="F37" s="64"/>
      <c r="G37" s="64">
        <f>SUM(G28:G36)</f>
        <v>17</v>
      </c>
      <c r="H37" s="65"/>
      <c r="I37" s="14" t="s">
        <v>81</v>
      </c>
      <c r="J37" s="14"/>
      <c r="K37" s="14"/>
      <c r="L37" s="53">
        <f>SUM(L28:L36)</f>
        <v>14195</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22385</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525096</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117.7518</v>
      </c>
      <c r="D49" s="123"/>
      <c r="E49" s="123"/>
      <c r="F49" s="123"/>
      <c r="G49" s="124">
        <f>K7</f>
        <v>1.0289999999999999</v>
      </c>
      <c r="H49" s="124"/>
      <c r="I49" s="125">
        <v>905.98</v>
      </c>
      <c r="J49" s="126" t="s">
        <v>96</v>
      </c>
      <c r="K49" s="127">
        <f>ROUND(C49*G49*I49,0)</f>
        <v>109775</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117.7518</v>
      </c>
      <c r="D50" s="146"/>
      <c r="E50" s="147"/>
      <c r="F50" s="147"/>
      <c r="G50" s="148" t="s">
        <v>98</v>
      </c>
      <c r="H50" s="148"/>
      <c r="I50" s="148"/>
      <c r="J50" s="148"/>
      <c r="K50" s="148"/>
      <c r="L50" s="53">
        <f>IF(B2=75,0,K49+K48+K47)</f>
        <v>109775</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117.7518</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5.9500000000000004E-4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117.2</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6.4599999999999998E-4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5.9500000000000004E-4</v>
      </c>
      <c r="L59" s="53">
        <f>ROUND(I59*K59,0)</f>
        <v>2517</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5.9500000000000004E-4</v>
      </c>
      <c r="L67" s="53">
        <f>ROUND(I67*K67,0)</f>
        <v>61701</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6.4599999999999998E-4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5.9500000000000004E-4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5.9500000000000004E-4</v>
      </c>
      <c r="L71" s="53">
        <f>ROUND(I71*K71,0)</f>
        <v>1110</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6.4599999999999998E-4</v>
      </c>
      <c r="L72" s="53">
        <f>ROUND(I72*K72,0)</f>
        <v>9021</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6.4599999999999998E-4</v>
      </c>
      <c r="L77" s="53">
        <f>ROUND(I77*K77,0)</f>
        <v>1109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5.9500000000000004E-4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710329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'4013'!AC81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710329</v>
      </c>
      <c r="L86" s="83">
        <f>IF(G26=0,0,IF(G26&gt;250,-(((250/G26)*K86)*IF(M86="H",0.02,0.05)),IF(M86="H",-0.02*K86,-0.05*K86)))</f>
        <v>-35516.450000000004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674812.55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-56234</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618578.55000000005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56234.413636363643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374</v>
      </c>
      <c r="C123" s="221" t="s">
        <v>199</v>
      </c>
    </row>
    <row r="124" spans="2:3" hidden="1" x14ac:dyDescent="0.3">
      <c r="B124" s="225" t="s">
        <v>375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41808.603067129603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374</v>
      </c>
      <c r="C164" s="235" t="s">
        <v>244</v>
      </c>
      <c r="D164" s="231"/>
    </row>
    <row r="165" spans="1:4" hidden="1" x14ac:dyDescent="0.3">
      <c r="A165" s="230" t="s">
        <v>245</v>
      </c>
      <c r="B165" s="234" t="s">
        <v>375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41808.603067129603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5.777343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'4020'!B2</f>
        <v>50</v>
      </c>
      <c r="W2" s="380" t="s">
        <v>4</v>
      </c>
      <c r="X2" s="381"/>
      <c r="Y2" s="382"/>
      <c r="Z2" s="382"/>
      <c r="AA2" s="382"/>
      <c r="AB2" s="382"/>
      <c r="AC2" s="382"/>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'4020'!G7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232.77</v>
      </c>
      <c r="E10" s="48">
        <v>229.82</v>
      </c>
      <c r="F10" s="48">
        <v>0</v>
      </c>
      <c r="G10" s="49">
        <f>IF($B$154&lt;8,D10*2,D10+E10)</f>
        <v>462.59000000000003</v>
      </c>
      <c r="H10" s="50"/>
      <c r="I10" s="51">
        <v>1.1259999999999999</v>
      </c>
      <c r="J10" s="51"/>
      <c r="K10" s="52">
        <f>ROUND(G10*I10,4)</f>
        <v>520.87630000000001</v>
      </c>
      <c r="L10" s="53">
        <f>ROUND(ROUND(K10*$G$7,4)*($K$7),0)</f>
        <v>2160955</v>
      </c>
      <c r="N10" s="54">
        <v>5101</v>
      </c>
      <c r="O10" s="55">
        <v>101</v>
      </c>
      <c r="Q10" s="56"/>
      <c r="V10" s="391" t="s">
        <v>27</v>
      </c>
      <c r="W10" s="391"/>
      <c r="X10" s="392">
        <f>IF('4020'!K$84=1,'4020'!G10,0)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36.17</v>
      </c>
      <c r="E11" s="14">
        <v>38.049999999999997</v>
      </c>
      <c r="F11" s="14">
        <v>0</v>
      </c>
      <c r="G11" s="49">
        <f t="shared" ref="G11:G25" si="2">IF($B$154&lt;8,D11*2,D11+E11)</f>
        <v>74.22</v>
      </c>
      <c r="H11" s="50"/>
      <c r="I11" s="59">
        <f>I10</f>
        <v>1.1259999999999999</v>
      </c>
      <c r="J11" s="59"/>
      <c r="K11" s="52">
        <f t="shared" ref="K11:K25" si="3">ROUND(G11*I11,4)</f>
        <v>83.571700000000007</v>
      </c>
      <c r="L11" s="53">
        <f t="shared" ref="L11:L25" si="4">ROUND(ROUND(K11*$G$7,4)*($K$7),0)</f>
        <v>346713</v>
      </c>
      <c r="M11" s="1" t="str">
        <f>IF(ROUND(G11,2)=ROUND(SUM(G28:G30),2)," ","CHECK 2. PK-3 Lines Below")</f>
        <v xml:space="preserve"> </v>
      </c>
      <c r="N11" s="54">
        <v>5101</v>
      </c>
      <c r="O11" s="60" t="s">
        <v>30</v>
      </c>
      <c r="Q11" s="56"/>
      <c r="V11" s="402" t="s">
        <v>29</v>
      </c>
      <c r="W11" s="402"/>
      <c r="X11" s="392">
        <f>IF('4020'!K$84=1,'4020'!G11,0)</f>
        <v>0</v>
      </c>
      <c r="Y11" s="392"/>
      <c r="Z11" s="403">
        <v>1</v>
      </c>
      <c r="AA11" s="403"/>
      <c r="AB11" s="57">
        <f t="shared" si="0"/>
        <v>0</v>
      </c>
      <c r="AC11" s="58">
        <f t="shared" si="1"/>
        <v>0</v>
      </c>
      <c r="AD11" s="9"/>
    </row>
    <row r="12" spans="1:30" x14ac:dyDescent="0.3">
      <c r="A12" s="1" t="s">
        <v>31</v>
      </c>
      <c r="B12" s="14" t="s">
        <v>32</v>
      </c>
      <c r="C12" s="14"/>
      <c r="D12" s="14">
        <v>231.89</v>
      </c>
      <c r="E12" s="14">
        <v>232.8</v>
      </c>
      <c r="F12" s="14">
        <v>0</v>
      </c>
      <c r="G12" s="49">
        <f t="shared" si="2"/>
        <v>464.69</v>
      </c>
      <c r="H12" s="50"/>
      <c r="I12" s="59">
        <v>1</v>
      </c>
      <c r="J12" s="59"/>
      <c r="K12" s="52">
        <f t="shared" si="3"/>
        <v>464.69</v>
      </c>
      <c r="L12" s="53">
        <f t="shared" si="4"/>
        <v>1927855</v>
      </c>
      <c r="N12" s="54">
        <v>5102</v>
      </c>
      <c r="O12" s="55">
        <v>102</v>
      </c>
      <c r="Q12" s="56"/>
      <c r="V12" s="402" t="s">
        <v>32</v>
      </c>
      <c r="W12" s="402"/>
      <c r="X12" s="392">
        <f>IF('4020'!K$84=1,'4020'!G12,0)</f>
        <v>0</v>
      </c>
      <c r="Y12" s="392"/>
      <c r="Z12" s="403">
        <v>1</v>
      </c>
      <c r="AA12" s="403"/>
      <c r="AB12" s="57">
        <f t="shared" si="0"/>
        <v>0</v>
      </c>
      <c r="AC12" s="58">
        <f t="shared" si="1"/>
        <v>0</v>
      </c>
      <c r="AD12" s="9"/>
    </row>
    <row r="13" spans="1:30" x14ac:dyDescent="0.3">
      <c r="A13" s="1" t="s">
        <v>33</v>
      </c>
      <c r="B13" s="14" t="s">
        <v>34</v>
      </c>
      <c r="C13" s="14"/>
      <c r="D13" s="14">
        <v>50.14</v>
      </c>
      <c r="E13" s="14">
        <v>48.19</v>
      </c>
      <c r="F13" s="14">
        <v>0</v>
      </c>
      <c r="G13" s="49">
        <f t="shared" si="2"/>
        <v>98.33</v>
      </c>
      <c r="H13" s="50"/>
      <c r="I13" s="59">
        <f>I12</f>
        <v>1</v>
      </c>
      <c r="J13" s="59"/>
      <c r="K13" s="52">
        <f t="shared" si="3"/>
        <v>98.33</v>
      </c>
      <c r="L13" s="53">
        <f t="shared" si="4"/>
        <v>407941</v>
      </c>
      <c r="M13" s="1" t="str">
        <f>IF(ROUND(G13,2)=ROUND(SUM(G31:G33),2)," ","CHECK 2. 4-8 Lines Below")</f>
        <v xml:space="preserve"> </v>
      </c>
      <c r="N13" s="54">
        <v>5102</v>
      </c>
      <c r="O13" s="60" t="s">
        <v>35</v>
      </c>
      <c r="Q13" s="56"/>
      <c r="V13" s="402" t="s">
        <v>34</v>
      </c>
      <c r="W13" s="402"/>
      <c r="X13" s="392">
        <f>IF('4020'!K$84=1,'4020'!G13,0)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IF('4020'!K$84=1,'4020'!G14,0)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IF('4020'!K$84=1,'4020'!G15,0)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IF('4020'!K$84=1,'4020'!G16,0)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IF('4020'!K$84=1,'4020'!G17,0)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IF('4020'!K$84=1,'4020'!G18,0)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IF('4020'!K$84=1,'4020'!G19,0)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IF('4020'!K$84=1,'4020'!G20,0)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IF('4020'!K$84=1,'4020'!G21,0)</f>
        <v>0</v>
      </c>
      <c r="Y21" s="392"/>
      <c r="Z21" s="403">
        <v>1</v>
      </c>
      <c r="AA21" s="403"/>
      <c r="AB21" s="57">
        <f t="shared" si="0"/>
        <v>0</v>
      </c>
      <c r="AC21" s="58">
        <f t="shared" si="1"/>
        <v>0</v>
      </c>
      <c r="AD21" s="9"/>
    </row>
    <row r="22" spans="1:30" ht="16.2" x14ac:dyDescent="0.35">
      <c r="A22" s="1" t="s">
        <v>53</v>
      </c>
      <c r="B22" s="14" t="s">
        <v>54</v>
      </c>
      <c r="C22" s="14"/>
      <c r="D22" s="14">
        <v>10.42</v>
      </c>
      <c r="E22" s="14">
        <v>9.58</v>
      </c>
      <c r="F22" s="14">
        <v>0</v>
      </c>
      <c r="G22" s="49">
        <f t="shared" si="2"/>
        <v>20</v>
      </c>
      <c r="H22" s="50"/>
      <c r="I22" s="59">
        <v>1.147</v>
      </c>
      <c r="J22" s="59"/>
      <c r="K22" s="52">
        <f t="shared" si="3"/>
        <v>22.94</v>
      </c>
      <c r="L22" s="53">
        <f t="shared" si="4"/>
        <v>95171</v>
      </c>
      <c r="N22" s="54">
        <v>5101</v>
      </c>
      <c r="O22" s="55">
        <v>130</v>
      </c>
      <c r="Q22" s="56"/>
      <c r="V22" s="402" t="s">
        <v>54</v>
      </c>
      <c r="W22" s="402"/>
      <c r="X22" s="392">
        <f>IF('4020'!K$84=1,'4020'!G22,0)</f>
        <v>0</v>
      </c>
      <c r="Y22" s="392"/>
      <c r="Z22" s="403">
        <v>1</v>
      </c>
      <c r="AA22" s="403"/>
      <c r="AB22" s="57">
        <f t="shared" si="0"/>
        <v>0</v>
      </c>
      <c r="AC22" s="58">
        <f t="shared" si="1"/>
        <v>0</v>
      </c>
      <c r="AD22" s="9"/>
    </row>
    <row r="23" spans="1:30" ht="16.2" x14ac:dyDescent="0.35">
      <c r="A23" s="1" t="s">
        <v>55</v>
      </c>
      <c r="B23" s="14" t="s">
        <v>56</v>
      </c>
      <c r="C23" s="14"/>
      <c r="D23" s="14">
        <v>3.75</v>
      </c>
      <c r="E23" s="14">
        <v>3.3</v>
      </c>
      <c r="F23" s="14">
        <v>0</v>
      </c>
      <c r="G23" s="49">
        <f t="shared" si="2"/>
        <v>7.05</v>
      </c>
      <c r="H23" s="50"/>
      <c r="I23" s="59">
        <f>I22</f>
        <v>1.147</v>
      </c>
      <c r="J23" s="59"/>
      <c r="K23" s="52">
        <f t="shared" si="3"/>
        <v>8.0863999999999994</v>
      </c>
      <c r="L23" s="53">
        <f t="shared" si="4"/>
        <v>33548</v>
      </c>
      <c r="N23" s="54">
        <v>5102</v>
      </c>
      <c r="O23" s="55">
        <v>130</v>
      </c>
      <c r="Q23" s="56"/>
      <c r="V23" s="402" t="s">
        <v>56</v>
      </c>
      <c r="W23" s="402"/>
      <c r="X23" s="392">
        <f>IF('4020'!K$84=1,'4020'!G23,0)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IF('4020'!K$84=1,'4020'!G24,0)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IF('4020'!K$84=1,'4020'!G25,0)</f>
        <v>0</v>
      </c>
      <c r="Y25" s="392"/>
      <c r="Z25" s="403">
        <v>1</v>
      </c>
      <c r="AA25" s="403"/>
      <c r="AB25" s="57">
        <f t="shared" si="0"/>
        <v>0</v>
      </c>
      <c r="AC25" s="58">
        <f t="shared" si="1"/>
        <v>0</v>
      </c>
      <c r="AD25" s="9"/>
    </row>
    <row r="26" spans="1:30" ht="20.25" customHeight="1" thickBot="1" x14ac:dyDescent="0.35">
      <c r="B26" s="63" t="s">
        <v>61</v>
      </c>
      <c r="C26" s="63"/>
      <c r="D26" s="64">
        <f t="shared" ref="D26:E26" si="5">SUM(D10:D25)</f>
        <v>565.14</v>
      </c>
      <c r="E26" s="64">
        <f t="shared" si="5"/>
        <v>561.74</v>
      </c>
      <c r="F26" s="64"/>
      <c r="G26" s="64">
        <f>SUM(G10:G25)</f>
        <v>1126.8799999999999</v>
      </c>
      <c r="H26" s="65"/>
      <c r="I26" s="65"/>
      <c r="J26" s="66"/>
      <c r="K26" s="67">
        <f>SUM(K10:K25)</f>
        <v>1198.4943999999998</v>
      </c>
      <c r="L26" s="68">
        <f>SUM(L10:L25)</f>
        <v>4972183</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31.19</v>
      </c>
      <c r="E28" s="14">
        <v>32.56</v>
      </c>
      <c r="F28" s="79">
        <v>0</v>
      </c>
      <c r="G28" s="49">
        <f t="shared" ref="G28:G36" si="6">IF($B$154&lt;8,D28*2,D28+E28)</f>
        <v>63.75</v>
      </c>
      <c r="H28" s="80"/>
      <c r="I28" s="81" t="s">
        <v>69</v>
      </c>
      <c r="J28" s="54">
        <v>251</v>
      </c>
      <c r="K28" s="82">
        <v>1047</v>
      </c>
      <c r="L28" s="83">
        <f>ROUND(G28*K28,0)</f>
        <v>66746</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4.51</v>
      </c>
      <c r="E29" s="14">
        <v>4.49</v>
      </c>
      <c r="F29" s="90">
        <v>0</v>
      </c>
      <c r="G29" s="49">
        <f t="shared" si="6"/>
        <v>9</v>
      </c>
      <c r="H29" s="80"/>
      <c r="I29" s="54" t="s">
        <v>69</v>
      </c>
      <c r="J29" s="54">
        <v>252</v>
      </c>
      <c r="K29" s="82">
        <v>3380</v>
      </c>
      <c r="L29" s="83">
        <f t="shared" ref="L29:L36" si="8">ROUND(G29*K29,0)</f>
        <v>30420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0.47</v>
      </c>
      <c r="E30" s="14">
        <v>1</v>
      </c>
      <c r="F30" s="90">
        <v>0</v>
      </c>
      <c r="G30" s="49">
        <f t="shared" si="6"/>
        <v>1.47</v>
      </c>
      <c r="H30" s="80"/>
      <c r="I30" s="54" t="s">
        <v>69</v>
      </c>
      <c r="J30" s="54">
        <v>253</v>
      </c>
      <c r="K30" s="82">
        <v>6896</v>
      </c>
      <c r="L30" s="83">
        <f t="shared" si="8"/>
        <v>10137</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48.62</v>
      </c>
      <c r="E31" s="14">
        <v>46.59</v>
      </c>
      <c r="F31" s="90">
        <v>0</v>
      </c>
      <c r="G31" s="49">
        <f t="shared" si="6"/>
        <v>95.210000000000008</v>
      </c>
      <c r="H31" s="80"/>
      <c r="I31" s="91" t="s">
        <v>73</v>
      </c>
      <c r="J31" s="54">
        <v>251</v>
      </c>
      <c r="K31" s="82">
        <v>1173</v>
      </c>
      <c r="L31" s="83">
        <f t="shared" si="8"/>
        <v>111681</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1.52</v>
      </c>
      <c r="E32" s="14">
        <v>1.6</v>
      </c>
      <c r="F32" s="90">
        <v>0</v>
      </c>
      <c r="G32" s="49">
        <f t="shared" si="6"/>
        <v>3.12</v>
      </c>
      <c r="H32" s="80"/>
      <c r="I32" s="91" t="s">
        <v>73</v>
      </c>
      <c r="J32" s="54">
        <v>252</v>
      </c>
      <c r="K32" s="82">
        <v>3506</v>
      </c>
      <c r="L32" s="83">
        <f t="shared" si="8"/>
        <v>10939</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86.309999999999988</v>
      </c>
      <c r="E37" s="64">
        <f t="shared" si="10"/>
        <v>86.240000000000009</v>
      </c>
      <c r="F37" s="64"/>
      <c r="G37" s="64">
        <f>SUM(G28:G36)</f>
        <v>172.55</v>
      </c>
      <c r="H37" s="65"/>
      <c r="I37" s="14" t="s">
        <v>81</v>
      </c>
      <c r="J37" s="14"/>
      <c r="K37" s="14"/>
      <c r="L37" s="53">
        <f>SUM(L28:L36)</f>
        <v>229923</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215234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5417340</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627.38800000000003</v>
      </c>
      <c r="D47" s="123"/>
      <c r="E47" s="123"/>
      <c r="F47" s="123"/>
      <c r="G47" s="124">
        <f>K7</f>
        <v>1.0289999999999999</v>
      </c>
      <c r="H47" s="124"/>
      <c r="I47" s="125">
        <v>1325.01</v>
      </c>
      <c r="J47" s="126" t="s">
        <v>96</v>
      </c>
      <c r="K47" s="127">
        <f>ROUND(C47*G47*I47,0)</f>
        <v>855403</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571.10640000000001</v>
      </c>
      <c r="D48" s="123"/>
      <c r="E48" s="123"/>
      <c r="F48" s="123"/>
      <c r="G48" s="124">
        <f>K7</f>
        <v>1.0289999999999999</v>
      </c>
      <c r="H48" s="124"/>
      <c r="I48" s="125">
        <v>903.8</v>
      </c>
      <c r="J48" s="126" t="s">
        <v>96</v>
      </c>
      <c r="K48" s="127">
        <f>ROUND(C48*G48*I48,0)</f>
        <v>531135</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1198.4944</v>
      </c>
      <c r="D50" s="146"/>
      <c r="E50" s="147"/>
      <c r="F50" s="147"/>
      <c r="G50" s="148" t="s">
        <v>98</v>
      </c>
      <c r="H50" s="148"/>
      <c r="I50" s="148"/>
      <c r="J50" s="148"/>
      <c r="K50" s="148"/>
      <c r="L50" s="53">
        <f>IF(B2=75,0,K49+K48+K47)</f>
        <v>1386538</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1198.4943999999998</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6.051E-3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1126.8799999999999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6.2129999999999998E-3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6.051E-3</v>
      </c>
      <c r="L59" s="53">
        <f>ROUND(I59*K59,0)</f>
        <v>25601</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6.051E-3</v>
      </c>
      <c r="L67" s="53">
        <f>ROUND(I67*K67,0)</f>
        <v>627481</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6.2129999999999998E-3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6.051E-3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6.051E-3</v>
      </c>
      <c r="L71" s="53">
        <f>ROUND(I71*K71,0)</f>
        <v>11290</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6.2129999999999998E-3</v>
      </c>
      <c r="L72" s="53">
        <f>ROUND(I72*K72,0)</f>
        <v>86758</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232.5</v>
      </c>
      <c r="AA74" s="173" t="s">
        <v>130</v>
      </c>
      <c r="AB74" s="174">
        <f>+K75</f>
        <v>361</v>
      </c>
      <c r="AC74" s="58">
        <f>ROUND(AB74*Z74,0)</f>
        <v>83933</v>
      </c>
      <c r="AD74" s="9"/>
    </row>
    <row r="75" spans="1:30" ht="19.5" customHeight="1" x14ac:dyDescent="0.3">
      <c r="A75" s="1" t="s">
        <v>131</v>
      </c>
      <c r="B75" s="175" t="s">
        <v>128</v>
      </c>
      <c r="C75" s="176" t="s">
        <v>129</v>
      </c>
      <c r="D75" s="175">
        <v>209</v>
      </c>
      <c r="E75" s="175">
        <v>256</v>
      </c>
      <c r="F75" s="175">
        <v>0</v>
      </c>
      <c r="G75" s="177">
        <f>IF($B$154&lt;8,D75,E75)</f>
        <v>256</v>
      </c>
      <c r="H75" s="178"/>
      <c r="I75" s="179">
        <f>AVERAGE(G75,D75)</f>
        <v>232.5</v>
      </c>
      <c r="J75" s="180" t="s">
        <v>130</v>
      </c>
      <c r="K75" s="181">
        <v>361</v>
      </c>
      <c r="L75" s="53">
        <f>ROUND(K75*I75,0)</f>
        <v>83933</v>
      </c>
      <c r="M75" s="276">
        <f>I75/G26</f>
        <v>0.20632187988073267</v>
      </c>
      <c r="N75" s="1">
        <v>7802</v>
      </c>
      <c r="O75" s="1">
        <v>0</v>
      </c>
      <c r="V75" s="445" t="s">
        <v>128</v>
      </c>
      <c r="W75" s="445"/>
      <c r="X75" s="170" t="s">
        <v>132</v>
      </c>
      <c r="Y75" s="182"/>
      <c r="Z75" s="183">
        <f>+I76</f>
        <v>1</v>
      </c>
      <c r="AA75" s="173" t="s">
        <v>130</v>
      </c>
      <c r="AB75" s="184">
        <f>+K76</f>
        <v>1357</v>
      </c>
      <c r="AC75" s="58">
        <f>ROUND(AB75*Z75,0)</f>
        <v>1357</v>
      </c>
      <c r="AD75" s="9"/>
    </row>
    <row r="76" spans="1:30" ht="19.5" customHeight="1" x14ac:dyDescent="0.3">
      <c r="A76" s="1" t="s">
        <v>133</v>
      </c>
      <c r="B76" s="175" t="s">
        <v>128</v>
      </c>
      <c r="C76" s="176" t="s">
        <v>132</v>
      </c>
      <c r="D76" s="175">
        <v>1</v>
      </c>
      <c r="E76" s="175">
        <v>1</v>
      </c>
      <c r="F76" s="175">
        <v>0</v>
      </c>
      <c r="G76" s="177">
        <f>IF($B$154&lt;8,D76,E76)</f>
        <v>1</v>
      </c>
      <c r="H76" s="178"/>
      <c r="I76" s="179">
        <f>AVERAGE(G76,D76)</f>
        <v>1</v>
      </c>
      <c r="J76" s="180" t="s">
        <v>130</v>
      </c>
      <c r="K76" s="185">
        <v>1357</v>
      </c>
      <c r="L76" s="53">
        <f>ROUND(K76*I76,0)</f>
        <v>1357</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6.2129999999999998E-3</v>
      </c>
      <c r="L77" s="53">
        <f>ROUND(I77*K77,0)</f>
        <v>10668</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6.051E-3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85290</v>
      </c>
      <c r="AD81" s="197"/>
    </row>
    <row r="82" spans="1:30" ht="22.5" customHeight="1" thickTop="1" thickBot="1" x14ac:dyDescent="0.35">
      <c r="B82" s="14" t="s">
        <v>140</v>
      </c>
      <c r="C82" s="14"/>
      <c r="D82" s="14"/>
      <c r="E82" s="14"/>
      <c r="F82" s="14"/>
      <c r="G82" s="14"/>
      <c r="H82" s="14"/>
      <c r="I82" s="14"/>
      <c r="J82" s="14"/>
      <c r="K82" s="14"/>
      <c r="L82" s="198">
        <f>SUM(L44:L81)</f>
        <v>7650966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'4020'!AC81</f>
        <v>85290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7650966</v>
      </c>
      <c r="L86" s="83">
        <f>IF(G26=0,0,IF(G26&gt;250,-(((250/G26)*K86)*IF(M86="H",0.02,0.05)),IF(M86="H",-0.02*K86,-0.05*K86)))</f>
        <v>-84868.90795825643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7566097.0920417439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-630508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6935589.0920417439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630508.09927652217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297679.39204174362</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377</v>
      </c>
      <c r="C123" s="221" t="s">
        <v>199</v>
      </c>
    </row>
    <row r="124" spans="2:3" hidden="1" x14ac:dyDescent="0.3">
      <c r="B124" s="225" t="s">
        <v>378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41808.6030902778</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377</v>
      </c>
      <c r="C164" s="235" t="s">
        <v>244</v>
      </c>
      <c r="D164" s="231"/>
    </row>
    <row r="165" spans="1:4" hidden="1" x14ac:dyDescent="0.3">
      <c r="A165" s="230" t="s">
        <v>245</v>
      </c>
      <c r="B165" s="234" t="s">
        <v>378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41808.6030902778</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M2" s="1" t="s">
        <v>385</v>
      </c>
      <c r="N2" s="3"/>
      <c r="O2" s="1"/>
      <c r="V2" s="8">
        <f>'4021'!B2</f>
        <v>50</v>
      </c>
      <c r="W2" s="380" t="s">
        <v>4</v>
      </c>
      <c r="X2" s="381"/>
      <c r="Y2" s="382"/>
      <c r="Z2" s="382"/>
      <c r="AA2" s="382"/>
      <c r="AB2" s="382"/>
      <c r="AC2" s="382"/>
      <c r="AD2" s="9"/>
    </row>
    <row r="3" spans="1:30" ht="20.399999999999999" x14ac:dyDescent="0.35">
      <c r="B3" s="10" t="s">
        <v>469</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'4021'!G7</f>
        <v>4031.77</v>
      </c>
      <c r="Y7" s="396"/>
      <c r="Z7" s="397" t="s">
        <v>12</v>
      </c>
      <c r="AA7" s="397"/>
      <c r="AB7" s="398">
        <f>+K7</f>
        <v>1.0289999999999999</v>
      </c>
      <c r="AC7" s="398"/>
      <c r="AD7" s="9"/>
    </row>
    <row r="8" spans="1:30" ht="51" customHeight="1" x14ac:dyDescent="0.3">
      <c r="B8" s="28" t="s">
        <v>13</v>
      </c>
      <c r="C8" s="28"/>
      <c r="D8" s="359" t="s">
        <v>514</v>
      </c>
      <c r="E8" s="30"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186</v>
      </c>
      <c r="E10" s="48"/>
      <c r="F10" s="48"/>
      <c r="G10" s="49">
        <f>IF(E10=0,D10*2,D10+E10)</f>
        <v>372</v>
      </c>
      <c r="H10" s="50"/>
      <c r="I10" s="51">
        <v>1.1259999999999999</v>
      </c>
      <c r="J10" s="51"/>
      <c r="K10" s="52">
        <f>ROUND(G10*I10,4)</f>
        <v>418.87200000000001</v>
      </c>
      <c r="L10" s="53">
        <f>ROUND(ROUND(K10*$G$7,4)*($K$7),0)</f>
        <v>1737771</v>
      </c>
      <c r="N10" s="54">
        <v>5101</v>
      </c>
      <c r="O10" s="55">
        <v>101</v>
      </c>
      <c r="Q10" s="56"/>
      <c r="V10" s="391" t="s">
        <v>27</v>
      </c>
      <c r="W10" s="391"/>
      <c r="X10" s="392">
        <f>IF('4021'!K$84=1,'4021'!G10,0)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IF('4021'!K$84=1,'4021'!G11,0)</f>
        <v>0</v>
      </c>
      <c r="Y11" s="392"/>
      <c r="Z11" s="403">
        <v>1</v>
      </c>
      <c r="AA11" s="403"/>
      <c r="AB11" s="57">
        <f t="shared" si="0"/>
        <v>0</v>
      </c>
      <c r="AC11" s="58">
        <f t="shared" si="1"/>
        <v>0</v>
      </c>
      <c r="AD11" s="9"/>
    </row>
    <row r="12" spans="1:30" x14ac:dyDescent="0.3">
      <c r="A12" s="1" t="s">
        <v>31</v>
      </c>
      <c r="B12" s="14" t="s">
        <v>32</v>
      </c>
      <c r="C12" s="14"/>
      <c r="D12" s="14">
        <v>111.5</v>
      </c>
      <c r="E12" s="14"/>
      <c r="F12" s="14"/>
      <c r="G12" s="49">
        <f t="shared" si="2"/>
        <v>223</v>
      </c>
      <c r="H12" s="50"/>
      <c r="I12" s="59">
        <v>1</v>
      </c>
      <c r="J12" s="59"/>
      <c r="K12" s="52">
        <f t="shared" si="3"/>
        <v>223</v>
      </c>
      <c r="L12" s="53">
        <f t="shared" si="4"/>
        <v>925158</v>
      </c>
      <c r="N12" s="54">
        <v>5102</v>
      </c>
      <c r="O12" s="55">
        <v>102</v>
      </c>
      <c r="Q12" s="56"/>
      <c r="V12" s="402" t="s">
        <v>32</v>
      </c>
      <c r="W12" s="402"/>
      <c r="X12" s="392">
        <f>IF('4021'!K$84=1,'4021'!G12,0)</f>
        <v>0</v>
      </c>
      <c r="Y12" s="392"/>
      <c r="Z12" s="403">
        <v>1</v>
      </c>
      <c r="AA12" s="403"/>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IF('4021'!K$84=1,'4021'!G13,0)</f>
        <v>0</v>
      </c>
      <c r="Y13" s="392"/>
      <c r="Z13" s="403">
        <v>1</v>
      </c>
      <c r="AA13" s="403"/>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402" t="s">
        <v>37</v>
      </c>
      <c r="W14" s="402"/>
      <c r="X14" s="392">
        <f>IF('4021'!K$84=1,'4021'!G14,0)</f>
        <v>0</v>
      </c>
      <c r="Y14" s="392"/>
      <c r="Z14" s="403">
        <v>1</v>
      </c>
      <c r="AA14" s="403"/>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IF('4021'!K$84=1,'4021'!G15,0)</f>
        <v>0</v>
      </c>
      <c r="Y15" s="392"/>
      <c r="Z15" s="403">
        <v>1</v>
      </c>
      <c r="AA15" s="403"/>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402" t="s">
        <v>42</v>
      </c>
      <c r="W16" s="402"/>
      <c r="X16" s="392">
        <f>IF('4021'!K$84=1,'4021'!G16,0)</f>
        <v>0</v>
      </c>
      <c r="Y16" s="392"/>
      <c r="Z16" s="403">
        <v>1</v>
      </c>
      <c r="AA16" s="403"/>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402" t="s">
        <v>44</v>
      </c>
      <c r="W17" s="402"/>
      <c r="X17" s="392">
        <f>IF('4021'!K$84=1,'4021'!G17,0)</f>
        <v>0</v>
      </c>
      <c r="Y17" s="392"/>
      <c r="Z17" s="403">
        <v>1</v>
      </c>
      <c r="AA17" s="403"/>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402" t="s">
        <v>46</v>
      </c>
      <c r="W18" s="402"/>
      <c r="X18" s="392">
        <f>IF('4021'!K$84=1,'4021'!G18,0)</f>
        <v>0</v>
      </c>
      <c r="Y18" s="392"/>
      <c r="Z18" s="403">
        <v>1</v>
      </c>
      <c r="AA18" s="403"/>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402" t="s">
        <v>48</v>
      </c>
      <c r="W19" s="402"/>
      <c r="X19" s="392">
        <f>IF('4021'!K$84=1,'4021'!G19,0)</f>
        <v>0</v>
      </c>
      <c r="Y19" s="392"/>
      <c r="Z19" s="403">
        <v>1</v>
      </c>
      <c r="AA19" s="403"/>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402" t="s">
        <v>50</v>
      </c>
      <c r="W20" s="402"/>
      <c r="X20" s="392">
        <f>IF('4021'!K$84=1,'4021'!G20,0)</f>
        <v>0</v>
      </c>
      <c r="Y20" s="392"/>
      <c r="Z20" s="403">
        <v>1</v>
      </c>
      <c r="AA20" s="403"/>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402" t="s">
        <v>52</v>
      </c>
      <c r="W21" s="402"/>
      <c r="X21" s="392">
        <f>IF('4021'!K$84=1,'4021'!G21,0)</f>
        <v>0</v>
      </c>
      <c r="Y21" s="392"/>
      <c r="Z21" s="403">
        <v>1</v>
      </c>
      <c r="AA21" s="403"/>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402" t="s">
        <v>54</v>
      </c>
      <c r="W22" s="402"/>
      <c r="X22" s="392">
        <f>IF('4021'!K$84=1,'4021'!G22,0)</f>
        <v>0</v>
      </c>
      <c r="Y22" s="392"/>
      <c r="Z22" s="403">
        <v>1</v>
      </c>
      <c r="AA22" s="403"/>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402" t="s">
        <v>56</v>
      </c>
      <c r="W23" s="402"/>
      <c r="X23" s="392">
        <f>IF('4021'!K$84=1,'4021'!G23,0)</f>
        <v>0</v>
      </c>
      <c r="Y23" s="392"/>
      <c r="Z23" s="403">
        <v>1</v>
      </c>
      <c r="AA23" s="403"/>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402" t="s">
        <v>58</v>
      </c>
      <c r="W24" s="402"/>
      <c r="X24" s="392">
        <f>IF('4021'!K$84=1,'4021'!G24,0)</f>
        <v>0</v>
      </c>
      <c r="Y24" s="392"/>
      <c r="Z24" s="403">
        <v>1</v>
      </c>
      <c r="AA24" s="403"/>
      <c r="AB24" s="57">
        <f t="shared" si="0"/>
        <v>0</v>
      </c>
      <c r="AC24" s="58">
        <f t="shared" si="1"/>
        <v>0</v>
      </c>
      <c r="AD24" s="9"/>
    </row>
    <row r="25" spans="1:30" ht="16.8" thickBot="1" x14ac:dyDescent="0.4">
      <c r="A25" s="1" t="s">
        <v>59</v>
      </c>
      <c r="B25" s="14" t="s">
        <v>60</v>
      </c>
      <c r="C25" s="14"/>
      <c r="D25" s="14">
        <v>0</v>
      </c>
      <c r="E25" s="14"/>
      <c r="F25" s="14"/>
      <c r="G25" s="248">
        <f t="shared" si="2"/>
        <v>0</v>
      </c>
      <c r="H25" s="50"/>
      <c r="I25" s="59">
        <v>1.004</v>
      </c>
      <c r="J25" s="59"/>
      <c r="K25" s="52">
        <f t="shared" si="3"/>
        <v>0</v>
      </c>
      <c r="L25" s="53">
        <f t="shared" si="4"/>
        <v>0</v>
      </c>
      <c r="N25" s="54">
        <v>5310</v>
      </c>
      <c r="O25" s="55">
        <v>300</v>
      </c>
      <c r="Q25" s="56"/>
      <c r="V25" s="402" t="s">
        <v>60</v>
      </c>
      <c r="W25" s="402"/>
      <c r="X25" s="392">
        <f>IF('4021'!K$84=1,'4021'!G25,0)</f>
        <v>0</v>
      </c>
      <c r="Y25" s="392"/>
      <c r="Z25" s="403">
        <v>1</v>
      </c>
      <c r="AA25" s="403"/>
      <c r="AB25" s="57">
        <f t="shared" si="0"/>
        <v>0</v>
      </c>
      <c r="AC25" s="58">
        <f t="shared" si="1"/>
        <v>0</v>
      </c>
      <c r="AD25" s="9"/>
    </row>
    <row r="26" spans="1:30" ht="20.25" customHeight="1" thickBot="1" x14ac:dyDescent="0.35">
      <c r="B26" s="63" t="s">
        <v>61</v>
      </c>
      <c r="C26" s="63"/>
      <c r="D26" s="64">
        <f t="shared" ref="D26:E26" si="5">SUM(D10:D25)</f>
        <v>297.5</v>
      </c>
      <c r="E26" s="64">
        <f t="shared" si="5"/>
        <v>0</v>
      </c>
      <c r="F26" s="64"/>
      <c r="G26" s="64">
        <f>SUM(G10:G25)</f>
        <v>595</v>
      </c>
      <c r="H26" s="65"/>
      <c r="I26" s="65"/>
      <c r="J26" s="66"/>
      <c r="K26" s="67">
        <f>SUM(K10:K25)</f>
        <v>641.87200000000007</v>
      </c>
      <c r="L26" s="68">
        <f>SUM(L10:L25)</f>
        <v>2662929</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371" t="s">
        <v>514</v>
      </c>
      <c r="E27" s="371"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c r="F28" s="79"/>
      <c r="G28" s="49">
        <f>IF(E28=0,D28*2,D28+E28)</f>
        <v>0</v>
      </c>
      <c r="H28" s="80"/>
      <c r="I28" s="81" t="s">
        <v>69</v>
      </c>
      <c r="J28" s="54">
        <v>251</v>
      </c>
      <c r="K28" s="82">
        <v>1047</v>
      </c>
      <c r="L28" s="83">
        <f>ROUND(G28*K28,0)</f>
        <v>0</v>
      </c>
      <c r="N28" s="13">
        <v>5101</v>
      </c>
      <c r="O28" s="56">
        <v>251</v>
      </c>
      <c r="P28" s="84"/>
      <c r="Q28" s="85"/>
      <c r="V28" s="416" t="s">
        <v>68</v>
      </c>
      <c r="W28" s="416"/>
      <c r="X28" s="417"/>
      <c r="Y28" s="417"/>
      <c r="Z28" s="86" t="s">
        <v>69</v>
      </c>
      <c r="AA28" s="87">
        <v>251</v>
      </c>
      <c r="AB28" s="88">
        <f>+K28</f>
        <v>1047</v>
      </c>
      <c r="AC28" s="89">
        <f t="shared" ref="AC28:AC36" si="6">ROUND(X28*AB28,0)</f>
        <v>0</v>
      </c>
      <c r="AD28" s="9"/>
    </row>
    <row r="29" spans="1:30" x14ac:dyDescent="0.3">
      <c r="A29" s="1" t="s">
        <v>70</v>
      </c>
      <c r="B29" s="412"/>
      <c r="C29" s="413"/>
      <c r="D29" s="14">
        <v>0</v>
      </c>
      <c r="E29" s="14"/>
      <c r="F29" s="90"/>
      <c r="G29" s="49">
        <f t="shared" ref="G29:G36" si="7">IF(E29=0,D29*2,D29+E29)</f>
        <v>0</v>
      </c>
      <c r="H29" s="80"/>
      <c r="I29" s="54" t="s">
        <v>69</v>
      </c>
      <c r="J29" s="54">
        <v>252</v>
      </c>
      <c r="K29" s="82">
        <v>3380</v>
      </c>
      <c r="L29" s="83">
        <f t="shared" ref="L29:L36" si="8">ROUND(G29*K29,0)</f>
        <v>0</v>
      </c>
      <c r="N29" s="13">
        <v>5101</v>
      </c>
      <c r="O29" s="56">
        <v>252</v>
      </c>
      <c r="P29" s="84"/>
      <c r="Q29" s="85"/>
      <c r="V29" s="416"/>
      <c r="W29" s="416"/>
      <c r="X29" s="417"/>
      <c r="Y29" s="417"/>
      <c r="Z29" s="87" t="s">
        <v>69</v>
      </c>
      <c r="AA29" s="87">
        <v>252</v>
      </c>
      <c r="AB29" s="88">
        <f t="shared" ref="AB29:AB36" si="9">+K29</f>
        <v>3380</v>
      </c>
      <c r="AC29" s="89">
        <f t="shared" si="6"/>
        <v>0</v>
      </c>
      <c r="AD29" s="9"/>
    </row>
    <row r="30" spans="1:30" x14ac:dyDescent="0.3">
      <c r="A30" s="1" t="s">
        <v>71</v>
      </c>
      <c r="B30" s="412"/>
      <c r="C30" s="413"/>
      <c r="D30" s="14">
        <v>0</v>
      </c>
      <c r="E30" s="14"/>
      <c r="F30" s="90"/>
      <c r="G30" s="49">
        <f t="shared" si="7"/>
        <v>0</v>
      </c>
      <c r="H30" s="80"/>
      <c r="I30" s="54" t="s">
        <v>69</v>
      </c>
      <c r="J30" s="54">
        <v>253</v>
      </c>
      <c r="K30" s="82">
        <v>6896</v>
      </c>
      <c r="L30" s="83">
        <f t="shared" si="8"/>
        <v>0</v>
      </c>
      <c r="N30" s="13">
        <v>5101</v>
      </c>
      <c r="O30" s="56">
        <v>253</v>
      </c>
      <c r="P30" s="84"/>
      <c r="Q30" s="69"/>
      <c r="V30" s="416"/>
      <c r="W30" s="416"/>
      <c r="X30" s="417"/>
      <c r="Y30" s="417"/>
      <c r="Z30" s="87" t="s">
        <v>69</v>
      </c>
      <c r="AA30" s="87">
        <v>253</v>
      </c>
      <c r="AB30" s="88">
        <f t="shared" si="9"/>
        <v>6896</v>
      </c>
      <c r="AC30" s="89">
        <f t="shared" si="6"/>
        <v>0</v>
      </c>
      <c r="AD30" s="9"/>
    </row>
    <row r="31" spans="1:30" x14ac:dyDescent="0.3">
      <c r="A31" s="1" t="s">
        <v>72</v>
      </c>
      <c r="B31" s="412"/>
      <c r="C31" s="413"/>
      <c r="D31" s="14">
        <v>0</v>
      </c>
      <c r="E31" s="14"/>
      <c r="F31" s="90"/>
      <c r="G31" s="49">
        <f t="shared" si="7"/>
        <v>0</v>
      </c>
      <c r="H31" s="80"/>
      <c r="I31" s="91" t="s">
        <v>73</v>
      </c>
      <c r="J31" s="54">
        <v>251</v>
      </c>
      <c r="K31" s="82">
        <v>1173</v>
      </c>
      <c r="L31" s="83">
        <f t="shared" si="8"/>
        <v>0</v>
      </c>
      <c r="N31" s="13">
        <v>5102</v>
      </c>
      <c r="O31" s="56">
        <v>251</v>
      </c>
      <c r="P31" s="84"/>
      <c r="Q31" s="69"/>
      <c r="V31" s="416"/>
      <c r="W31" s="416"/>
      <c r="X31" s="417"/>
      <c r="Y31" s="417"/>
      <c r="Z31" s="92" t="s">
        <v>73</v>
      </c>
      <c r="AA31" s="87">
        <v>251</v>
      </c>
      <c r="AB31" s="88">
        <f t="shared" si="9"/>
        <v>1173</v>
      </c>
      <c r="AC31" s="89">
        <f t="shared" si="6"/>
        <v>0</v>
      </c>
      <c r="AD31" s="9"/>
    </row>
    <row r="32" spans="1:30" x14ac:dyDescent="0.3">
      <c r="A32" s="1" t="s">
        <v>74</v>
      </c>
      <c r="B32" s="412"/>
      <c r="C32" s="413"/>
      <c r="D32" s="14">
        <v>0</v>
      </c>
      <c r="E32" s="14"/>
      <c r="F32" s="90"/>
      <c r="G32" s="49">
        <f t="shared" si="7"/>
        <v>0</v>
      </c>
      <c r="H32" s="80"/>
      <c r="I32" s="91" t="s">
        <v>73</v>
      </c>
      <c r="J32" s="54">
        <v>252</v>
      </c>
      <c r="K32" s="82">
        <v>3506</v>
      </c>
      <c r="L32" s="83">
        <f t="shared" si="8"/>
        <v>0</v>
      </c>
      <c r="N32" s="13">
        <v>5102</v>
      </c>
      <c r="O32" s="56">
        <v>252</v>
      </c>
      <c r="P32" s="84"/>
      <c r="Q32" s="56"/>
      <c r="V32" s="416"/>
      <c r="W32" s="416"/>
      <c r="X32" s="417"/>
      <c r="Y32" s="417"/>
      <c r="Z32" s="92" t="s">
        <v>73</v>
      </c>
      <c r="AA32" s="87">
        <v>252</v>
      </c>
      <c r="AB32" s="88">
        <f t="shared" si="9"/>
        <v>3506</v>
      </c>
      <c r="AC32" s="89">
        <f t="shared" si="6"/>
        <v>0</v>
      </c>
      <c r="AD32" s="9"/>
    </row>
    <row r="33" spans="1:30" x14ac:dyDescent="0.3">
      <c r="A33" s="1" t="s">
        <v>75</v>
      </c>
      <c r="B33" s="412"/>
      <c r="C33" s="413"/>
      <c r="D33" s="14">
        <v>0</v>
      </c>
      <c r="E33" s="14"/>
      <c r="F33" s="90"/>
      <c r="G33" s="49">
        <f t="shared" si="7"/>
        <v>0</v>
      </c>
      <c r="H33" s="80"/>
      <c r="I33" s="91" t="s">
        <v>73</v>
      </c>
      <c r="J33" s="54">
        <v>253</v>
      </c>
      <c r="K33" s="82">
        <v>7023</v>
      </c>
      <c r="L33" s="83">
        <f t="shared" si="8"/>
        <v>0</v>
      </c>
      <c r="N33" s="13">
        <v>5102</v>
      </c>
      <c r="O33" s="56">
        <v>253</v>
      </c>
      <c r="P33" s="84"/>
      <c r="Q33" s="85"/>
      <c r="V33" s="416"/>
      <c r="W33" s="416"/>
      <c r="X33" s="417"/>
      <c r="Y33" s="417"/>
      <c r="Z33" s="92" t="s">
        <v>73</v>
      </c>
      <c r="AA33" s="87">
        <v>253</v>
      </c>
      <c r="AB33" s="88">
        <f t="shared" si="9"/>
        <v>7023</v>
      </c>
      <c r="AC33" s="89">
        <f t="shared" si="6"/>
        <v>0</v>
      </c>
      <c r="AD33" s="9"/>
    </row>
    <row r="34" spans="1:30" x14ac:dyDescent="0.3">
      <c r="A34" s="1" t="s">
        <v>76</v>
      </c>
      <c r="B34" s="412"/>
      <c r="C34" s="413"/>
      <c r="D34" s="14">
        <v>0</v>
      </c>
      <c r="E34" s="14"/>
      <c r="F34" s="90"/>
      <c r="G34" s="49">
        <f t="shared" si="7"/>
        <v>0</v>
      </c>
      <c r="H34" s="80"/>
      <c r="I34" s="91" t="s">
        <v>77</v>
      </c>
      <c r="J34" s="54">
        <v>251</v>
      </c>
      <c r="K34" s="82">
        <v>835</v>
      </c>
      <c r="L34" s="83">
        <f t="shared" si="8"/>
        <v>0</v>
      </c>
      <c r="N34" s="13">
        <v>5103</v>
      </c>
      <c r="O34" s="56">
        <v>251</v>
      </c>
      <c r="P34" s="84"/>
      <c r="Q34" s="85"/>
      <c r="V34" s="416"/>
      <c r="W34" s="416"/>
      <c r="X34" s="417"/>
      <c r="Y34" s="417"/>
      <c r="Z34" s="92" t="s">
        <v>77</v>
      </c>
      <c r="AA34" s="87">
        <v>251</v>
      </c>
      <c r="AB34" s="88">
        <f t="shared" si="9"/>
        <v>835</v>
      </c>
      <c r="AC34" s="89">
        <f t="shared" si="6"/>
        <v>0</v>
      </c>
      <c r="AD34" s="9"/>
    </row>
    <row r="35" spans="1:30" x14ac:dyDescent="0.3">
      <c r="A35" s="1" t="s">
        <v>78</v>
      </c>
      <c r="B35" s="412"/>
      <c r="C35" s="413"/>
      <c r="D35" s="14">
        <v>0</v>
      </c>
      <c r="E35" s="14"/>
      <c r="F35" s="90"/>
      <c r="G35" s="49">
        <f t="shared" si="7"/>
        <v>0</v>
      </c>
      <c r="H35" s="80"/>
      <c r="I35" s="91" t="s">
        <v>77</v>
      </c>
      <c r="J35" s="54">
        <v>252</v>
      </c>
      <c r="K35" s="82">
        <v>3168</v>
      </c>
      <c r="L35" s="83">
        <f t="shared" si="8"/>
        <v>0</v>
      </c>
      <c r="N35" s="13">
        <v>5103</v>
      </c>
      <c r="O35" s="56">
        <v>252</v>
      </c>
      <c r="P35" s="84"/>
      <c r="Q35" s="93"/>
      <c r="V35" s="416"/>
      <c r="W35" s="416"/>
      <c r="X35" s="417"/>
      <c r="Y35" s="417"/>
      <c r="Z35" s="92" t="s">
        <v>77</v>
      </c>
      <c r="AA35" s="87">
        <v>252</v>
      </c>
      <c r="AB35" s="88">
        <f t="shared" si="9"/>
        <v>3168</v>
      </c>
      <c r="AC35" s="89">
        <f t="shared" si="6"/>
        <v>0</v>
      </c>
      <c r="AD35" s="9"/>
    </row>
    <row r="36" spans="1:30" ht="16.2" thickBot="1" x14ac:dyDescent="0.35">
      <c r="A36" s="1" t="s">
        <v>79</v>
      </c>
      <c r="B36" s="414"/>
      <c r="C36" s="415"/>
      <c r="D36" s="14">
        <v>0</v>
      </c>
      <c r="E36" s="14"/>
      <c r="F36" s="90"/>
      <c r="G36" s="49">
        <f t="shared" si="7"/>
        <v>0</v>
      </c>
      <c r="H36" s="80"/>
      <c r="I36" s="91" t="s">
        <v>77</v>
      </c>
      <c r="J36" s="54">
        <v>253</v>
      </c>
      <c r="K36" s="82">
        <v>6685</v>
      </c>
      <c r="L36" s="94">
        <f t="shared" si="8"/>
        <v>0</v>
      </c>
      <c r="N36" s="13">
        <v>5103</v>
      </c>
      <c r="O36" s="56">
        <v>253</v>
      </c>
      <c r="P36" s="84"/>
      <c r="Q36" s="95"/>
      <c r="V36" s="416"/>
      <c r="W36" s="416"/>
      <c r="X36" s="424"/>
      <c r="Y36" s="424"/>
      <c r="Z36" s="92" t="s">
        <v>77</v>
      </c>
      <c r="AA36" s="8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113645</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2776574</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1" t="s">
        <v>91</v>
      </c>
      <c r="X46" s="434" t="s">
        <v>94</v>
      </c>
      <c r="Y46" s="434"/>
      <c r="Z46" s="435" t="s">
        <v>93</v>
      </c>
      <c r="AA46" s="435"/>
      <c r="AB46" s="435"/>
      <c r="AC46" s="435"/>
      <c r="AD46" s="122"/>
    </row>
    <row r="47" spans="1:30" ht="18.75" customHeight="1" x14ac:dyDescent="0.3">
      <c r="B47" s="104" t="s">
        <v>95</v>
      </c>
      <c r="C47" s="123">
        <f>K10+K11+K16+K19+K22</f>
        <v>418.87200000000001</v>
      </c>
      <c r="D47" s="123"/>
      <c r="E47" s="123"/>
      <c r="F47" s="123"/>
      <c r="G47" s="124">
        <f>K7</f>
        <v>1.0289999999999999</v>
      </c>
      <c r="H47" s="124"/>
      <c r="I47" s="125">
        <v>1325.01</v>
      </c>
      <c r="J47" s="126" t="s">
        <v>96</v>
      </c>
      <c r="K47" s="127">
        <f>ROUND(C47*G47*I47,0)</f>
        <v>571105</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223</v>
      </c>
      <c r="D48" s="123"/>
      <c r="E48" s="123"/>
      <c r="F48" s="123"/>
      <c r="G48" s="124">
        <f>K7</f>
        <v>1.0289999999999999</v>
      </c>
      <c r="H48" s="124"/>
      <c r="I48" s="125">
        <v>903.8</v>
      </c>
      <c r="J48" s="126" t="s">
        <v>96</v>
      </c>
      <c r="K48" s="127">
        <f>ROUND(C48*G48*I48,0)</f>
        <v>207392</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641.87200000000007</v>
      </c>
      <c r="D50" s="146"/>
      <c r="E50" s="147"/>
      <c r="F50" s="147"/>
      <c r="G50" s="148" t="s">
        <v>98</v>
      </c>
      <c r="H50" s="148"/>
      <c r="I50" s="148"/>
      <c r="J50" s="148"/>
      <c r="K50" s="148"/>
      <c r="L50" s="53">
        <f>IF(B2=75,0,K49+K48+K47)</f>
        <v>778497</v>
      </c>
      <c r="N50" s="3"/>
      <c r="O50" s="1"/>
      <c r="V50" s="151"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641.87200000000007</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3.241E-3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595</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3.2799999999999999E-3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3.241E-3</v>
      </c>
      <c r="L59" s="53">
        <f>ROUND(I59*K59,0)</f>
        <v>13712</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3.241E-3</v>
      </c>
      <c r="L67" s="53">
        <f>ROUND(I67*K67,0)</f>
        <v>336088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3.2799999999999999E-3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3.241E-3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3.241E-3</v>
      </c>
      <c r="L71" s="53">
        <f>ROUND(I71*K71,0)</f>
        <v>6047</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3.2799999999999999E-3</v>
      </c>
      <c r="L72" s="53">
        <f>ROUND(I72*K72,0)</f>
        <v>45802</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25</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3.2799999999999999E-3</v>
      </c>
      <c r="L77" s="53">
        <f>ROUND(I77*K77,0)</f>
        <v>5632</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3.241E-3</v>
      </c>
      <c r="L78" s="53">
        <f>ROUND(I78*K78,0)</f>
        <v>0</v>
      </c>
      <c r="O78" s="1"/>
      <c r="V78" s="430" t="str">
        <f t="shared" ref="V78:V79"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f t="shared" si="11"/>
        <v>0</v>
      </c>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3962352</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'4021'!AC81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13" t="s">
        <v>148</v>
      </c>
      <c r="C86" s="14"/>
      <c r="D86" s="14"/>
      <c r="E86" s="14"/>
      <c r="F86" s="14"/>
      <c r="G86" s="14"/>
      <c r="H86" s="14"/>
      <c r="I86" s="14"/>
      <c r="J86" s="206" t="s">
        <v>149</v>
      </c>
      <c r="K86" s="207">
        <f>IF(K84=1,L84,L82)</f>
        <v>3962352</v>
      </c>
      <c r="L86" s="83">
        <f>IF(G26=0,0,IF(G26&gt;250,-(((250/G26)*K86)*IF(M86="H",0.02,0.05)),IF(M86="H",-0.02*K86,-0.05*K86)))</f>
        <v>-83242.68907563026</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13" t="s">
        <v>151</v>
      </c>
      <c r="C87" s="14"/>
      <c r="D87" s="14"/>
      <c r="E87" s="14"/>
      <c r="F87" s="14"/>
      <c r="G87" s="14"/>
      <c r="H87" s="14"/>
      <c r="I87" s="14"/>
      <c r="J87" s="14"/>
      <c r="K87" s="208"/>
      <c r="L87" s="202">
        <f>L82+L86</f>
        <v>3879109.3109243698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v>-323259</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3555850.3109243698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323259.11917494272</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114874.91092436975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386</v>
      </c>
      <c r="C109" s="221" t="s">
        <v>178</v>
      </c>
      <c r="V109" s="220"/>
    </row>
    <row r="110" spans="2:30" hidden="1" x14ac:dyDescent="0.3">
      <c r="B110" s="227"/>
      <c r="C110" s="221"/>
      <c r="V110" s="220"/>
    </row>
    <row r="111" spans="2:30" hidden="1" x14ac:dyDescent="0.3">
      <c r="B111" s="225" t="s">
        <v>387</v>
      </c>
      <c r="C111" s="221" t="s">
        <v>180</v>
      </c>
      <c r="V111" s="220"/>
    </row>
    <row r="112" spans="2:30" hidden="1" x14ac:dyDescent="0.3">
      <c r="B112" s="225" t="s">
        <v>387</v>
      </c>
      <c r="C112" s="221" t="s">
        <v>181</v>
      </c>
    </row>
    <row r="113" spans="2:3" hidden="1" x14ac:dyDescent="0.3">
      <c r="B113" s="225" t="s">
        <v>285</v>
      </c>
      <c r="C113" s="221" t="s">
        <v>183</v>
      </c>
    </row>
    <row r="114" spans="2:3" hidden="1" x14ac:dyDescent="0.3">
      <c r="B114" s="225" t="s">
        <v>388</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x14ac:dyDescent="0.3">
      <c r="B139" s="221"/>
      <c r="C139" s="221"/>
    </row>
    <row r="140" spans="2:3" x14ac:dyDescent="0.3">
      <c r="B140" s="221"/>
      <c r="C140" s="221"/>
    </row>
    <row r="141" spans="2:3" x14ac:dyDescent="0.3">
      <c r="B141" s="221"/>
      <c r="C141" s="221"/>
    </row>
    <row r="142" spans="2:3" x14ac:dyDescent="0.3">
      <c r="B142" s="221"/>
      <c r="C142" s="221"/>
    </row>
    <row r="143" spans="2:3" x14ac:dyDescent="0.3">
      <c r="B143" s="221"/>
      <c r="C143" s="221"/>
    </row>
    <row r="144" spans="2:3" x14ac:dyDescent="0.3">
      <c r="B144" s="221"/>
      <c r="C144" s="221"/>
    </row>
    <row r="145" spans="2:3" x14ac:dyDescent="0.3">
      <c r="B145" s="221"/>
      <c r="C145" s="221"/>
    </row>
    <row r="146" spans="2:3" x14ac:dyDescent="0.3">
      <c r="B146" s="221"/>
      <c r="C146" s="221"/>
    </row>
    <row r="147" spans="2:3" x14ac:dyDescent="0.3">
      <c r="B147" s="221"/>
      <c r="C147" s="221"/>
    </row>
    <row r="148" spans="2:3" x14ac:dyDescent="0.3">
      <c r="B148" s="221"/>
      <c r="C148" s="221"/>
    </row>
    <row r="149" spans="2:3" x14ac:dyDescent="0.3">
      <c r="B149" s="221"/>
      <c r="C149" s="221"/>
    </row>
    <row r="150" spans="2:3" x14ac:dyDescent="0.3">
      <c r="B150" s="221"/>
      <c r="C150" s="221"/>
    </row>
    <row r="151" spans="2:3" x14ac:dyDescent="0.3">
      <c r="B151" s="221"/>
      <c r="C151" s="221"/>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'4037'!B2</f>
        <v>50</v>
      </c>
      <c r="W2" s="380" t="s">
        <v>4</v>
      </c>
      <c r="X2" s="381"/>
      <c r="Y2" s="382"/>
      <c r="Z2" s="382"/>
      <c r="AA2" s="382"/>
      <c r="AB2" s="382"/>
      <c r="AC2" s="382"/>
      <c r="AD2" s="9"/>
    </row>
    <row r="3" spans="1:30" ht="20.399999999999999" x14ac:dyDescent="0.35">
      <c r="B3" s="10" t="str">
        <f>"Revenue Estimate Worksheet for "&amp;B124</f>
        <v>Revenue Estimate Worksheet for Learning Path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'4037'!G7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5.68</v>
      </c>
      <c r="E10" s="48">
        <v>6.07</v>
      </c>
      <c r="F10" s="48">
        <v>0</v>
      </c>
      <c r="G10" s="49">
        <f>IF($B$154&lt;8,D10*2,D10+E10)</f>
        <v>11.75</v>
      </c>
      <c r="H10" s="50"/>
      <c r="I10" s="51">
        <v>1.1259999999999999</v>
      </c>
      <c r="J10" s="51"/>
      <c r="K10" s="52">
        <f>ROUND(G10*I10,4)</f>
        <v>13.230499999999999</v>
      </c>
      <c r="L10" s="53">
        <f>ROUND(ROUND(K10*$G$7,4)*($K$7),0)</f>
        <v>54889</v>
      </c>
      <c r="N10" s="54">
        <v>5101</v>
      </c>
      <c r="O10" s="55">
        <v>101</v>
      </c>
      <c r="Q10" s="56"/>
      <c r="V10" s="391" t="s">
        <v>27</v>
      </c>
      <c r="W10" s="391"/>
      <c r="X10" s="392">
        <f>IF('4037'!K$84=1,'4037'!G10,0)</f>
        <v>11.75</v>
      </c>
      <c r="Y10" s="392"/>
      <c r="Z10" s="393">
        <v>1</v>
      </c>
      <c r="AA10" s="393"/>
      <c r="AB10" s="57">
        <f t="shared" ref="AB10:AB25" si="0">ROUND(X10*Z10,4)</f>
        <v>11.75</v>
      </c>
      <c r="AC10" s="58">
        <f t="shared" ref="AC10:AC25" si="1">ROUND(ROUND(AB10*$X$7,4)*($AB$7),0)</f>
        <v>48747</v>
      </c>
      <c r="AD10" s="9">
        <v>1</v>
      </c>
    </row>
    <row r="11" spans="1:30" x14ac:dyDescent="0.3">
      <c r="A11" s="1" t="s">
        <v>28</v>
      </c>
      <c r="B11" s="14" t="s">
        <v>29</v>
      </c>
      <c r="C11" s="14"/>
      <c r="D11" s="14">
        <v>40.43</v>
      </c>
      <c r="E11" s="14">
        <v>44.91</v>
      </c>
      <c r="F11" s="14">
        <v>0</v>
      </c>
      <c r="G11" s="49">
        <f t="shared" ref="G11:G25" si="2">IF($B$154&lt;8,D11*2,D11+E11)</f>
        <v>85.34</v>
      </c>
      <c r="H11" s="50"/>
      <c r="I11" s="59">
        <f>I10</f>
        <v>1.1259999999999999</v>
      </c>
      <c r="J11" s="59"/>
      <c r="K11" s="52">
        <f t="shared" ref="K11:K25" si="3">ROUND(G11*I11,4)</f>
        <v>96.092799999999997</v>
      </c>
      <c r="L11" s="53">
        <f t="shared" ref="L11:L25" si="4">ROUND(ROUND(K11*$G$7,4)*($K$7),0)</f>
        <v>398659</v>
      </c>
      <c r="M11" s="1" t="str">
        <f>IF(ROUND(G11,2)=ROUND(SUM(G28:G30),2)," ","CHECK 2. PK-3 Lines Below")</f>
        <v xml:space="preserve"> </v>
      </c>
      <c r="N11" s="54">
        <v>5101</v>
      </c>
      <c r="O11" s="60" t="s">
        <v>30</v>
      </c>
      <c r="Q11" s="56"/>
      <c r="V11" s="402" t="s">
        <v>29</v>
      </c>
      <c r="W11" s="402"/>
      <c r="X11" s="392">
        <f>IF('4037'!K$84=1,'4037'!G11,0)</f>
        <v>85.34</v>
      </c>
      <c r="Y11" s="392"/>
      <c r="Z11" s="403">
        <v>1</v>
      </c>
      <c r="AA11" s="403"/>
      <c r="AB11" s="57">
        <f t="shared" si="0"/>
        <v>85.34</v>
      </c>
      <c r="AC11" s="58">
        <f t="shared" si="1"/>
        <v>354049</v>
      </c>
      <c r="AD11" s="9"/>
    </row>
    <row r="12" spans="1:30" x14ac:dyDescent="0.3">
      <c r="A12" s="1" t="s">
        <v>31</v>
      </c>
      <c r="B12" s="14" t="s">
        <v>32</v>
      </c>
      <c r="C12" s="14"/>
      <c r="D12" s="14">
        <v>1.06</v>
      </c>
      <c r="E12" s="14">
        <v>1.06</v>
      </c>
      <c r="F12" s="14">
        <v>0</v>
      </c>
      <c r="G12" s="49">
        <f t="shared" si="2"/>
        <v>2.12</v>
      </c>
      <c r="H12" s="50"/>
      <c r="I12" s="59">
        <v>1</v>
      </c>
      <c r="J12" s="59"/>
      <c r="K12" s="52">
        <f t="shared" si="3"/>
        <v>2.12</v>
      </c>
      <c r="L12" s="53">
        <f t="shared" si="4"/>
        <v>8795</v>
      </c>
      <c r="N12" s="54">
        <v>5102</v>
      </c>
      <c r="O12" s="55">
        <v>102</v>
      </c>
      <c r="Q12" s="56"/>
      <c r="V12" s="402" t="s">
        <v>32</v>
      </c>
      <c r="W12" s="402"/>
      <c r="X12" s="392">
        <f>IF('4037'!K$84=1,'4037'!G12,0)</f>
        <v>2.12</v>
      </c>
      <c r="Y12" s="392"/>
      <c r="Z12" s="403">
        <v>1</v>
      </c>
      <c r="AA12" s="403"/>
      <c r="AB12" s="57">
        <f t="shared" si="0"/>
        <v>2.12</v>
      </c>
      <c r="AC12" s="58">
        <f t="shared" si="1"/>
        <v>8795</v>
      </c>
      <c r="AD12" s="9"/>
    </row>
    <row r="13" spans="1:30" x14ac:dyDescent="0.3">
      <c r="A13" s="1" t="s">
        <v>33</v>
      </c>
      <c r="B13" s="14" t="s">
        <v>34</v>
      </c>
      <c r="C13" s="14"/>
      <c r="D13" s="14">
        <v>3.06</v>
      </c>
      <c r="E13" s="14">
        <v>2.98</v>
      </c>
      <c r="F13" s="14">
        <v>0</v>
      </c>
      <c r="G13" s="49">
        <f t="shared" si="2"/>
        <v>6.04</v>
      </c>
      <c r="H13" s="50"/>
      <c r="I13" s="59">
        <f>I12</f>
        <v>1</v>
      </c>
      <c r="J13" s="59"/>
      <c r="K13" s="52">
        <f t="shared" si="3"/>
        <v>6.04</v>
      </c>
      <c r="L13" s="53">
        <f t="shared" si="4"/>
        <v>25058</v>
      </c>
      <c r="M13" s="1" t="str">
        <f>IF(ROUND(G13,2)=ROUND(SUM(G31:G33),2)," ","CHECK 2. 4-8 Lines Below")</f>
        <v xml:space="preserve"> </v>
      </c>
      <c r="N13" s="54">
        <v>5102</v>
      </c>
      <c r="O13" s="60" t="s">
        <v>35</v>
      </c>
      <c r="Q13" s="56"/>
      <c r="V13" s="402" t="s">
        <v>34</v>
      </c>
      <c r="W13" s="402"/>
      <c r="X13" s="392">
        <f>IF('4037'!K$84=1,'4037'!G13,0)</f>
        <v>6.04</v>
      </c>
      <c r="Y13" s="392"/>
      <c r="Z13" s="403">
        <v>1</v>
      </c>
      <c r="AA13" s="403"/>
      <c r="AB13" s="57">
        <f t="shared" si="0"/>
        <v>6.04</v>
      </c>
      <c r="AC13" s="58">
        <f t="shared" si="1"/>
        <v>25058</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IF('4037'!K$84=1,'4037'!G14,0)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IF('4037'!K$84=1,'4037'!G15,0)</f>
        <v>0</v>
      </c>
      <c r="Y15" s="392"/>
      <c r="Z15" s="403">
        <v>1</v>
      </c>
      <c r="AA15" s="403"/>
      <c r="AB15" s="57">
        <f t="shared" si="0"/>
        <v>0</v>
      </c>
      <c r="AC15" s="62">
        <f t="shared" si="1"/>
        <v>0</v>
      </c>
      <c r="AD15" s="9"/>
    </row>
    <row r="16" spans="1:30" ht="16.2" x14ac:dyDescent="0.35">
      <c r="A16" s="1" t="s">
        <v>41</v>
      </c>
      <c r="B16" s="14" t="s">
        <v>42</v>
      </c>
      <c r="C16" s="14"/>
      <c r="D16" s="14">
        <v>0.5</v>
      </c>
      <c r="E16" s="14">
        <v>0.5</v>
      </c>
      <c r="F16" s="14">
        <v>0</v>
      </c>
      <c r="G16" s="49">
        <f t="shared" si="2"/>
        <v>1</v>
      </c>
      <c r="H16" s="50"/>
      <c r="I16" s="59">
        <v>3.548</v>
      </c>
      <c r="J16" s="59"/>
      <c r="K16" s="52">
        <f t="shared" si="3"/>
        <v>3.548</v>
      </c>
      <c r="L16" s="53">
        <f t="shared" si="4"/>
        <v>14720</v>
      </c>
      <c r="N16" s="54">
        <v>5101</v>
      </c>
      <c r="O16" s="1">
        <v>254</v>
      </c>
      <c r="Q16" s="56"/>
      <c r="V16" s="402" t="s">
        <v>42</v>
      </c>
      <c r="W16" s="402"/>
      <c r="X16" s="392">
        <f>IF('4037'!K$84=1,'4037'!G16,0)</f>
        <v>1</v>
      </c>
      <c r="Y16" s="392"/>
      <c r="Z16" s="403">
        <v>1</v>
      </c>
      <c r="AA16" s="403"/>
      <c r="AB16" s="57">
        <f t="shared" si="0"/>
        <v>1</v>
      </c>
      <c r="AC16" s="58">
        <f t="shared" si="1"/>
        <v>4149</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IF('4037'!K$84=1,'4037'!G17,0)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IF('4037'!K$84=1,'4037'!G18,0)</f>
        <v>0</v>
      </c>
      <c r="Y18" s="392"/>
      <c r="Z18" s="403">
        <v>1</v>
      </c>
      <c r="AA18" s="403"/>
      <c r="AB18" s="57">
        <f t="shared" si="0"/>
        <v>0</v>
      </c>
      <c r="AC18" s="58">
        <f t="shared" si="1"/>
        <v>0</v>
      </c>
      <c r="AD18" s="9"/>
    </row>
    <row r="19" spans="1:30" ht="15" customHeight="1" x14ac:dyDescent="0.35">
      <c r="A19" s="1" t="s">
        <v>47</v>
      </c>
      <c r="B19" s="14" t="s">
        <v>48</v>
      </c>
      <c r="C19" s="14"/>
      <c r="D19" s="14">
        <v>0.5</v>
      </c>
      <c r="E19" s="14">
        <v>0.5</v>
      </c>
      <c r="F19" s="14">
        <v>0</v>
      </c>
      <c r="G19" s="49">
        <f t="shared" si="2"/>
        <v>1</v>
      </c>
      <c r="H19" s="50"/>
      <c r="I19" s="59">
        <v>5.1040000000000001</v>
      </c>
      <c r="J19" s="59"/>
      <c r="K19" s="52">
        <f t="shared" si="3"/>
        <v>5.1040000000000001</v>
      </c>
      <c r="L19" s="53">
        <f t="shared" si="4"/>
        <v>21175</v>
      </c>
      <c r="N19" s="54">
        <v>5101</v>
      </c>
      <c r="O19" s="1">
        <v>255</v>
      </c>
      <c r="Q19" s="56"/>
      <c r="V19" s="402" t="s">
        <v>48</v>
      </c>
      <c r="W19" s="402"/>
      <c r="X19" s="392">
        <f>IF('4037'!K$84=1,'4037'!G19,0)</f>
        <v>1</v>
      </c>
      <c r="Y19" s="392"/>
      <c r="Z19" s="403">
        <v>1</v>
      </c>
      <c r="AA19" s="403"/>
      <c r="AB19" s="57">
        <f t="shared" si="0"/>
        <v>1</v>
      </c>
      <c r="AC19" s="58">
        <f t="shared" si="1"/>
        <v>4149</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IF('4037'!K$84=1,'4037'!G20,0)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IF('4037'!K$84=1,'4037'!G21,0)</f>
        <v>0</v>
      </c>
      <c r="Y21" s="392"/>
      <c r="Z21" s="403">
        <v>1</v>
      </c>
      <c r="AA21" s="403"/>
      <c r="AB21" s="57">
        <f t="shared" si="0"/>
        <v>0</v>
      </c>
      <c r="AC21" s="58">
        <f t="shared" si="1"/>
        <v>0</v>
      </c>
      <c r="AD21" s="9"/>
    </row>
    <row r="22" spans="1:30" ht="16.2" x14ac:dyDescent="0.35">
      <c r="A22" s="1" t="s">
        <v>53</v>
      </c>
      <c r="B22" s="14" t="s">
        <v>54</v>
      </c>
      <c r="C22" s="14"/>
      <c r="D22" s="14">
        <v>6.84</v>
      </c>
      <c r="E22" s="14">
        <v>6.38</v>
      </c>
      <c r="F22" s="14">
        <v>0</v>
      </c>
      <c r="G22" s="49">
        <f t="shared" si="2"/>
        <v>13.219999999999999</v>
      </c>
      <c r="H22" s="50"/>
      <c r="I22" s="59">
        <v>1.147</v>
      </c>
      <c r="J22" s="59"/>
      <c r="K22" s="52">
        <f t="shared" si="3"/>
        <v>15.1633</v>
      </c>
      <c r="L22" s="53">
        <f t="shared" si="4"/>
        <v>62908</v>
      </c>
      <c r="N22" s="54">
        <v>5101</v>
      </c>
      <c r="O22" s="55">
        <v>130</v>
      </c>
      <c r="Q22" s="56"/>
      <c r="V22" s="402" t="s">
        <v>54</v>
      </c>
      <c r="W22" s="402"/>
      <c r="X22" s="392">
        <f>IF('4037'!K$84=1,'4037'!G22,0)</f>
        <v>13.219999999999999</v>
      </c>
      <c r="Y22" s="392"/>
      <c r="Z22" s="403">
        <v>1</v>
      </c>
      <c r="AA22" s="403"/>
      <c r="AB22" s="57">
        <f t="shared" si="0"/>
        <v>13.22</v>
      </c>
      <c r="AC22" s="58">
        <f t="shared" si="1"/>
        <v>54846</v>
      </c>
      <c r="AD22" s="9"/>
    </row>
    <row r="23" spans="1:30" ht="16.2" x14ac:dyDescent="0.35">
      <c r="A23" s="1" t="s">
        <v>55</v>
      </c>
      <c r="B23" s="14" t="s">
        <v>56</v>
      </c>
      <c r="C23" s="14"/>
      <c r="D23" s="14">
        <v>0.9</v>
      </c>
      <c r="E23" s="14">
        <v>0.91</v>
      </c>
      <c r="F23" s="14">
        <v>0</v>
      </c>
      <c r="G23" s="49">
        <f t="shared" si="2"/>
        <v>1.81</v>
      </c>
      <c r="H23" s="50"/>
      <c r="I23" s="59">
        <f>I22</f>
        <v>1.147</v>
      </c>
      <c r="J23" s="59"/>
      <c r="K23" s="52">
        <f t="shared" si="3"/>
        <v>2.0760999999999998</v>
      </c>
      <c r="L23" s="53">
        <f t="shared" si="4"/>
        <v>8613</v>
      </c>
      <c r="N23" s="54">
        <v>5102</v>
      </c>
      <c r="O23" s="55">
        <v>130</v>
      </c>
      <c r="Q23" s="56"/>
      <c r="V23" s="402" t="s">
        <v>56</v>
      </c>
      <c r="W23" s="402"/>
      <c r="X23" s="392">
        <f>IF('4037'!K$84=1,'4037'!G23,0)</f>
        <v>1.81</v>
      </c>
      <c r="Y23" s="392"/>
      <c r="Z23" s="403">
        <v>1</v>
      </c>
      <c r="AA23" s="403"/>
      <c r="AB23" s="57">
        <f t="shared" si="0"/>
        <v>1.81</v>
      </c>
      <c r="AC23" s="58">
        <f t="shared" si="1"/>
        <v>7509</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IF('4037'!K$84=1,'4037'!G24,0)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IF('4037'!K$84=1,'4037'!G25,0)</f>
        <v>0</v>
      </c>
      <c r="Y25" s="392"/>
      <c r="Z25" s="403">
        <v>1</v>
      </c>
      <c r="AA25" s="403"/>
      <c r="AB25" s="57">
        <f t="shared" si="0"/>
        <v>0</v>
      </c>
      <c r="AC25" s="58">
        <f t="shared" si="1"/>
        <v>0</v>
      </c>
      <c r="AD25" s="9"/>
    </row>
    <row r="26" spans="1:30" ht="20.25" customHeight="1" thickBot="1" x14ac:dyDescent="0.35">
      <c r="B26" s="63" t="s">
        <v>61</v>
      </c>
      <c r="C26" s="63"/>
      <c r="D26" s="64">
        <f t="shared" ref="D26:E26" si="5">SUM(D10:D25)</f>
        <v>58.970000000000006</v>
      </c>
      <c r="E26" s="64">
        <f t="shared" si="5"/>
        <v>63.309999999999995</v>
      </c>
      <c r="F26" s="64"/>
      <c r="G26" s="64">
        <f>SUM(G10:G25)</f>
        <v>122.28000000000002</v>
      </c>
      <c r="H26" s="65"/>
      <c r="I26" s="65"/>
      <c r="J26" s="66"/>
      <c r="K26" s="67">
        <f>SUM(K10:K25)</f>
        <v>143.37469999999999</v>
      </c>
      <c r="L26" s="68">
        <f>SUM(L10:L25)</f>
        <v>594817</v>
      </c>
      <c r="N26" s="56"/>
      <c r="O26" s="69"/>
      <c r="P26" s="56"/>
      <c r="Q26" s="56"/>
      <c r="V26" s="404" t="s">
        <v>61</v>
      </c>
      <c r="W26" s="404"/>
      <c r="X26" s="405">
        <f>SUM(X10:X25)</f>
        <v>122.28000000000002</v>
      </c>
      <c r="Y26" s="405"/>
      <c r="Z26" s="406"/>
      <c r="AA26" s="407"/>
      <c r="AB26" s="70">
        <f>SUM(AB10:AB25)</f>
        <v>122.28000000000002</v>
      </c>
      <c r="AC26" s="71">
        <f>SUM(AC10:AC25)</f>
        <v>507302</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18.97</v>
      </c>
      <c r="E28" s="14">
        <v>20.05</v>
      </c>
      <c r="F28" s="79">
        <v>0</v>
      </c>
      <c r="G28" s="49">
        <f t="shared" ref="G28:G36" si="6">IF($B$154&lt;8,D28*2,D28+E28)</f>
        <v>39.019999999999996</v>
      </c>
      <c r="H28" s="80"/>
      <c r="I28" s="81" t="s">
        <v>69</v>
      </c>
      <c r="J28" s="54">
        <v>251</v>
      </c>
      <c r="K28" s="82">
        <v>1047</v>
      </c>
      <c r="L28" s="83">
        <f>ROUND(G28*K28,0)</f>
        <v>40854</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8.4600000000000009</v>
      </c>
      <c r="E29" s="14">
        <v>10.199999999999999</v>
      </c>
      <c r="F29" s="90">
        <v>0</v>
      </c>
      <c r="G29" s="49">
        <f t="shared" si="6"/>
        <v>18.66</v>
      </c>
      <c r="H29" s="80"/>
      <c r="I29" s="54" t="s">
        <v>69</v>
      </c>
      <c r="J29" s="54">
        <v>252</v>
      </c>
      <c r="K29" s="82">
        <v>3380</v>
      </c>
      <c r="L29" s="83">
        <f t="shared" ref="L29:L36" si="8">ROUND(G29*K29,0)</f>
        <v>63071</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13</v>
      </c>
      <c r="E30" s="14">
        <v>14.66</v>
      </c>
      <c r="F30" s="90">
        <v>0</v>
      </c>
      <c r="G30" s="49">
        <f t="shared" si="6"/>
        <v>27.66</v>
      </c>
      <c r="H30" s="80"/>
      <c r="I30" s="54" t="s">
        <v>69</v>
      </c>
      <c r="J30" s="54">
        <v>253</v>
      </c>
      <c r="K30" s="82">
        <v>6896</v>
      </c>
      <c r="L30" s="83">
        <f t="shared" si="8"/>
        <v>190743</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2.04</v>
      </c>
      <c r="E31" s="14">
        <v>2</v>
      </c>
      <c r="F31" s="90">
        <v>0</v>
      </c>
      <c r="G31" s="49">
        <f t="shared" si="6"/>
        <v>4.04</v>
      </c>
      <c r="H31" s="80"/>
      <c r="I31" s="91" t="s">
        <v>73</v>
      </c>
      <c r="J31" s="54">
        <v>251</v>
      </c>
      <c r="K31" s="82">
        <v>1173</v>
      </c>
      <c r="L31" s="83">
        <f t="shared" si="8"/>
        <v>4739</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1.02</v>
      </c>
      <c r="E32" s="14">
        <v>0.98</v>
      </c>
      <c r="F32" s="90">
        <v>0</v>
      </c>
      <c r="G32" s="49">
        <f t="shared" si="6"/>
        <v>2</v>
      </c>
      <c r="H32" s="80"/>
      <c r="I32" s="91" t="s">
        <v>73</v>
      </c>
      <c r="J32" s="54">
        <v>252</v>
      </c>
      <c r="K32" s="82">
        <v>3506</v>
      </c>
      <c r="L32" s="83">
        <f t="shared" si="8"/>
        <v>7012</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43.49</v>
      </c>
      <c r="E37" s="64">
        <f t="shared" si="10"/>
        <v>47.889999999999993</v>
      </c>
      <c r="F37" s="64"/>
      <c r="G37" s="64">
        <f>SUM(G28:G36)</f>
        <v>91.38</v>
      </c>
      <c r="H37" s="65"/>
      <c r="I37" s="14" t="s">
        <v>81</v>
      </c>
      <c r="J37" s="14"/>
      <c r="K37" s="14"/>
      <c r="L37" s="53">
        <f>SUM(L28:L36)</f>
        <v>306419</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23355</v>
      </c>
      <c r="N40" s="104"/>
      <c r="O40" s="104"/>
      <c r="P40" s="104"/>
      <c r="Q40" s="104"/>
      <c r="V40" s="422" t="s">
        <v>85</v>
      </c>
      <c r="W40" s="422"/>
      <c r="X40" s="423">
        <f>+G40</f>
        <v>181379.8</v>
      </c>
      <c r="Y40" s="423"/>
      <c r="Z40" s="423"/>
      <c r="AA40" s="423"/>
      <c r="AB40" s="58">
        <f>ROUND(X39/X40,0)</f>
        <v>191</v>
      </c>
      <c r="AC40" s="58">
        <f>ROUND(AB40*$X$26,0)</f>
        <v>23355</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924591</v>
      </c>
      <c r="O44" s="1"/>
      <c r="V44" s="433" t="s">
        <v>89</v>
      </c>
      <c r="W44" s="433"/>
      <c r="X44" s="433"/>
      <c r="Y44" s="433"/>
      <c r="Z44" s="433"/>
      <c r="AA44" s="433"/>
      <c r="AB44" s="433"/>
      <c r="AC44" s="112">
        <f>SUM(AC26,AC37,AC40)</f>
        <v>530657</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133.1386</v>
      </c>
      <c r="D47" s="123"/>
      <c r="E47" s="123"/>
      <c r="F47" s="123"/>
      <c r="G47" s="124">
        <f>K7</f>
        <v>1.0289999999999999</v>
      </c>
      <c r="H47" s="124"/>
      <c r="I47" s="125">
        <v>1325.01</v>
      </c>
      <c r="J47" s="126" t="s">
        <v>96</v>
      </c>
      <c r="K47" s="127">
        <f>ROUND(C47*G47*I47,0)</f>
        <v>181526</v>
      </c>
      <c r="L47" s="128"/>
      <c r="O47" s="1"/>
      <c r="V47" s="107" t="s">
        <v>95</v>
      </c>
      <c r="W47" s="129">
        <f>AB10+AB11+AB16+AB19+AB22</f>
        <v>112.31</v>
      </c>
      <c r="X47" s="426">
        <f>AB7</f>
        <v>1.0289999999999999</v>
      </c>
      <c r="Y47" s="426"/>
      <c r="Z47" s="130">
        <f>+I47</f>
        <v>1325.01</v>
      </c>
      <c r="AA47" s="131" t="s">
        <v>96</v>
      </c>
      <c r="AB47" s="132">
        <f>ROUND(W47*X47*Z47,0)</f>
        <v>153127</v>
      </c>
      <c r="AC47" s="133"/>
      <c r="AD47" s="9"/>
    </row>
    <row r="48" spans="1:30" ht="18" customHeight="1" x14ac:dyDescent="0.3">
      <c r="B48" s="134" t="s">
        <v>73</v>
      </c>
      <c r="C48" s="123">
        <f>K12+K13+K17+K20+K23</f>
        <v>10.2361</v>
      </c>
      <c r="D48" s="123"/>
      <c r="E48" s="123"/>
      <c r="F48" s="123"/>
      <c r="G48" s="124">
        <f>K7</f>
        <v>1.0289999999999999</v>
      </c>
      <c r="H48" s="124"/>
      <c r="I48" s="125">
        <v>903.8</v>
      </c>
      <c r="J48" s="126" t="s">
        <v>96</v>
      </c>
      <c r="K48" s="127">
        <f>ROUND(C48*G48*I48,0)</f>
        <v>9520</v>
      </c>
      <c r="L48" s="63"/>
      <c r="O48" s="1"/>
      <c r="V48" s="135" t="s">
        <v>73</v>
      </c>
      <c r="W48" s="129">
        <f>AB12+AB13+AB17+AB20+AB23</f>
        <v>9.9700000000000006</v>
      </c>
      <c r="X48" s="426">
        <f>AB7</f>
        <v>1.0289999999999999</v>
      </c>
      <c r="Y48" s="426"/>
      <c r="Z48" s="130">
        <f>+I48</f>
        <v>903.8</v>
      </c>
      <c r="AA48" s="131" t="s">
        <v>96</v>
      </c>
      <c r="AB48" s="132">
        <f>ROUND(W48*X48*Z48,0)</f>
        <v>9272</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143.37469999999999</v>
      </c>
      <c r="D50" s="146"/>
      <c r="E50" s="147"/>
      <c r="F50" s="147"/>
      <c r="G50" s="148" t="s">
        <v>98</v>
      </c>
      <c r="H50" s="148"/>
      <c r="I50" s="148"/>
      <c r="J50" s="148"/>
      <c r="K50" s="148"/>
      <c r="L50" s="53">
        <f>IF(B2=75,0,K49+K48+K47)</f>
        <v>191046</v>
      </c>
      <c r="N50" s="3"/>
      <c r="O50" s="1"/>
      <c r="V50" s="149" t="s">
        <v>97</v>
      </c>
      <c r="W50" s="150">
        <f>SUM(W47:W49)</f>
        <v>122.28</v>
      </c>
      <c r="X50" s="427" t="s">
        <v>98</v>
      </c>
      <c r="Y50" s="428"/>
      <c r="Z50" s="428"/>
      <c r="AA50" s="428"/>
      <c r="AB50" s="428"/>
      <c r="AC50" s="58">
        <f>IF(V2=75,0,AB49+AB48+AB47)</f>
        <v>162399</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143.37469999999999</v>
      </c>
      <c r="H53" s="59" t="s">
        <v>102</v>
      </c>
      <c r="I53" s="59"/>
      <c r="J53" s="155">
        <v>198050.23</v>
      </c>
      <c r="K53" s="155"/>
      <c r="L53" s="155"/>
      <c r="N53" s="3"/>
      <c r="O53" s="1"/>
      <c r="V53" s="436" t="s">
        <v>101</v>
      </c>
      <c r="W53" s="436"/>
      <c r="X53" s="156">
        <f>AB26</f>
        <v>122.28000000000002</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7.2400000000000003E-4</v>
      </c>
      <c r="L54" s="157"/>
      <c r="N54" s="69"/>
      <c r="O54" s="1"/>
      <c r="V54" s="436" t="s">
        <v>103</v>
      </c>
      <c r="W54" s="436"/>
      <c r="X54" s="436"/>
      <c r="Y54" s="436"/>
      <c r="Z54" s="436"/>
      <c r="AA54" s="436"/>
      <c r="AB54" s="439">
        <f>ROUND(X53/AA53,6)</f>
        <v>6.1700000000000004E-4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122.28000000000002</v>
      </c>
      <c r="H56" s="59" t="s">
        <v>106</v>
      </c>
      <c r="I56" s="59"/>
      <c r="J56" s="155">
        <f>+G40</f>
        <v>181379.8</v>
      </c>
      <c r="K56" s="155"/>
      <c r="L56" s="155"/>
      <c r="O56" s="1"/>
      <c r="V56" s="436" t="s">
        <v>105</v>
      </c>
      <c r="W56" s="436"/>
      <c r="X56" s="159">
        <f>X26</f>
        <v>122.28000000000002</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6.7400000000000001E-4</v>
      </c>
      <c r="L57" s="157"/>
      <c r="O57" s="1"/>
      <c r="V57" s="436" t="s">
        <v>107</v>
      </c>
      <c r="W57" s="436"/>
      <c r="X57" s="436"/>
      <c r="Y57" s="436"/>
      <c r="Z57" s="436"/>
      <c r="AA57" s="436"/>
      <c r="AB57" s="439">
        <f>ROUND(X56/AA56,6)</f>
        <v>6.7400000000000001E-4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6.1700000000000004E-4</v>
      </c>
      <c r="AC58" s="58">
        <f>ROUND(Y58*AB58,0)</f>
        <v>2610</v>
      </c>
      <c r="AD58" s="9"/>
    </row>
    <row r="59" spans="2:30" x14ac:dyDescent="0.3">
      <c r="B59" s="63" t="s">
        <v>109</v>
      </c>
      <c r="C59" s="63"/>
      <c r="D59" s="63"/>
      <c r="E59" s="63"/>
      <c r="F59" s="63"/>
      <c r="G59" s="63"/>
      <c r="H59" s="163" t="s">
        <v>21</v>
      </c>
      <c r="I59" s="127">
        <v>4230917</v>
      </c>
      <c r="J59" s="164" t="s">
        <v>110</v>
      </c>
      <c r="K59" s="165">
        <f>K54</f>
        <v>7.2400000000000003E-4</v>
      </c>
      <c r="L59" s="53">
        <f>ROUND(I59*K59,0)</f>
        <v>3063</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6.1700000000000004E-4</v>
      </c>
      <c r="AC66" s="58">
        <f>ROUND(Y66*AB66,0)</f>
        <v>63982</v>
      </c>
      <c r="AD66" s="9"/>
    </row>
    <row r="67" spans="1:30" ht="20.25" customHeight="1" x14ac:dyDescent="0.3">
      <c r="B67" s="14" t="s">
        <v>118</v>
      </c>
      <c r="C67" s="14"/>
      <c r="D67" s="14"/>
      <c r="E67" s="14"/>
      <c r="F67" s="14"/>
      <c r="H67" s="163" t="s">
        <v>23</v>
      </c>
      <c r="I67" s="127">
        <v>103698709</v>
      </c>
      <c r="J67" s="164" t="s">
        <v>110</v>
      </c>
      <c r="K67" s="165">
        <f>K54</f>
        <v>7.2400000000000003E-4</v>
      </c>
      <c r="L67" s="53">
        <f>ROUND(I67*K67,0)</f>
        <v>75078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6.7400000000000001E-4</v>
      </c>
      <c r="AC68" s="58">
        <f>ROUND(Y68*AB68,0)</f>
        <v>0</v>
      </c>
      <c r="AD68" s="9"/>
    </row>
    <row r="69" spans="1:30" ht="15" customHeight="1" x14ac:dyDescent="0.3">
      <c r="B69" s="169" t="s">
        <v>120</v>
      </c>
      <c r="C69" s="14"/>
      <c r="D69" s="14"/>
      <c r="E69" s="14"/>
      <c r="F69" s="14"/>
      <c r="H69" s="163" t="s">
        <v>22</v>
      </c>
      <c r="I69" s="127">
        <v>0</v>
      </c>
      <c r="J69" s="164" t="s">
        <v>110</v>
      </c>
      <c r="K69" s="165">
        <f>K57</f>
        <v>6.7400000000000001E-4</v>
      </c>
      <c r="L69" s="53">
        <f>ROUND(I69*K69,0)</f>
        <v>0</v>
      </c>
      <c r="O69" s="1"/>
      <c r="V69" s="430" t="s">
        <v>121</v>
      </c>
      <c r="W69" s="430"/>
      <c r="X69" s="430"/>
      <c r="Y69" s="447">
        <f>+I70</f>
        <v>0</v>
      </c>
      <c r="Z69" s="447"/>
      <c r="AA69" s="161" t="s">
        <v>110</v>
      </c>
      <c r="AB69" s="162">
        <f>AB54</f>
        <v>6.1700000000000004E-4</v>
      </c>
      <c r="AC69" s="58">
        <f>ROUND(Y69*AB69,0)</f>
        <v>0</v>
      </c>
      <c r="AD69" s="9"/>
    </row>
    <row r="70" spans="1:30" ht="20.25" customHeight="1" x14ac:dyDescent="0.3">
      <c r="B70" s="14" t="s">
        <v>121</v>
      </c>
      <c r="C70" s="14"/>
      <c r="D70" s="14"/>
      <c r="E70" s="14"/>
      <c r="F70" s="14"/>
      <c r="H70" s="163" t="s">
        <v>21</v>
      </c>
      <c r="I70" s="127">
        <v>0</v>
      </c>
      <c r="J70" s="164" t="s">
        <v>110</v>
      </c>
      <c r="K70" s="165">
        <f>K54</f>
        <v>7.2400000000000003E-4</v>
      </c>
      <c r="L70" s="53">
        <f>ROUND(I70*K70,0)</f>
        <v>0</v>
      </c>
      <c r="O70" s="1"/>
      <c r="V70" s="430" t="s">
        <v>122</v>
      </c>
      <c r="W70" s="430"/>
      <c r="X70" s="430"/>
      <c r="Y70" s="444">
        <f>+I71</f>
        <v>1865769</v>
      </c>
      <c r="Z70" s="444"/>
      <c r="AA70" s="161" t="s">
        <v>110</v>
      </c>
      <c r="AB70" s="162">
        <f>AB54</f>
        <v>6.1700000000000004E-4</v>
      </c>
      <c r="AC70" s="58">
        <f>ROUND(Y70*AB70,0)</f>
        <v>1151</v>
      </c>
      <c r="AD70" s="9"/>
    </row>
    <row r="71" spans="1:30" ht="20.25" customHeight="1" x14ac:dyDescent="0.3">
      <c r="B71" s="14" t="s">
        <v>122</v>
      </c>
      <c r="C71" s="14"/>
      <c r="D71" s="14"/>
      <c r="E71" s="14"/>
      <c r="F71" s="14"/>
      <c r="H71" s="163" t="s">
        <v>21</v>
      </c>
      <c r="I71" s="127">
        <v>1865769</v>
      </c>
      <c r="J71" s="164" t="s">
        <v>110</v>
      </c>
      <c r="K71" s="165">
        <f>K54</f>
        <v>7.2400000000000003E-4</v>
      </c>
      <c r="L71" s="53">
        <f>ROUND(I71*K71,0)</f>
        <v>1351</v>
      </c>
      <c r="O71" s="1"/>
      <c r="V71" s="430" t="s">
        <v>123</v>
      </c>
      <c r="W71" s="430"/>
      <c r="X71" s="430"/>
      <c r="Y71" s="444">
        <f>+I72</f>
        <v>13963927</v>
      </c>
      <c r="Z71" s="444"/>
      <c r="AA71" s="161" t="s">
        <v>110</v>
      </c>
      <c r="AB71" s="162">
        <f>AB57</f>
        <v>6.7400000000000001E-4</v>
      </c>
      <c r="AC71" s="58">
        <f>ROUND(Y71*AB71,0)</f>
        <v>9412</v>
      </c>
      <c r="AD71" s="9"/>
    </row>
    <row r="72" spans="1:30" ht="21" customHeight="1" x14ac:dyDescent="0.35">
      <c r="B72" s="14" t="s">
        <v>123</v>
      </c>
      <c r="C72" s="14"/>
      <c r="D72" s="14"/>
      <c r="E72" s="14"/>
      <c r="F72" s="14"/>
      <c r="H72" s="163" t="s">
        <v>22</v>
      </c>
      <c r="I72" s="127">
        <v>13963927</v>
      </c>
      <c r="J72" s="164" t="s">
        <v>110</v>
      </c>
      <c r="K72" s="165">
        <f>K57</f>
        <v>6.7400000000000001E-4</v>
      </c>
      <c r="L72" s="53">
        <f>ROUND(I72*K72,0)</f>
        <v>9412</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71.5</v>
      </c>
      <c r="AA74" s="173" t="s">
        <v>130</v>
      </c>
      <c r="AB74" s="174">
        <f>+K75</f>
        <v>361</v>
      </c>
      <c r="AC74" s="58">
        <f>ROUND(AB74*Z74,0)</f>
        <v>25812</v>
      </c>
      <c r="AD74" s="9"/>
    </row>
    <row r="75" spans="1:30" ht="19.5" customHeight="1" x14ac:dyDescent="0.3">
      <c r="A75" s="1" t="s">
        <v>131</v>
      </c>
      <c r="B75" s="175" t="s">
        <v>128</v>
      </c>
      <c r="C75" s="176" t="s">
        <v>129</v>
      </c>
      <c r="D75" s="175">
        <v>69</v>
      </c>
      <c r="E75" s="175">
        <v>74</v>
      </c>
      <c r="F75" s="175">
        <v>0</v>
      </c>
      <c r="G75" s="177">
        <f>IF($B$154&lt;8,D75,E75)</f>
        <v>74</v>
      </c>
      <c r="H75" s="178"/>
      <c r="I75" s="179">
        <f>AVERAGE(G75,D75)</f>
        <v>71.5</v>
      </c>
      <c r="J75" s="180" t="s">
        <v>130</v>
      </c>
      <c r="K75" s="181">
        <v>361</v>
      </c>
      <c r="L75" s="53">
        <f>ROUND(K75*I75,0)</f>
        <v>25812</v>
      </c>
      <c r="N75" s="1">
        <v>7802</v>
      </c>
      <c r="O75" s="1">
        <v>0</v>
      </c>
      <c r="V75" s="445" t="s">
        <v>128</v>
      </c>
      <c r="W75" s="445"/>
      <c r="X75" s="170" t="s">
        <v>132</v>
      </c>
      <c r="Y75" s="182"/>
      <c r="Z75" s="183">
        <f>+I76</f>
        <v>23</v>
      </c>
      <c r="AA75" s="173" t="s">
        <v>130</v>
      </c>
      <c r="AB75" s="184">
        <f>+K76</f>
        <v>1357</v>
      </c>
      <c r="AC75" s="58">
        <f>ROUND(AB75*Z75,0)</f>
        <v>31211</v>
      </c>
      <c r="AD75" s="9"/>
    </row>
    <row r="76" spans="1:30" ht="19.5" customHeight="1" x14ac:dyDescent="0.3">
      <c r="A76" s="1" t="s">
        <v>133</v>
      </c>
      <c r="B76" s="175" t="s">
        <v>128</v>
      </c>
      <c r="C76" s="176" t="s">
        <v>132</v>
      </c>
      <c r="D76" s="175">
        <v>21</v>
      </c>
      <c r="E76" s="175">
        <v>25</v>
      </c>
      <c r="F76" s="175">
        <v>0</v>
      </c>
      <c r="G76" s="177">
        <f>IF($B$154&lt;8,D76,E76)</f>
        <v>25</v>
      </c>
      <c r="H76" s="178"/>
      <c r="I76" s="179">
        <f>AVERAGE(G76,D76)</f>
        <v>23</v>
      </c>
      <c r="J76" s="180" t="s">
        <v>130</v>
      </c>
      <c r="K76" s="185">
        <v>1357</v>
      </c>
      <c r="L76" s="53">
        <f>ROUND(K76*I76,0)</f>
        <v>31211</v>
      </c>
      <c r="N76" s="1">
        <v>7802</v>
      </c>
      <c r="O76" s="1">
        <v>110</v>
      </c>
      <c r="V76" s="430" t="str">
        <f>+B77</f>
        <v>14.  Digital Classrooms Allocation (UFTE share)</v>
      </c>
      <c r="W76" s="430"/>
      <c r="X76" s="430"/>
      <c r="Y76" s="440">
        <f>+I77</f>
        <v>1716988</v>
      </c>
      <c r="Z76" s="440"/>
      <c r="AA76" s="173" t="s">
        <v>130</v>
      </c>
      <c r="AB76" s="162">
        <f>AB57</f>
        <v>6.7400000000000001E-4</v>
      </c>
      <c r="AC76" s="58">
        <f>ROUND(Y76*AB76,0)</f>
        <v>1157</v>
      </c>
      <c r="AD76" s="9"/>
    </row>
    <row r="77" spans="1:30" ht="26.25" customHeight="1" x14ac:dyDescent="0.3">
      <c r="B77" s="14" t="s">
        <v>134</v>
      </c>
      <c r="C77" s="14"/>
      <c r="D77" s="14"/>
      <c r="E77" s="14"/>
      <c r="F77" s="14"/>
      <c r="H77" s="163" t="s">
        <v>25</v>
      </c>
      <c r="I77" s="186">
        <v>1716988</v>
      </c>
      <c r="J77" s="164" t="s">
        <v>110</v>
      </c>
      <c r="K77" s="165">
        <f>K57</f>
        <v>6.7400000000000001E-4</v>
      </c>
      <c r="L77" s="53">
        <f>ROUND(I77*K77,0)</f>
        <v>1157</v>
      </c>
      <c r="O77" s="1"/>
      <c r="V77" s="430" t="str">
        <f>+B78</f>
        <v>15.  Florida Teachers Classroom Supply Assistance Program</v>
      </c>
      <c r="W77" s="430"/>
      <c r="X77" s="430"/>
      <c r="Y77" s="440">
        <f>+I78</f>
        <v>0</v>
      </c>
      <c r="Z77" s="440"/>
      <c r="AA77" s="173" t="s">
        <v>130</v>
      </c>
      <c r="AB77" s="162">
        <f>AB54</f>
        <v>6.1700000000000004E-4</v>
      </c>
      <c r="AC77" s="58">
        <f>ROUND(Y77*AB77,0)</f>
        <v>0</v>
      </c>
      <c r="AD77" s="9"/>
    </row>
    <row r="78" spans="1:30" ht="26.25" customHeight="1" x14ac:dyDescent="0.3">
      <c r="B78" s="384" t="s">
        <v>135</v>
      </c>
      <c r="C78" s="384"/>
      <c r="D78" s="384"/>
      <c r="E78" s="14"/>
      <c r="F78" s="14"/>
      <c r="H78" s="163" t="s">
        <v>136</v>
      </c>
      <c r="I78" s="187">
        <v>0</v>
      </c>
      <c r="J78" s="164" t="s">
        <v>110</v>
      </c>
      <c r="K78" s="165">
        <f>K54</f>
        <v>7.2400000000000003E-4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828391</v>
      </c>
      <c r="AD81" s="197"/>
    </row>
    <row r="82" spans="1:30" ht="22.5" customHeight="1" thickTop="1" thickBot="1" x14ac:dyDescent="0.35">
      <c r="B82" s="14" t="s">
        <v>140</v>
      </c>
      <c r="C82" s="14"/>
      <c r="D82" s="14"/>
      <c r="E82" s="14"/>
      <c r="F82" s="14"/>
      <c r="G82" s="14"/>
      <c r="H82" s="14"/>
      <c r="I82" s="14"/>
      <c r="J82" s="14"/>
      <c r="K82" s="14"/>
      <c r="L82" s="198">
        <f>SUM(L44:L81)</f>
        <v>1262721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'4037'!AC81</f>
        <v>828391</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828391</v>
      </c>
      <c r="L86" s="83">
        <f>IF(G26=0,0,IF(G26&gt;250,-(((250/G26)*K86)*IF(M86="H",0.02,0.05)),IF(M86="H",-0.02*K86,-0.05*K86)))</f>
        <v>-41419.550000000003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1221301.45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-101775</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1119526.45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101775.13181818182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380</v>
      </c>
      <c r="C123" s="221" t="s">
        <v>199</v>
      </c>
    </row>
    <row r="124" spans="2:3" hidden="1" x14ac:dyDescent="0.3">
      <c r="B124" s="225" t="s">
        <v>381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41808.603101851899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380</v>
      </c>
      <c r="C164" s="235" t="s">
        <v>244</v>
      </c>
      <c r="D164" s="231"/>
    </row>
    <row r="165" spans="1:4" hidden="1" x14ac:dyDescent="0.3">
      <c r="A165" s="230" t="s">
        <v>245</v>
      </c>
      <c r="B165" s="234" t="s">
        <v>381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41808.603101851899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90" zoomScaleNormal="90" workbookViewId="0">
      <selection activeCell="A3" sqref="A3:D3"/>
    </sheetView>
  </sheetViews>
  <sheetFormatPr defaultRowHeight="14.4" x14ac:dyDescent="0.3"/>
  <cols>
    <col min="1" max="1" width="11.44140625" style="250" customWidth="1"/>
    <col min="2" max="2" width="40.5546875" style="250" bestFit="1" customWidth="1"/>
    <col min="3" max="3" width="17.44140625" style="250" customWidth="1"/>
    <col min="4" max="4" width="11.44140625" style="250" customWidth="1"/>
    <col min="5" max="5" width="14.21875" style="250" customWidth="1"/>
    <col min="6" max="6" width="15.77734375" style="250" customWidth="1"/>
    <col min="7" max="7" width="12" style="250" customWidth="1"/>
    <col min="8" max="8" width="13.44140625" style="250" customWidth="1"/>
    <col min="9" max="256" width="8.77734375" style="250"/>
    <col min="257" max="257" width="11.44140625" style="250" customWidth="1"/>
    <col min="258" max="258" width="40.5546875" style="250" bestFit="1" customWidth="1"/>
    <col min="259" max="259" width="17.44140625" style="250" customWidth="1"/>
    <col min="260" max="260" width="11.44140625" style="250" customWidth="1"/>
    <col min="261" max="261" width="14.21875" style="250" customWidth="1"/>
    <col min="262" max="262" width="15.77734375" style="250" customWidth="1"/>
    <col min="263" max="263" width="12" style="250" customWidth="1"/>
    <col min="264" max="264" width="13.44140625" style="250" customWidth="1"/>
    <col min="265" max="512" width="8.77734375" style="250"/>
    <col min="513" max="513" width="11.44140625" style="250" customWidth="1"/>
    <col min="514" max="514" width="40.5546875" style="250" bestFit="1" customWidth="1"/>
    <col min="515" max="515" width="17.44140625" style="250" customWidth="1"/>
    <col min="516" max="516" width="11.44140625" style="250" customWidth="1"/>
    <col min="517" max="517" width="14.21875" style="250" customWidth="1"/>
    <col min="518" max="518" width="15.77734375" style="250" customWidth="1"/>
    <col min="519" max="519" width="12" style="250" customWidth="1"/>
    <col min="520" max="520" width="13.44140625" style="250" customWidth="1"/>
    <col min="521" max="768" width="8.77734375" style="250"/>
    <col min="769" max="769" width="11.44140625" style="250" customWidth="1"/>
    <col min="770" max="770" width="40.5546875" style="250" bestFit="1" customWidth="1"/>
    <col min="771" max="771" width="17.44140625" style="250" customWidth="1"/>
    <col min="772" max="772" width="11.44140625" style="250" customWidth="1"/>
    <col min="773" max="773" width="14.21875" style="250" customWidth="1"/>
    <col min="774" max="774" width="15.77734375" style="250" customWidth="1"/>
    <col min="775" max="775" width="12" style="250" customWidth="1"/>
    <col min="776" max="776" width="13.44140625" style="250" customWidth="1"/>
    <col min="777" max="1024" width="8.77734375" style="250"/>
    <col min="1025" max="1025" width="11.44140625" style="250" customWidth="1"/>
    <col min="1026" max="1026" width="40.5546875" style="250" bestFit="1" customWidth="1"/>
    <col min="1027" max="1027" width="17.44140625" style="250" customWidth="1"/>
    <col min="1028" max="1028" width="11.44140625" style="250" customWidth="1"/>
    <col min="1029" max="1029" width="14.21875" style="250" customWidth="1"/>
    <col min="1030" max="1030" width="15.77734375" style="250" customWidth="1"/>
    <col min="1031" max="1031" width="12" style="250" customWidth="1"/>
    <col min="1032" max="1032" width="13.44140625" style="250" customWidth="1"/>
    <col min="1033" max="1280" width="8.77734375" style="250"/>
    <col min="1281" max="1281" width="11.44140625" style="250" customWidth="1"/>
    <col min="1282" max="1282" width="40.5546875" style="250" bestFit="1" customWidth="1"/>
    <col min="1283" max="1283" width="17.44140625" style="250" customWidth="1"/>
    <col min="1284" max="1284" width="11.44140625" style="250" customWidth="1"/>
    <col min="1285" max="1285" width="14.21875" style="250" customWidth="1"/>
    <col min="1286" max="1286" width="15.77734375" style="250" customWidth="1"/>
    <col min="1287" max="1287" width="12" style="250" customWidth="1"/>
    <col min="1288" max="1288" width="13.44140625" style="250" customWidth="1"/>
    <col min="1289" max="1536" width="8.77734375" style="250"/>
    <col min="1537" max="1537" width="11.44140625" style="250" customWidth="1"/>
    <col min="1538" max="1538" width="40.5546875" style="250" bestFit="1" customWidth="1"/>
    <col min="1539" max="1539" width="17.44140625" style="250" customWidth="1"/>
    <col min="1540" max="1540" width="11.44140625" style="250" customWidth="1"/>
    <col min="1541" max="1541" width="14.21875" style="250" customWidth="1"/>
    <col min="1542" max="1542" width="15.77734375" style="250" customWidth="1"/>
    <col min="1543" max="1543" width="12" style="250" customWidth="1"/>
    <col min="1544" max="1544" width="13.44140625" style="250" customWidth="1"/>
    <col min="1545" max="1792" width="8.77734375" style="250"/>
    <col min="1793" max="1793" width="11.44140625" style="250" customWidth="1"/>
    <col min="1794" max="1794" width="40.5546875" style="250" bestFit="1" customWidth="1"/>
    <col min="1795" max="1795" width="17.44140625" style="250" customWidth="1"/>
    <col min="1796" max="1796" width="11.44140625" style="250" customWidth="1"/>
    <col min="1797" max="1797" width="14.21875" style="250" customWidth="1"/>
    <col min="1798" max="1798" width="15.77734375" style="250" customWidth="1"/>
    <col min="1799" max="1799" width="12" style="250" customWidth="1"/>
    <col min="1800" max="1800" width="13.44140625" style="250" customWidth="1"/>
    <col min="1801" max="2048" width="8.77734375" style="250"/>
    <col min="2049" max="2049" width="11.44140625" style="250" customWidth="1"/>
    <col min="2050" max="2050" width="40.5546875" style="250" bestFit="1" customWidth="1"/>
    <col min="2051" max="2051" width="17.44140625" style="250" customWidth="1"/>
    <col min="2052" max="2052" width="11.44140625" style="250" customWidth="1"/>
    <col min="2053" max="2053" width="14.21875" style="250" customWidth="1"/>
    <col min="2054" max="2054" width="15.77734375" style="250" customWidth="1"/>
    <col min="2055" max="2055" width="12" style="250" customWidth="1"/>
    <col min="2056" max="2056" width="13.44140625" style="250" customWidth="1"/>
    <col min="2057" max="2304" width="8.77734375" style="250"/>
    <col min="2305" max="2305" width="11.44140625" style="250" customWidth="1"/>
    <col min="2306" max="2306" width="40.5546875" style="250" bestFit="1" customWidth="1"/>
    <col min="2307" max="2307" width="17.44140625" style="250" customWidth="1"/>
    <col min="2308" max="2308" width="11.44140625" style="250" customWidth="1"/>
    <col min="2309" max="2309" width="14.21875" style="250" customWidth="1"/>
    <col min="2310" max="2310" width="15.77734375" style="250" customWidth="1"/>
    <col min="2311" max="2311" width="12" style="250" customWidth="1"/>
    <col min="2312" max="2312" width="13.44140625" style="250" customWidth="1"/>
    <col min="2313" max="2560" width="8.77734375" style="250"/>
    <col min="2561" max="2561" width="11.44140625" style="250" customWidth="1"/>
    <col min="2562" max="2562" width="40.5546875" style="250" bestFit="1" customWidth="1"/>
    <col min="2563" max="2563" width="17.44140625" style="250" customWidth="1"/>
    <col min="2564" max="2564" width="11.44140625" style="250" customWidth="1"/>
    <col min="2565" max="2565" width="14.21875" style="250" customWidth="1"/>
    <col min="2566" max="2566" width="15.77734375" style="250" customWidth="1"/>
    <col min="2567" max="2567" width="12" style="250" customWidth="1"/>
    <col min="2568" max="2568" width="13.44140625" style="250" customWidth="1"/>
    <col min="2569" max="2816" width="8.77734375" style="250"/>
    <col min="2817" max="2817" width="11.44140625" style="250" customWidth="1"/>
    <col min="2818" max="2818" width="40.5546875" style="250" bestFit="1" customWidth="1"/>
    <col min="2819" max="2819" width="17.44140625" style="250" customWidth="1"/>
    <col min="2820" max="2820" width="11.44140625" style="250" customWidth="1"/>
    <col min="2821" max="2821" width="14.21875" style="250" customWidth="1"/>
    <col min="2822" max="2822" width="15.77734375" style="250" customWidth="1"/>
    <col min="2823" max="2823" width="12" style="250" customWidth="1"/>
    <col min="2824" max="2824" width="13.44140625" style="250" customWidth="1"/>
    <col min="2825" max="3072" width="8.77734375" style="250"/>
    <col min="3073" max="3073" width="11.44140625" style="250" customWidth="1"/>
    <col min="3074" max="3074" width="40.5546875" style="250" bestFit="1" customWidth="1"/>
    <col min="3075" max="3075" width="17.44140625" style="250" customWidth="1"/>
    <col min="3076" max="3076" width="11.44140625" style="250" customWidth="1"/>
    <col min="3077" max="3077" width="14.21875" style="250" customWidth="1"/>
    <col min="3078" max="3078" width="15.77734375" style="250" customWidth="1"/>
    <col min="3079" max="3079" width="12" style="250" customWidth="1"/>
    <col min="3080" max="3080" width="13.44140625" style="250" customWidth="1"/>
    <col min="3081" max="3328" width="8.77734375" style="250"/>
    <col min="3329" max="3329" width="11.44140625" style="250" customWidth="1"/>
    <col min="3330" max="3330" width="40.5546875" style="250" bestFit="1" customWidth="1"/>
    <col min="3331" max="3331" width="17.44140625" style="250" customWidth="1"/>
    <col min="3332" max="3332" width="11.44140625" style="250" customWidth="1"/>
    <col min="3333" max="3333" width="14.21875" style="250" customWidth="1"/>
    <col min="3334" max="3334" width="15.77734375" style="250" customWidth="1"/>
    <col min="3335" max="3335" width="12" style="250" customWidth="1"/>
    <col min="3336" max="3336" width="13.44140625" style="250" customWidth="1"/>
    <col min="3337" max="3584" width="8.77734375" style="250"/>
    <col min="3585" max="3585" width="11.44140625" style="250" customWidth="1"/>
    <col min="3586" max="3586" width="40.5546875" style="250" bestFit="1" customWidth="1"/>
    <col min="3587" max="3587" width="17.44140625" style="250" customWidth="1"/>
    <col min="3588" max="3588" width="11.44140625" style="250" customWidth="1"/>
    <col min="3589" max="3589" width="14.21875" style="250" customWidth="1"/>
    <col min="3590" max="3590" width="15.77734375" style="250" customWidth="1"/>
    <col min="3591" max="3591" width="12" style="250" customWidth="1"/>
    <col min="3592" max="3592" width="13.44140625" style="250" customWidth="1"/>
    <col min="3593" max="3840" width="8.77734375" style="250"/>
    <col min="3841" max="3841" width="11.44140625" style="250" customWidth="1"/>
    <col min="3842" max="3842" width="40.5546875" style="250" bestFit="1" customWidth="1"/>
    <col min="3843" max="3843" width="17.44140625" style="250" customWidth="1"/>
    <col min="3844" max="3844" width="11.44140625" style="250" customWidth="1"/>
    <col min="3845" max="3845" width="14.21875" style="250" customWidth="1"/>
    <col min="3846" max="3846" width="15.77734375" style="250" customWidth="1"/>
    <col min="3847" max="3847" width="12" style="250" customWidth="1"/>
    <col min="3848" max="3848" width="13.44140625" style="250" customWidth="1"/>
    <col min="3849" max="4096" width="8.77734375" style="250"/>
    <col min="4097" max="4097" width="11.44140625" style="250" customWidth="1"/>
    <col min="4098" max="4098" width="40.5546875" style="250" bestFit="1" customWidth="1"/>
    <col min="4099" max="4099" width="17.44140625" style="250" customWidth="1"/>
    <col min="4100" max="4100" width="11.44140625" style="250" customWidth="1"/>
    <col min="4101" max="4101" width="14.21875" style="250" customWidth="1"/>
    <col min="4102" max="4102" width="15.77734375" style="250" customWidth="1"/>
    <col min="4103" max="4103" width="12" style="250" customWidth="1"/>
    <col min="4104" max="4104" width="13.44140625" style="250" customWidth="1"/>
    <col min="4105" max="4352" width="8.77734375" style="250"/>
    <col min="4353" max="4353" width="11.44140625" style="250" customWidth="1"/>
    <col min="4354" max="4354" width="40.5546875" style="250" bestFit="1" customWidth="1"/>
    <col min="4355" max="4355" width="17.44140625" style="250" customWidth="1"/>
    <col min="4356" max="4356" width="11.44140625" style="250" customWidth="1"/>
    <col min="4357" max="4357" width="14.21875" style="250" customWidth="1"/>
    <col min="4358" max="4358" width="15.77734375" style="250" customWidth="1"/>
    <col min="4359" max="4359" width="12" style="250" customWidth="1"/>
    <col min="4360" max="4360" width="13.44140625" style="250" customWidth="1"/>
    <col min="4361" max="4608" width="8.77734375" style="250"/>
    <col min="4609" max="4609" width="11.44140625" style="250" customWidth="1"/>
    <col min="4610" max="4610" width="40.5546875" style="250" bestFit="1" customWidth="1"/>
    <col min="4611" max="4611" width="17.44140625" style="250" customWidth="1"/>
    <col min="4612" max="4612" width="11.44140625" style="250" customWidth="1"/>
    <col min="4613" max="4613" width="14.21875" style="250" customWidth="1"/>
    <col min="4614" max="4614" width="15.77734375" style="250" customWidth="1"/>
    <col min="4615" max="4615" width="12" style="250" customWidth="1"/>
    <col min="4616" max="4616" width="13.44140625" style="250" customWidth="1"/>
    <col min="4617" max="4864" width="8.77734375" style="250"/>
    <col min="4865" max="4865" width="11.44140625" style="250" customWidth="1"/>
    <col min="4866" max="4866" width="40.5546875" style="250" bestFit="1" customWidth="1"/>
    <col min="4867" max="4867" width="17.44140625" style="250" customWidth="1"/>
    <col min="4868" max="4868" width="11.44140625" style="250" customWidth="1"/>
    <col min="4869" max="4869" width="14.21875" style="250" customWidth="1"/>
    <col min="4870" max="4870" width="15.77734375" style="250" customWidth="1"/>
    <col min="4871" max="4871" width="12" style="250" customWidth="1"/>
    <col min="4872" max="4872" width="13.44140625" style="250" customWidth="1"/>
    <col min="4873" max="5120" width="8.77734375" style="250"/>
    <col min="5121" max="5121" width="11.44140625" style="250" customWidth="1"/>
    <col min="5122" max="5122" width="40.5546875" style="250" bestFit="1" customWidth="1"/>
    <col min="5123" max="5123" width="17.44140625" style="250" customWidth="1"/>
    <col min="5124" max="5124" width="11.44140625" style="250" customWidth="1"/>
    <col min="5125" max="5125" width="14.21875" style="250" customWidth="1"/>
    <col min="5126" max="5126" width="15.77734375" style="250" customWidth="1"/>
    <col min="5127" max="5127" width="12" style="250" customWidth="1"/>
    <col min="5128" max="5128" width="13.44140625" style="250" customWidth="1"/>
    <col min="5129" max="5376" width="8.77734375" style="250"/>
    <col min="5377" max="5377" width="11.44140625" style="250" customWidth="1"/>
    <col min="5378" max="5378" width="40.5546875" style="250" bestFit="1" customWidth="1"/>
    <col min="5379" max="5379" width="17.44140625" style="250" customWidth="1"/>
    <col min="5380" max="5380" width="11.44140625" style="250" customWidth="1"/>
    <col min="5381" max="5381" width="14.21875" style="250" customWidth="1"/>
    <col min="5382" max="5382" width="15.77734375" style="250" customWidth="1"/>
    <col min="5383" max="5383" width="12" style="250" customWidth="1"/>
    <col min="5384" max="5384" width="13.44140625" style="250" customWidth="1"/>
    <col min="5385" max="5632" width="8.77734375" style="250"/>
    <col min="5633" max="5633" width="11.44140625" style="250" customWidth="1"/>
    <col min="5634" max="5634" width="40.5546875" style="250" bestFit="1" customWidth="1"/>
    <col min="5635" max="5635" width="17.44140625" style="250" customWidth="1"/>
    <col min="5636" max="5636" width="11.44140625" style="250" customWidth="1"/>
    <col min="5637" max="5637" width="14.21875" style="250" customWidth="1"/>
    <col min="5638" max="5638" width="15.77734375" style="250" customWidth="1"/>
    <col min="5639" max="5639" width="12" style="250" customWidth="1"/>
    <col min="5640" max="5640" width="13.44140625" style="250" customWidth="1"/>
    <col min="5641" max="5888" width="8.77734375" style="250"/>
    <col min="5889" max="5889" width="11.44140625" style="250" customWidth="1"/>
    <col min="5890" max="5890" width="40.5546875" style="250" bestFit="1" customWidth="1"/>
    <col min="5891" max="5891" width="17.44140625" style="250" customWidth="1"/>
    <col min="5892" max="5892" width="11.44140625" style="250" customWidth="1"/>
    <col min="5893" max="5893" width="14.21875" style="250" customWidth="1"/>
    <col min="5894" max="5894" width="15.77734375" style="250" customWidth="1"/>
    <col min="5895" max="5895" width="12" style="250" customWidth="1"/>
    <col min="5896" max="5896" width="13.44140625" style="250" customWidth="1"/>
    <col min="5897" max="6144" width="8.77734375" style="250"/>
    <col min="6145" max="6145" width="11.44140625" style="250" customWidth="1"/>
    <col min="6146" max="6146" width="40.5546875" style="250" bestFit="1" customWidth="1"/>
    <col min="6147" max="6147" width="17.44140625" style="250" customWidth="1"/>
    <col min="6148" max="6148" width="11.44140625" style="250" customWidth="1"/>
    <col min="6149" max="6149" width="14.21875" style="250" customWidth="1"/>
    <col min="6150" max="6150" width="15.77734375" style="250" customWidth="1"/>
    <col min="6151" max="6151" width="12" style="250" customWidth="1"/>
    <col min="6152" max="6152" width="13.44140625" style="250" customWidth="1"/>
    <col min="6153" max="6400" width="8.77734375" style="250"/>
    <col min="6401" max="6401" width="11.44140625" style="250" customWidth="1"/>
    <col min="6402" max="6402" width="40.5546875" style="250" bestFit="1" customWidth="1"/>
    <col min="6403" max="6403" width="17.44140625" style="250" customWidth="1"/>
    <col min="6404" max="6404" width="11.44140625" style="250" customWidth="1"/>
    <col min="6405" max="6405" width="14.21875" style="250" customWidth="1"/>
    <col min="6406" max="6406" width="15.77734375" style="250" customWidth="1"/>
    <col min="6407" max="6407" width="12" style="250" customWidth="1"/>
    <col min="6408" max="6408" width="13.44140625" style="250" customWidth="1"/>
    <col min="6409" max="6656" width="8.77734375" style="250"/>
    <col min="6657" max="6657" width="11.44140625" style="250" customWidth="1"/>
    <col min="6658" max="6658" width="40.5546875" style="250" bestFit="1" customWidth="1"/>
    <col min="6659" max="6659" width="17.44140625" style="250" customWidth="1"/>
    <col min="6660" max="6660" width="11.44140625" style="250" customWidth="1"/>
    <col min="6661" max="6661" width="14.21875" style="250" customWidth="1"/>
    <col min="6662" max="6662" width="15.77734375" style="250" customWidth="1"/>
    <col min="6663" max="6663" width="12" style="250" customWidth="1"/>
    <col min="6664" max="6664" width="13.44140625" style="250" customWidth="1"/>
    <col min="6665" max="6912" width="8.77734375" style="250"/>
    <col min="6913" max="6913" width="11.44140625" style="250" customWidth="1"/>
    <col min="6914" max="6914" width="40.5546875" style="250" bestFit="1" customWidth="1"/>
    <col min="6915" max="6915" width="17.44140625" style="250" customWidth="1"/>
    <col min="6916" max="6916" width="11.44140625" style="250" customWidth="1"/>
    <col min="6917" max="6917" width="14.21875" style="250" customWidth="1"/>
    <col min="6918" max="6918" width="15.77734375" style="250" customWidth="1"/>
    <col min="6919" max="6919" width="12" style="250" customWidth="1"/>
    <col min="6920" max="6920" width="13.44140625" style="250" customWidth="1"/>
    <col min="6921" max="7168" width="8.77734375" style="250"/>
    <col min="7169" max="7169" width="11.44140625" style="250" customWidth="1"/>
    <col min="7170" max="7170" width="40.5546875" style="250" bestFit="1" customWidth="1"/>
    <col min="7171" max="7171" width="17.44140625" style="250" customWidth="1"/>
    <col min="7172" max="7172" width="11.44140625" style="250" customWidth="1"/>
    <col min="7173" max="7173" width="14.21875" style="250" customWidth="1"/>
    <col min="7174" max="7174" width="15.77734375" style="250" customWidth="1"/>
    <col min="7175" max="7175" width="12" style="250" customWidth="1"/>
    <col min="7176" max="7176" width="13.44140625" style="250" customWidth="1"/>
    <col min="7177" max="7424" width="8.77734375" style="250"/>
    <col min="7425" max="7425" width="11.44140625" style="250" customWidth="1"/>
    <col min="7426" max="7426" width="40.5546875" style="250" bestFit="1" customWidth="1"/>
    <col min="7427" max="7427" width="17.44140625" style="250" customWidth="1"/>
    <col min="7428" max="7428" width="11.44140625" style="250" customWidth="1"/>
    <col min="7429" max="7429" width="14.21875" style="250" customWidth="1"/>
    <col min="7430" max="7430" width="15.77734375" style="250" customWidth="1"/>
    <col min="7431" max="7431" width="12" style="250" customWidth="1"/>
    <col min="7432" max="7432" width="13.44140625" style="250" customWidth="1"/>
    <col min="7433" max="7680" width="8.77734375" style="250"/>
    <col min="7681" max="7681" width="11.44140625" style="250" customWidth="1"/>
    <col min="7682" max="7682" width="40.5546875" style="250" bestFit="1" customWidth="1"/>
    <col min="7683" max="7683" width="17.44140625" style="250" customWidth="1"/>
    <col min="7684" max="7684" width="11.44140625" style="250" customWidth="1"/>
    <col min="7685" max="7685" width="14.21875" style="250" customWidth="1"/>
    <col min="7686" max="7686" width="15.77734375" style="250" customWidth="1"/>
    <col min="7687" max="7687" width="12" style="250" customWidth="1"/>
    <col min="7688" max="7688" width="13.44140625" style="250" customWidth="1"/>
    <col min="7689" max="7936" width="8.77734375" style="250"/>
    <col min="7937" max="7937" width="11.44140625" style="250" customWidth="1"/>
    <col min="7938" max="7938" width="40.5546875" style="250" bestFit="1" customWidth="1"/>
    <col min="7939" max="7939" width="17.44140625" style="250" customWidth="1"/>
    <col min="7940" max="7940" width="11.44140625" style="250" customWidth="1"/>
    <col min="7941" max="7941" width="14.21875" style="250" customWidth="1"/>
    <col min="7942" max="7942" width="15.77734375" style="250" customWidth="1"/>
    <col min="7943" max="7943" width="12" style="250" customWidth="1"/>
    <col min="7944" max="7944" width="13.44140625" style="250" customWidth="1"/>
    <col min="7945" max="8192" width="8.77734375" style="250"/>
    <col min="8193" max="8193" width="11.44140625" style="250" customWidth="1"/>
    <col min="8194" max="8194" width="40.5546875" style="250" bestFit="1" customWidth="1"/>
    <col min="8195" max="8195" width="17.44140625" style="250" customWidth="1"/>
    <col min="8196" max="8196" width="11.44140625" style="250" customWidth="1"/>
    <col min="8197" max="8197" width="14.21875" style="250" customWidth="1"/>
    <col min="8198" max="8198" width="15.77734375" style="250" customWidth="1"/>
    <col min="8199" max="8199" width="12" style="250" customWidth="1"/>
    <col min="8200" max="8200" width="13.44140625" style="250" customWidth="1"/>
    <col min="8201" max="8448" width="8.77734375" style="250"/>
    <col min="8449" max="8449" width="11.44140625" style="250" customWidth="1"/>
    <col min="8450" max="8450" width="40.5546875" style="250" bestFit="1" customWidth="1"/>
    <col min="8451" max="8451" width="17.44140625" style="250" customWidth="1"/>
    <col min="8452" max="8452" width="11.44140625" style="250" customWidth="1"/>
    <col min="8453" max="8453" width="14.21875" style="250" customWidth="1"/>
    <col min="8454" max="8454" width="15.77734375" style="250" customWidth="1"/>
    <col min="8455" max="8455" width="12" style="250" customWidth="1"/>
    <col min="8456" max="8456" width="13.44140625" style="250" customWidth="1"/>
    <col min="8457" max="8704" width="8.77734375" style="250"/>
    <col min="8705" max="8705" width="11.44140625" style="250" customWidth="1"/>
    <col min="8706" max="8706" width="40.5546875" style="250" bestFit="1" customWidth="1"/>
    <col min="8707" max="8707" width="17.44140625" style="250" customWidth="1"/>
    <col min="8708" max="8708" width="11.44140625" style="250" customWidth="1"/>
    <col min="8709" max="8709" width="14.21875" style="250" customWidth="1"/>
    <col min="8710" max="8710" width="15.77734375" style="250" customWidth="1"/>
    <col min="8711" max="8711" width="12" style="250" customWidth="1"/>
    <col min="8712" max="8712" width="13.44140625" style="250" customWidth="1"/>
    <col min="8713" max="8960" width="8.77734375" style="250"/>
    <col min="8961" max="8961" width="11.44140625" style="250" customWidth="1"/>
    <col min="8962" max="8962" width="40.5546875" style="250" bestFit="1" customWidth="1"/>
    <col min="8963" max="8963" width="17.44140625" style="250" customWidth="1"/>
    <col min="8964" max="8964" width="11.44140625" style="250" customWidth="1"/>
    <col min="8965" max="8965" width="14.21875" style="250" customWidth="1"/>
    <col min="8966" max="8966" width="15.77734375" style="250" customWidth="1"/>
    <col min="8967" max="8967" width="12" style="250" customWidth="1"/>
    <col min="8968" max="8968" width="13.44140625" style="250" customWidth="1"/>
    <col min="8969" max="9216" width="8.77734375" style="250"/>
    <col min="9217" max="9217" width="11.44140625" style="250" customWidth="1"/>
    <col min="9218" max="9218" width="40.5546875" style="250" bestFit="1" customWidth="1"/>
    <col min="9219" max="9219" width="17.44140625" style="250" customWidth="1"/>
    <col min="9220" max="9220" width="11.44140625" style="250" customWidth="1"/>
    <col min="9221" max="9221" width="14.21875" style="250" customWidth="1"/>
    <col min="9222" max="9222" width="15.77734375" style="250" customWidth="1"/>
    <col min="9223" max="9223" width="12" style="250" customWidth="1"/>
    <col min="9224" max="9224" width="13.44140625" style="250" customWidth="1"/>
    <col min="9225" max="9472" width="8.77734375" style="250"/>
    <col min="9473" max="9473" width="11.44140625" style="250" customWidth="1"/>
    <col min="9474" max="9474" width="40.5546875" style="250" bestFit="1" customWidth="1"/>
    <col min="9475" max="9475" width="17.44140625" style="250" customWidth="1"/>
    <col min="9476" max="9476" width="11.44140625" style="250" customWidth="1"/>
    <col min="9477" max="9477" width="14.21875" style="250" customWidth="1"/>
    <col min="9478" max="9478" width="15.77734375" style="250" customWidth="1"/>
    <col min="9479" max="9479" width="12" style="250" customWidth="1"/>
    <col min="9480" max="9480" width="13.44140625" style="250" customWidth="1"/>
    <col min="9481" max="9728" width="8.77734375" style="250"/>
    <col min="9729" max="9729" width="11.44140625" style="250" customWidth="1"/>
    <col min="9730" max="9730" width="40.5546875" style="250" bestFit="1" customWidth="1"/>
    <col min="9731" max="9731" width="17.44140625" style="250" customWidth="1"/>
    <col min="9732" max="9732" width="11.44140625" style="250" customWidth="1"/>
    <col min="9733" max="9733" width="14.21875" style="250" customWidth="1"/>
    <col min="9734" max="9734" width="15.77734375" style="250" customWidth="1"/>
    <col min="9735" max="9735" width="12" style="250" customWidth="1"/>
    <col min="9736" max="9736" width="13.44140625" style="250" customWidth="1"/>
    <col min="9737" max="9984" width="8.77734375" style="250"/>
    <col min="9985" max="9985" width="11.44140625" style="250" customWidth="1"/>
    <col min="9986" max="9986" width="40.5546875" style="250" bestFit="1" customWidth="1"/>
    <col min="9987" max="9987" width="17.44140625" style="250" customWidth="1"/>
    <col min="9988" max="9988" width="11.44140625" style="250" customWidth="1"/>
    <col min="9989" max="9989" width="14.21875" style="250" customWidth="1"/>
    <col min="9990" max="9990" width="15.77734375" style="250" customWidth="1"/>
    <col min="9991" max="9991" width="12" style="250" customWidth="1"/>
    <col min="9992" max="9992" width="13.44140625" style="250" customWidth="1"/>
    <col min="9993" max="10240" width="8.77734375" style="250"/>
    <col min="10241" max="10241" width="11.44140625" style="250" customWidth="1"/>
    <col min="10242" max="10242" width="40.5546875" style="250" bestFit="1" customWidth="1"/>
    <col min="10243" max="10243" width="17.44140625" style="250" customWidth="1"/>
    <col min="10244" max="10244" width="11.44140625" style="250" customWidth="1"/>
    <col min="10245" max="10245" width="14.21875" style="250" customWidth="1"/>
    <col min="10246" max="10246" width="15.77734375" style="250" customWidth="1"/>
    <col min="10247" max="10247" width="12" style="250" customWidth="1"/>
    <col min="10248" max="10248" width="13.44140625" style="250" customWidth="1"/>
    <col min="10249" max="10496" width="8.77734375" style="250"/>
    <col min="10497" max="10497" width="11.44140625" style="250" customWidth="1"/>
    <col min="10498" max="10498" width="40.5546875" style="250" bestFit="1" customWidth="1"/>
    <col min="10499" max="10499" width="17.44140625" style="250" customWidth="1"/>
    <col min="10500" max="10500" width="11.44140625" style="250" customWidth="1"/>
    <col min="10501" max="10501" width="14.21875" style="250" customWidth="1"/>
    <col min="10502" max="10502" width="15.77734375" style="250" customWidth="1"/>
    <col min="10503" max="10503" width="12" style="250" customWidth="1"/>
    <col min="10504" max="10504" width="13.44140625" style="250" customWidth="1"/>
    <col min="10505" max="10752" width="8.77734375" style="250"/>
    <col min="10753" max="10753" width="11.44140625" style="250" customWidth="1"/>
    <col min="10754" max="10754" width="40.5546875" style="250" bestFit="1" customWidth="1"/>
    <col min="10755" max="10755" width="17.44140625" style="250" customWidth="1"/>
    <col min="10756" max="10756" width="11.44140625" style="250" customWidth="1"/>
    <col min="10757" max="10757" width="14.21875" style="250" customWidth="1"/>
    <col min="10758" max="10758" width="15.77734375" style="250" customWidth="1"/>
    <col min="10759" max="10759" width="12" style="250" customWidth="1"/>
    <col min="10760" max="10760" width="13.44140625" style="250" customWidth="1"/>
    <col min="10761" max="11008" width="8.77734375" style="250"/>
    <col min="11009" max="11009" width="11.44140625" style="250" customWidth="1"/>
    <col min="11010" max="11010" width="40.5546875" style="250" bestFit="1" customWidth="1"/>
    <col min="11011" max="11011" width="17.44140625" style="250" customWidth="1"/>
    <col min="11012" max="11012" width="11.44140625" style="250" customWidth="1"/>
    <col min="11013" max="11013" width="14.21875" style="250" customWidth="1"/>
    <col min="11014" max="11014" width="15.77734375" style="250" customWidth="1"/>
    <col min="11015" max="11015" width="12" style="250" customWidth="1"/>
    <col min="11016" max="11016" width="13.44140625" style="250" customWidth="1"/>
    <col min="11017" max="11264" width="8.77734375" style="250"/>
    <col min="11265" max="11265" width="11.44140625" style="250" customWidth="1"/>
    <col min="11266" max="11266" width="40.5546875" style="250" bestFit="1" customWidth="1"/>
    <col min="11267" max="11267" width="17.44140625" style="250" customWidth="1"/>
    <col min="11268" max="11268" width="11.44140625" style="250" customWidth="1"/>
    <col min="11269" max="11269" width="14.21875" style="250" customWidth="1"/>
    <col min="11270" max="11270" width="15.77734375" style="250" customWidth="1"/>
    <col min="11271" max="11271" width="12" style="250" customWidth="1"/>
    <col min="11272" max="11272" width="13.44140625" style="250" customWidth="1"/>
    <col min="11273" max="11520" width="8.77734375" style="250"/>
    <col min="11521" max="11521" width="11.44140625" style="250" customWidth="1"/>
    <col min="11522" max="11522" width="40.5546875" style="250" bestFit="1" customWidth="1"/>
    <col min="11523" max="11523" width="17.44140625" style="250" customWidth="1"/>
    <col min="11524" max="11524" width="11.44140625" style="250" customWidth="1"/>
    <col min="11525" max="11525" width="14.21875" style="250" customWidth="1"/>
    <col min="11526" max="11526" width="15.77734375" style="250" customWidth="1"/>
    <col min="11527" max="11527" width="12" style="250" customWidth="1"/>
    <col min="11528" max="11528" width="13.44140625" style="250" customWidth="1"/>
    <col min="11529" max="11776" width="8.77734375" style="250"/>
    <col min="11777" max="11777" width="11.44140625" style="250" customWidth="1"/>
    <col min="11778" max="11778" width="40.5546875" style="250" bestFit="1" customWidth="1"/>
    <col min="11779" max="11779" width="17.44140625" style="250" customWidth="1"/>
    <col min="11780" max="11780" width="11.44140625" style="250" customWidth="1"/>
    <col min="11781" max="11781" width="14.21875" style="250" customWidth="1"/>
    <col min="11782" max="11782" width="15.77734375" style="250" customWidth="1"/>
    <col min="11783" max="11783" width="12" style="250" customWidth="1"/>
    <col min="11784" max="11784" width="13.44140625" style="250" customWidth="1"/>
    <col min="11785" max="12032" width="8.77734375" style="250"/>
    <col min="12033" max="12033" width="11.44140625" style="250" customWidth="1"/>
    <col min="12034" max="12034" width="40.5546875" style="250" bestFit="1" customWidth="1"/>
    <col min="12035" max="12035" width="17.44140625" style="250" customWidth="1"/>
    <col min="12036" max="12036" width="11.44140625" style="250" customWidth="1"/>
    <col min="12037" max="12037" width="14.21875" style="250" customWidth="1"/>
    <col min="12038" max="12038" width="15.77734375" style="250" customWidth="1"/>
    <col min="12039" max="12039" width="12" style="250" customWidth="1"/>
    <col min="12040" max="12040" width="13.44140625" style="250" customWidth="1"/>
    <col min="12041" max="12288" width="8.77734375" style="250"/>
    <col min="12289" max="12289" width="11.44140625" style="250" customWidth="1"/>
    <col min="12290" max="12290" width="40.5546875" style="250" bestFit="1" customWidth="1"/>
    <col min="12291" max="12291" width="17.44140625" style="250" customWidth="1"/>
    <col min="12292" max="12292" width="11.44140625" style="250" customWidth="1"/>
    <col min="12293" max="12293" width="14.21875" style="250" customWidth="1"/>
    <col min="12294" max="12294" width="15.77734375" style="250" customWidth="1"/>
    <col min="12295" max="12295" width="12" style="250" customWidth="1"/>
    <col min="12296" max="12296" width="13.44140625" style="250" customWidth="1"/>
    <col min="12297" max="12544" width="8.77734375" style="250"/>
    <col min="12545" max="12545" width="11.44140625" style="250" customWidth="1"/>
    <col min="12546" max="12546" width="40.5546875" style="250" bestFit="1" customWidth="1"/>
    <col min="12547" max="12547" width="17.44140625" style="250" customWidth="1"/>
    <col min="12548" max="12548" width="11.44140625" style="250" customWidth="1"/>
    <col min="12549" max="12549" width="14.21875" style="250" customWidth="1"/>
    <col min="12550" max="12550" width="15.77734375" style="250" customWidth="1"/>
    <col min="12551" max="12551" width="12" style="250" customWidth="1"/>
    <col min="12552" max="12552" width="13.44140625" style="250" customWidth="1"/>
    <col min="12553" max="12800" width="8.77734375" style="250"/>
    <col min="12801" max="12801" width="11.44140625" style="250" customWidth="1"/>
    <col min="12802" max="12802" width="40.5546875" style="250" bestFit="1" customWidth="1"/>
    <col min="12803" max="12803" width="17.44140625" style="250" customWidth="1"/>
    <col min="12804" max="12804" width="11.44140625" style="250" customWidth="1"/>
    <col min="12805" max="12805" width="14.21875" style="250" customWidth="1"/>
    <col min="12806" max="12806" width="15.77734375" style="250" customWidth="1"/>
    <col min="12807" max="12807" width="12" style="250" customWidth="1"/>
    <col min="12808" max="12808" width="13.44140625" style="250" customWidth="1"/>
    <col min="12809" max="13056" width="8.77734375" style="250"/>
    <col min="13057" max="13057" width="11.44140625" style="250" customWidth="1"/>
    <col min="13058" max="13058" width="40.5546875" style="250" bestFit="1" customWidth="1"/>
    <col min="13059" max="13059" width="17.44140625" style="250" customWidth="1"/>
    <col min="13060" max="13060" width="11.44140625" style="250" customWidth="1"/>
    <col min="13061" max="13061" width="14.21875" style="250" customWidth="1"/>
    <col min="13062" max="13062" width="15.77734375" style="250" customWidth="1"/>
    <col min="13063" max="13063" width="12" style="250" customWidth="1"/>
    <col min="13064" max="13064" width="13.44140625" style="250" customWidth="1"/>
    <col min="13065" max="13312" width="8.77734375" style="250"/>
    <col min="13313" max="13313" width="11.44140625" style="250" customWidth="1"/>
    <col min="13314" max="13314" width="40.5546875" style="250" bestFit="1" customWidth="1"/>
    <col min="13315" max="13315" width="17.44140625" style="250" customWidth="1"/>
    <col min="13316" max="13316" width="11.44140625" style="250" customWidth="1"/>
    <col min="13317" max="13317" width="14.21875" style="250" customWidth="1"/>
    <col min="13318" max="13318" width="15.77734375" style="250" customWidth="1"/>
    <col min="13319" max="13319" width="12" style="250" customWidth="1"/>
    <col min="13320" max="13320" width="13.44140625" style="250" customWidth="1"/>
    <col min="13321" max="13568" width="8.77734375" style="250"/>
    <col min="13569" max="13569" width="11.44140625" style="250" customWidth="1"/>
    <col min="13570" max="13570" width="40.5546875" style="250" bestFit="1" customWidth="1"/>
    <col min="13571" max="13571" width="17.44140625" style="250" customWidth="1"/>
    <col min="13572" max="13572" width="11.44140625" style="250" customWidth="1"/>
    <col min="13573" max="13573" width="14.21875" style="250" customWidth="1"/>
    <col min="13574" max="13574" width="15.77734375" style="250" customWidth="1"/>
    <col min="13575" max="13575" width="12" style="250" customWidth="1"/>
    <col min="13576" max="13576" width="13.44140625" style="250" customWidth="1"/>
    <col min="13577" max="13824" width="8.77734375" style="250"/>
    <col min="13825" max="13825" width="11.44140625" style="250" customWidth="1"/>
    <col min="13826" max="13826" width="40.5546875" style="250" bestFit="1" customWidth="1"/>
    <col min="13827" max="13827" width="17.44140625" style="250" customWidth="1"/>
    <col min="13828" max="13828" width="11.44140625" style="250" customWidth="1"/>
    <col min="13829" max="13829" width="14.21875" style="250" customWidth="1"/>
    <col min="13830" max="13830" width="15.77734375" style="250" customWidth="1"/>
    <col min="13831" max="13831" width="12" style="250" customWidth="1"/>
    <col min="13832" max="13832" width="13.44140625" style="250" customWidth="1"/>
    <col min="13833" max="14080" width="8.77734375" style="250"/>
    <col min="14081" max="14081" width="11.44140625" style="250" customWidth="1"/>
    <col min="14082" max="14082" width="40.5546875" style="250" bestFit="1" customWidth="1"/>
    <col min="14083" max="14083" width="17.44140625" style="250" customWidth="1"/>
    <col min="14084" max="14084" width="11.44140625" style="250" customWidth="1"/>
    <col min="14085" max="14085" width="14.21875" style="250" customWidth="1"/>
    <col min="14086" max="14086" width="15.77734375" style="250" customWidth="1"/>
    <col min="14087" max="14087" width="12" style="250" customWidth="1"/>
    <col min="14088" max="14088" width="13.44140625" style="250" customWidth="1"/>
    <col min="14089" max="14336" width="8.77734375" style="250"/>
    <col min="14337" max="14337" width="11.44140625" style="250" customWidth="1"/>
    <col min="14338" max="14338" width="40.5546875" style="250" bestFit="1" customWidth="1"/>
    <col min="14339" max="14339" width="17.44140625" style="250" customWidth="1"/>
    <col min="14340" max="14340" width="11.44140625" style="250" customWidth="1"/>
    <col min="14341" max="14341" width="14.21875" style="250" customWidth="1"/>
    <col min="14342" max="14342" width="15.77734375" style="250" customWidth="1"/>
    <col min="14343" max="14343" width="12" style="250" customWidth="1"/>
    <col min="14344" max="14344" width="13.44140625" style="250" customWidth="1"/>
    <col min="14345" max="14592" width="8.77734375" style="250"/>
    <col min="14593" max="14593" width="11.44140625" style="250" customWidth="1"/>
    <col min="14594" max="14594" width="40.5546875" style="250" bestFit="1" customWidth="1"/>
    <col min="14595" max="14595" width="17.44140625" style="250" customWidth="1"/>
    <col min="14596" max="14596" width="11.44140625" style="250" customWidth="1"/>
    <col min="14597" max="14597" width="14.21875" style="250" customWidth="1"/>
    <col min="14598" max="14598" width="15.77734375" style="250" customWidth="1"/>
    <col min="14599" max="14599" width="12" style="250" customWidth="1"/>
    <col min="14600" max="14600" width="13.44140625" style="250" customWidth="1"/>
    <col min="14601" max="14848" width="8.77734375" style="250"/>
    <col min="14849" max="14849" width="11.44140625" style="250" customWidth="1"/>
    <col min="14850" max="14850" width="40.5546875" style="250" bestFit="1" customWidth="1"/>
    <col min="14851" max="14851" width="17.44140625" style="250" customWidth="1"/>
    <col min="14852" max="14852" width="11.44140625" style="250" customWidth="1"/>
    <col min="14853" max="14853" width="14.21875" style="250" customWidth="1"/>
    <col min="14854" max="14854" width="15.77734375" style="250" customWidth="1"/>
    <col min="14855" max="14855" width="12" style="250" customWidth="1"/>
    <col min="14856" max="14856" width="13.44140625" style="250" customWidth="1"/>
    <col min="14857" max="15104" width="8.77734375" style="250"/>
    <col min="15105" max="15105" width="11.44140625" style="250" customWidth="1"/>
    <col min="15106" max="15106" width="40.5546875" style="250" bestFit="1" customWidth="1"/>
    <col min="15107" max="15107" width="17.44140625" style="250" customWidth="1"/>
    <col min="15108" max="15108" width="11.44140625" style="250" customWidth="1"/>
    <col min="15109" max="15109" width="14.21875" style="250" customWidth="1"/>
    <col min="15110" max="15110" width="15.77734375" style="250" customWidth="1"/>
    <col min="15111" max="15111" width="12" style="250" customWidth="1"/>
    <col min="15112" max="15112" width="13.44140625" style="250" customWidth="1"/>
    <col min="15113" max="15360" width="8.77734375" style="250"/>
    <col min="15361" max="15361" width="11.44140625" style="250" customWidth="1"/>
    <col min="15362" max="15362" width="40.5546875" style="250" bestFit="1" customWidth="1"/>
    <col min="15363" max="15363" width="17.44140625" style="250" customWidth="1"/>
    <col min="15364" max="15364" width="11.44140625" style="250" customWidth="1"/>
    <col min="15365" max="15365" width="14.21875" style="250" customWidth="1"/>
    <col min="15366" max="15366" width="15.77734375" style="250" customWidth="1"/>
    <col min="15367" max="15367" width="12" style="250" customWidth="1"/>
    <col min="15368" max="15368" width="13.44140625" style="250" customWidth="1"/>
    <col min="15369" max="15616" width="8.77734375" style="250"/>
    <col min="15617" max="15617" width="11.44140625" style="250" customWidth="1"/>
    <col min="15618" max="15618" width="40.5546875" style="250" bestFit="1" customWidth="1"/>
    <col min="15619" max="15619" width="17.44140625" style="250" customWidth="1"/>
    <col min="15620" max="15620" width="11.44140625" style="250" customWidth="1"/>
    <col min="15621" max="15621" width="14.21875" style="250" customWidth="1"/>
    <col min="15622" max="15622" width="15.77734375" style="250" customWidth="1"/>
    <col min="15623" max="15623" width="12" style="250" customWidth="1"/>
    <col min="15624" max="15624" width="13.44140625" style="250" customWidth="1"/>
    <col min="15625" max="15872" width="8.77734375" style="250"/>
    <col min="15873" max="15873" width="11.44140625" style="250" customWidth="1"/>
    <col min="15874" max="15874" width="40.5546875" style="250" bestFit="1" customWidth="1"/>
    <col min="15875" max="15875" width="17.44140625" style="250" customWidth="1"/>
    <col min="15876" max="15876" width="11.44140625" style="250" customWidth="1"/>
    <col min="15877" max="15877" width="14.21875" style="250" customWidth="1"/>
    <col min="15878" max="15878" width="15.77734375" style="250" customWidth="1"/>
    <col min="15879" max="15879" width="12" style="250" customWidth="1"/>
    <col min="15880" max="15880" width="13.44140625" style="250" customWidth="1"/>
    <col min="15881" max="16128" width="8.77734375" style="250"/>
    <col min="16129" max="16129" width="11.44140625" style="250" customWidth="1"/>
    <col min="16130" max="16130" width="40.5546875" style="250" bestFit="1" customWidth="1"/>
    <col min="16131" max="16131" width="17.44140625" style="250" customWidth="1"/>
    <col min="16132" max="16132" width="11.44140625" style="250" customWidth="1"/>
    <col min="16133" max="16133" width="14.21875" style="250" customWidth="1"/>
    <col min="16134" max="16134" width="15.77734375" style="250" customWidth="1"/>
    <col min="16135" max="16135" width="12" style="250" customWidth="1"/>
    <col min="16136" max="16136" width="13.44140625" style="250" customWidth="1"/>
    <col min="16137" max="16384" width="8.77734375" style="250"/>
  </cols>
  <sheetData>
    <row r="1" spans="1:8" hidden="1" x14ac:dyDescent="0.3">
      <c r="B1" s="250" t="s">
        <v>389</v>
      </c>
    </row>
    <row r="2" spans="1:8" x14ac:dyDescent="0.3">
      <c r="B2" s="251" t="s">
        <v>390</v>
      </c>
      <c r="C2" s="252">
        <v>50</v>
      </c>
    </row>
    <row r="3" spans="1:8" ht="42" customHeight="1" x14ac:dyDescent="0.35">
      <c r="A3" s="448" t="s">
        <v>391</v>
      </c>
      <c r="B3" s="448"/>
      <c r="C3" s="448"/>
      <c r="D3" s="448"/>
      <c r="E3" s="253"/>
      <c r="F3" s="253"/>
      <c r="G3" s="253"/>
      <c r="H3" s="253"/>
    </row>
    <row r="4" spans="1:8" ht="15.6" x14ac:dyDescent="0.3">
      <c r="A4" s="449" t="s">
        <v>392</v>
      </c>
      <c r="B4" s="449"/>
      <c r="C4" s="449"/>
      <c r="D4" s="449"/>
      <c r="E4" s="254"/>
      <c r="F4" s="254"/>
      <c r="G4" s="254"/>
      <c r="H4" s="254"/>
    </row>
    <row r="6" spans="1:8" x14ac:dyDescent="0.3">
      <c r="B6" s="255" t="s">
        <v>393</v>
      </c>
      <c r="C6" s="256" t="s">
        <v>8</v>
      </c>
    </row>
    <row r="8" spans="1:8" x14ac:dyDescent="0.3">
      <c r="B8" s="257"/>
      <c r="C8" s="258" t="s">
        <v>394</v>
      </c>
    </row>
    <row r="9" spans="1:8" x14ac:dyDescent="0.3">
      <c r="B9" s="259" t="s">
        <v>395</v>
      </c>
      <c r="C9" s="260">
        <v>821649272</v>
      </c>
    </row>
    <row r="10" spans="1:8" x14ac:dyDescent="0.3">
      <c r="B10" s="259" t="s">
        <v>396</v>
      </c>
      <c r="C10" s="260">
        <v>0</v>
      </c>
    </row>
    <row r="11" spans="1:8" x14ac:dyDescent="0.3">
      <c r="B11" s="259" t="s">
        <v>397</v>
      </c>
      <c r="C11" s="260">
        <v>103698709</v>
      </c>
    </row>
    <row r="12" spans="1:8" x14ac:dyDescent="0.3">
      <c r="B12" s="259" t="s">
        <v>398</v>
      </c>
      <c r="C12" s="260">
        <v>0</v>
      </c>
    </row>
    <row r="13" spans="1:8" x14ac:dyDescent="0.3">
      <c r="B13" s="259" t="s">
        <v>399</v>
      </c>
      <c r="C13" s="260">
        <v>8496351</v>
      </c>
    </row>
    <row r="14" spans="1:8" x14ac:dyDescent="0.3">
      <c r="B14" s="259" t="s">
        <v>400</v>
      </c>
      <c r="C14" s="261">
        <v>14516518</v>
      </c>
      <c r="D14" s="262"/>
    </row>
    <row r="15" spans="1:8" ht="21.75" customHeight="1" x14ac:dyDescent="0.3">
      <c r="B15" s="263" t="s">
        <v>401</v>
      </c>
      <c r="C15" s="264">
        <f>SUM(C9:C14)</f>
        <v>948360850</v>
      </c>
    </row>
    <row r="16" spans="1:8" ht="21.75" customHeight="1" x14ac:dyDescent="0.3">
      <c r="B16" s="265" t="s">
        <v>402</v>
      </c>
      <c r="C16" s="316">
        <v>181379.8</v>
      </c>
    </row>
    <row r="17" spans="2:5" ht="21.75" customHeight="1" x14ac:dyDescent="0.3">
      <c r="B17" s="265" t="s">
        <v>403</v>
      </c>
      <c r="C17" s="266">
        <f>ROUND(C15/C16,2)</f>
        <v>5228.59</v>
      </c>
    </row>
    <row r="18" spans="2:5" ht="21.75" customHeight="1" x14ac:dyDescent="0.3">
      <c r="B18" s="265" t="s">
        <v>404</v>
      </c>
      <c r="C18" s="267">
        <f>IF(C17&gt;5230,0,5230-C17)</f>
        <v>1.4099999999998545</v>
      </c>
    </row>
    <row r="19" spans="2:5" ht="21.75" customHeight="1" thickBot="1" x14ac:dyDescent="0.35">
      <c r="B19" s="265" t="s">
        <v>405</v>
      </c>
      <c r="C19" s="268">
        <f>C17+C18</f>
        <v>5230</v>
      </c>
    </row>
    <row r="20" spans="2:5" ht="15" thickTop="1" x14ac:dyDescent="0.3"/>
    <row r="21" spans="2:5" x14ac:dyDescent="0.3">
      <c r="B21" s="265" t="s">
        <v>406</v>
      </c>
      <c r="C21" s="269">
        <f>C19</f>
        <v>5230</v>
      </c>
    </row>
    <row r="22" spans="2:5" x14ac:dyDescent="0.3">
      <c r="B22" s="270" t="s">
        <v>63</v>
      </c>
      <c r="C22" s="271">
        <v>76.05</v>
      </c>
    </row>
    <row r="23" spans="2:5" x14ac:dyDescent="0.3">
      <c r="B23" s="270" t="s">
        <v>407</v>
      </c>
      <c r="C23" s="269">
        <f>C19*C22</f>
        <v>397741.5</v>
      </c>
    </row>
    <row r="24" spans="2:5" x14ac:dyDescent="0.3">
      <c r="B24" s="270" t="s">
        <v>408</v>
      </c>
      <c r="C24" s="272">
        <v>0.7</v>
      </c>
      <c r="D24" s="250" t="s">
        <v>409</v>
      </c>
    </row>
    <row r="25" spans="2:5" x14ac:dyDescent="0.3">
      <c r="B25" s="270" t="s">
        <v>410</v>
      </c>
      <c r="C25" s="269">
        <f>C23*C24</f>
        <v>278419.05</v>
      </c>
    </row>
    <row r="26" spans="2:5" x14ac:dyDescent="0.3">
      <c r="B26" s="270" t="s">
        <v>411</v>
      </c>
      <c r="C26" s="273">
        <f>-(C25*0.05)</f>
        <v>-13920.952499999999</v>
      </c>
    </row>
    <row r="27" spans="2:5" x14ac:dyDescent="0.3">
      <c r="B27" s="270" t="s">
        <v>151</v>
      </c>
      <c r="C27" s="269">
        <f>C25+C26</f>
        <v>264498.09749999997</v>
      </c>
    </row>
    <row r="28" spans="2:5" x14ac:dyDescent="0.3">
      <c r="E28" s="269"/>
    </row>
    <row r="29" spans="2:5" x14ac:dyDescent="0.3">
      <c r="B29" s="270" t="s">
        <v>153</v>
      </c>
      <c r="C29" s="274">
        <v>-22042</v>
      </c>
      <c r="E29" s="269"/>
    </row>
    <row r="30" spans="2:5" x14ac:dyDescent="0.3">
      <c r="B30" s="275" t="s">
        <v>154</v>
      </c>
      <c r="C30" s="269">
        <f>C27+C29</f>
        <v>242456.09749999997</v>
      </c>
    </row>
    <row r="31" spans="2:5" x14ac:dyDescent="0.3">
      <c r="B31" s="275" t="s">
        <v>155</v>
      </c>
      <c r="C31" s="250">
        <v>11</v>
      </c>
    </row>
    <row r="32" spans="2:5" ht="15" thickBot="1" x14ac:dyDescent="0.35">
      <c r="B32" s="275" t="s">
        <v>156</v>
      </c>
      <c r="C32" s="249">
        <f>ROUND((C30/C31),0)</f>
        <v>22041</v>
      </c>
    </row>
    <row r="33" ht="15" thickTop="1" x14ac:dyDescent="0.3"/>
    <row r="76" spans="11:28" x14ac:dyDescent="0.3">
      <c r="AB76" s="250">
        <f>AB57</f>
        <v>0</v>
      </c>
    </row>
    <row r="77" spans="11:28" x14ac:dyDescent="0.3">
      <c r="K77" s="250">
        <f>K57</f>
        <v>0</v>
      </c>
    </row>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'4041'!B2</f>
        <v>50</v>
      </c>
      <c r="W2" s="380" t="s">
        <v>4</v>
      </c>
      <c r="X2" s="381"/>
      <c r="Y2" s="382"/>
      <c r="Z2" s="382"/>
      <c r="AA2" s="382"/>
      <c r="AB2" s="382"/>
      <c r="AC2" s="382"/>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'4041'!G7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IF('4041'!K$84=1,'4041'!G10,0)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IF('4041'!K$84=1,'4041'!G11,0)</f>
        <v>0</v>
      </c>
      <c r="Y11" s="392"/>
      <c r="Z11" s="403">
        <v>1</v>
      </c>
      <c r="AA11" s="403"/>
      <c r="AB11" s="57">
        <f t="shared" si="0"/>
        <v>0</v>
      </c>
      <c r="AC11" s="58">
        <f t="shared" si="1"/>
        <v>0</v>
      </c>
      <c r="AD11" s="9"/>
    </row>
    <row r="12" spans="1:30" x14ac:dyDescent="0.3">
      <c r="A12" s="1" t="s">
        <v>31</v>
      </c>
      <c r="B12" s="14" t="s">
        <v>32</v>
      </c>
      <c r="C12" s="14"/>
      <c r="D12" s="14">
        <v>8.99</v>
      </c>
      <c r="E12" s="14">
        <v>8.3000000000000007</v>
      </c>
      <c r="F12" s="14">
        <v>0</v>
      </c>
      <c r="G12" s="49">
        <f t="shared" si="2"/>
        <v>17.29</v>
      </c>
      <c r="H12" s="50"/>
      <c r="I12" s="59">
        <v>1</v>
      </c>
      <c r="J12" s="59"/>
      <c r="K12" s="52">
        <f t="shared" si="3"/>
        <v>17.29</v>
      </c>
      <c r="L12" s="53">
        <f t="shared" si="4"/>
        <v>71731</v>
      </c>
      <c r="N12" s="54">
        <v>5102</v>
      </c>
      <c r="O12" s="55">
        <v>102</v>
      </c>
      <c r="Q12" s="56"/>
      <c r="V12" s="402" t="s">
        <v>32</v>
      </c>
      <c r="W12" s="402"/>
      <c r="X12" s="392">
        <f>IF('4041'!K$84=1,'4041'!G12,0)</f>
        <v>0</v>
      </c>
      <c r="Y12" s="392"/>
      <c r="Z12" s="403">
        <v>1</v>
      </c>
      <c r="AA12" s="403"/>
      <c r="AB12" s="57">
        <f t="shared" si="0"/>
        <v>0</v>
      </c>
      <c r="AC12" s="58">
        <f t="shared" si="1"/>
        <v>0</v>
      </c>
      <c r="AD12" s="9"/>
    </row>
    <row r="13" spans="1:30" x14ac:dyDescent="0.3">
      <c r="A13" s="1" t="s">
        <v>33</v>
      </c>
      <c r="B13" s="14" t="s">
        <v>34</v>
      </c>
      <c r="C13" s="14"/>
      <c r="D13" s="14">
        <v>3</v>
      </c>
      <c r="E13" s="14">
        <v>3</v>
      </c>
      <c r="F13" s="14">
        <v>0</v>
      </c>
      <c r="G13" s="49">
        <f t="shared" si="2"/>
        <v>6</v>
      </c>
      <c r="H13" s="50"/>
      <c r="I13" s="59">
        <f>I12</f>
        <v>1</v>
      </c>
      <c r="J13" s="59"/>
      <c r="K13" s="52">
        <f t="shared" si="3"/>
        <v>6</v>
      </c>
      <c r="L13" s="53">
        <f t="shared" si="4"/>
        <v>24892</v>
      </c>
      <c r="M13" s="1" t="str">
        <f>IF(ROUND(G13,2)=ROUND(SUM(G31:G33),2)," ","CHECK 2. 4-8 Lines Below")</f>
        <v xml:space="preserve"> </v>
      </c>
      <c r="N13" s="54">
        <v>5102</v>
      </c>
      <c r="O13" s="60" t="s">
        <v>35</v>
      </c>
      <c r="Q13" s="56"/>
      <c r="V13" s="402" t="s">
        <v>34</v>
      </c>
      <c r="W13" s="402"/>
      <c r="X13" s="392">
        <f>IF('4041'!K$84=1,'4041'!G13,0)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IF('4041'!K$84=1,'4041'!G14,0)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IF('4041'!K$84=1,'4041'!G15,0)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IF('4041'!K$84=1,'4041'!G16,0)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IF('4041'!K$84=1,'4041'!G17,0)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IF('4041'!K$84=1,'4041'!G18,0)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IF('4041'!K$84=1,'4041'!G19,0)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IF('4041'!K$84=1,'4041'!G20,0)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IF('4041'!K$84=1,'4041'!G21,0)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IF('4041'!K$84=1,'4041'!G22,0)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IF('4041'!K$84=1,'4041'!G23,0)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IF('4041'!K$84=1,'4041'!G24,0)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IF('4041'!K$84=1,'4041'!G25,0)</f>
        <v>0</v>
      </c>
      <c r="Y25" s="392"/>
      <c r="Z25" s="403">
        <v>1</v>
      </c>
      <c r="AA25" s="403"/>
      <c r="AB25" s="57">
        <f t="shared" si="0"/>
        <v>0</v>
      </c>
      <c r="AC25" s="58">
        <f t="shared" si="1"/>
        <v>0</v>
      </c>
      <c r="AD25" s="9"/>
    </row>
    <row r="26" spans="1:30" ht="20.25" customHeight="1" thickBot="1" x14ac:dyDescent="0.35">
      <c r="B26" s="63" t="s">
        <v>61</v>
      </c>
      <c r="C26" s="63"/>
      <c r="D26" s="64">
        <f t="shared" ref="D26:E26" si="5">SUM(D10:D25)</f>
        <v>11.99</v>
      </c>
      <c r="E26" s="64">
        <f t="shared" si="5"/>
        <v>11.3</v>
      </c>
      <c r="F26" s="64"/>
      <c r="G26" s="64">
        <f>SUM(G10:G25)</f>
        <v>23.29</v>
      </c>
      <c r="H26" s="65"/>
      <c r="I26" s="65"/>
      <c r="J26" s="66"/>
      <c r="K26" s="67">
        <f>SUM(K10:K25)</f>
        <v>23.29</v>
      </c>
      <c r="L26" s="68">
        <f>SUM(L10:L25)</f>
        <v>96623</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3</v>
      </c>
      <c r="E31" s="14">
        <v>3</v>
      </c>
      <c r="F31" s="90">
        <v>0</v>
      </c>
      <c r="G31" s="49">
        <f t="shared" si="6"/>
        <v>6</v>
      </c>
      <c r="H31" s="80"/>
      <c r="I31" s="91" t="s">
        <v>73</v>
      </c>
      <c r="J31" s="54">
        <v>251</v>
      </c>
      <c r="K31" s="82">
        <v>1173</v>
      </c>
      <c r="L31" s="83">
        <f t="shared" si="8"/>
        <v>7038</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3</v>
      </c>
      <c r="E37" s="64">
        <f t="shared" si="10"/>
        <v>3</v>
      </c>
      <c r="F37" s="64"/>
      <c r="G37" s="64">
        <f>SUM(G28:G36)</f>
        <v>6</v>
      </c>
      <c r="H37" s="65"/>
      <c r="I37" s="14" t="s">
        <v>81</v>
      </c>
      <c r="J37" s="14"/>
      <c r="K37" s="14"/>
      <c r="L37" s="53">
        <f>SUM(L28:L36)</f>
        <v>7038</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4448</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108109</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23.29</v>
      </c>
      <c r="D48" s="123"/>
      <c r="E48" s="123"/>
      <c r="F48" s="123"/>
      <c r="G48" s="124">
        <f>K7</f>
        <v>1.0289999999999999</v>
      </c>
      <c r="H48" s="124"/>
      <c r="I48" s="125">
        <v>903.8</v>
      </c>
      <c r="J48" s="126" t="s">
        <v>96</v>
      </c>
      <c r="K48" s="127">
        <f>ROUND(C48*G48*I48,0)</f>
        <v>21660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23.29</v>
      </c>
      <c r="D50" s="146"/>
      <c r="E50" s="147"/>
      <c r="F50" s="147"/>
      <c r="G50" s="148" t="s">
        <v>98</v>
      </c>
      <c r="H50" s="148"/>
      <c r="I50" s="148"/>
      <c r="J50" s="148"/>
      <c r="K50" s="148"/>
      <c r="L50" s="53">
        <f>IF(B2=75,0,K49+K48+K47)</f>
        <v>21660</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23.29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1.18E-4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23.29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1.2799999999999999E-4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1.18E-4</v>
      </c>
      <c r="L59" s="53">
        <f>ROUND(I59*K59,0)</f>
        <v>499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1.18E-4</v>
      </c>
      <c r="L67" s="53">
        <f>ROUND(I67*K67,0)</f>
        <v>12236</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1.2799999999999999E-4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1.18E-4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1.18E-4</v>
      </c>
      <c r="L71" s="53">
        <f>ROUND(I71*K71,0)</f>
        <v>220</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1.2799999999999999E-4</v>
      </c>
      <c r="L72" s="53">
        <f>ROUND(I72*K72,0)</f>
        <v>1787</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1.2799999999999999E-4</v>
      </c>
      <c r="L77" s="53">
        <f>ROUND(I77*K77,0)</f>
        <v>220</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1.18E-4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144731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'4041'!AC81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144731</v>
      </c>
      <c r="L86" s="83">
        <f>IF(G26=0,0,IF(G26&gt;250,-(((250/G26)*K86)*IF(M86="H",0.02,0.05)),IF(M86="H",-0.02*K86,-0.05*K86)))</f>
        <v>-7236.55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137494.45000000001</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v>52320</v>
      </c>
      <c r="E89" s="14">
        <v>14211</v>
      </c>
      <c r="F89" s="14">
        <v>0</v>
      </c>
      <c r="G89" s="14"/>
      <c r="H89" s="14"/>
      <c r="I89" s="14"/>
      <c r="J89" s="14"/>
      <c r="K89" s="208"/>
      <c r="L89" s="83">
        <v>-11458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126036.45000000001</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11457.859090909093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382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383</v>
      </c>
      <c r="C123" s="221" t="s">
        <v>199</v>
      </c>
    </row>
    <row r="124" spans="2:3" hidden="1" x14ac:dyDescent="0.3">
      <c r="B124" s="225" t="s">
        <v>384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2.31481462833472E-5</v>
      </c>
      <c r="C135" s="227"/>
    </row>
    <row r="136" spans="1:5" hidden="1" x14ac:dyDescent="0.3">
      <c r="B136" s="228">
        <f>NvsEndTime</f>
        <v>41808.603148148097</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382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383</v>
      </c>
      <c r="C164" s="235" t="s">
        <v>244</v>
      </c>
      <c r="D164" s="231"/>
    </row>
    <row r="165" spans="1:4" hidden="1" x14ac:dyDescent="0.3">
      <c r="A165" s="230" t="s">
        <v>245</v>
      </c>
      <c r="B165" s="234" t="s">
        <v>384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2.31481462833472E-5</v>
      </c>
      <c r="D176" s="231"/>
    </row>
    <row r="177" spans="2:5" hidden="1" x14ac:dyDescent="0.3">
      <c r="B177" s="230" t="s">
        <v>260</v>
      </c>
      <c r="C177" s="238">
        <f>NvsEndTime</f>
        <v>41808.603148148097</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'0642'!B2</f>
        <v>50</v>
      </c>
      <c r="W2" s="380" t="s">
        <v>4</v>
      </c>
      <c r="X2" s="381"/>
      <c r="Y2" s="382"/>
      <c r="Z2" s="382"/>
      <c r="AA2" s="382"/>
      <c r="AB2" s="382"/>
      <c r="AC2" s="382"/>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'0642'!G7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22.82</v>
      </c>
      <c r="E10" s="48">
        <v>20.62</v>
      </c>
      <c r="F10" s="48">
        <v>0</v>
      </c>
      <c r="G10" s="49">
        <f>IF($B$154&lt;8,D10*2,D10+E10)</f>
        <v>43.44</v>
      </c>
      <c r="H10" s="50"/>
      <c r="I10" s="51">
        <v>1.1259999999999999</v>
      </c>
      <c r="J10" s="51"/>
      <c r="K10" s="52">
        <f>ROUND(G10*I10,4)</f>
        <v>48.913400000000003</v>
      </c>
      <c r="L10" s="53">
        <f>ROUND(ROUND(K10*$G$7,4)*($K$7),0)</f>
        <v>202927</v>
      </c>
      <c r="N10" s="54">
        <v>5101</v>
      </c>
      <c r="O10" s="55">
        <v>101</v>
      </c>
      <c r="Q10" s="56"/>
      <c r="V10" s="391" t="s">
        <v>27</v>
      </c>
      <c r="W10" s="391"/>
      <c r="X10" s="392">
        <f>IF('0642'!K$84=1,'0642'!G10,0)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2</v>
      </c>
      <c r="E11" s="14">
        <v>2</v>
      </c>
      <c r="F11" s="14">
        <v>0</v>
      </c>
      <c r="G11" s="49">
        <f t="shared" ref="G11:G25" si="2">IF($B$154&lt;8,D11*2,D11+E11)</f>
        <v>4</v>
      </c>
      <c r="H11" s="50"/>
      <c r="I11" s="59">
        <f>I10</f>
        <v>1.1259999999999999</v>
      </c>
      <c r="J11" s="59"/>
      <c r="K11" s="52">
        <f t="shared" ref="K11:K25" si="3">ROUND(G11*I11,4)</f>
        <v>4.5039999999999996</v>
      </c>
      <c r="L11" s="53">
        <f t="shared" ref="L11:L25" si="4">ROUND(ROUND(K11*$G$7,4)*($K$7),0)</f>
        <v>18686</v>
      </c>
      <c r="M11" s="1" t="str">
        <f>IF(ROUND(G11,2)=ROUND(SUM(G28:G30),2)," ","CHECK 2. PK-3 Lines Below")</f>
        <v xml:space="preserve"> </v>
      </c>
      <c r="N11" s="54">
        <v>5101</v>
      </c>
      <c r="O11" s="60" t="s">
        <v>30</v>
      </c>
      <c r="Q11" s="56"/>
      <c r="V11" s="402" t="s">
        <v>29</v>
      </c>
      <c r="W11" s="402"/>
      <c r="X11" s="392">
        <f>IF('0642'!K$84=1,'0642'!G11,0)</f>
        <v>0</v>
      </c>
      <c r="Y11" s="392"/>
      <c r="Z11" s="403">
        <v>1</v>
      </c>
      <c r="AA11" s="403"/>
      <c r="AB11" s="57">
        <f t="shared" si="0"/>
        <v>0</v>
      </c>
      <c r="AC11" s="58">
        <f t="shared" si="1"/>
        <v>0</v>
      </c>
      <c r="AD11" s="9"/>
    </row>
    <row r="12" spans="1:30" x14ac:dyDescent="0.3">
      <c r="A12" s="1" t="s">
        <v>31</v>
      </c>
      <c r="B12" s="14" t="s">
        <v>32</v>
      </c>
      <c r="C12" s="14"/>
      <c r="D12" s="14">
        <v>12.53</v>
      </c>
      <c r="E12" s="14">
        <v>12.39</v>
      </c>
      <c r="F12" s="14">
        <v>0</v>
      </c>
      <c r="G12" s="49">
        <f t="shared" si="2"/>
        <v>24.92</v>
      </c>
      <c r="H12" s="50"/>
      <c r="I12" s="59">
        <v>1</v>
      </c>
      <c r="J12" s="59"/>
      <c r="K12" s="52">
        <f t="shared" si="3"/>
        <v>24.92</v>
      </c>
      <c r="L12" s="53">
        <f t="shared" si="4"/>
        <v>103385</v>
      </c>
      <c r="N12" s="54">
        <v>5102</v>
      </c>
      <c r="O12" s="55">
        <v>102</v>
      </c>
      <c r="Q12" s="56"/>
      <c r="V12" s="402" t="s">
        <v>32</v>
      </c>
      <c r="W12" s="402"/>
      <c r="X12" s="392">
        <f>IF('0642'!K$84=1,'0642'!G12,0)</f>
        <v>0</v>
      </c>
      <c r="Y12" s="392"/>
      <c r="Z12" s="403">
        <v>1</v>
      </c>
      <c r="AA12" s="403"/>
      <c r="AB12" s="57">
        <f t="shared" si="0"/>
        <v>0</v>
      </c>
      <c r="AC12" s="58">
        <f t="shared" si="1"/>
        <v>0</v>
      </c>
      <c r="AD12" s="9"/>
    </row>
    <row r="13" spans="1:30" x14ac:dyDescent="0.3">
      <c r="A13" s="1" t="s">
        <v>33</v>
      </c>
      <c r="B13" s="14" t="s">
        <v>34</v>
      </c>
      <c r="C13" s="14"/>
      <c r="D13" s="14">
        <v>1</v>
      </c>
      <c r="E13" s="14">
        <v>1</v>
      </c>
      <c r="F13" s="14">
        <v>0</v>
      </c>
      <c r="G13" s="49">
        <f t="shared" si="2"/>
        <v>2</v>
      </c>
      <c r="H13" s="50"/>
      <c r="I13" s="59">
        <f>I12</f>
        <v>1</v>
      </c>
      <c r="J13" s="59"/>
      <c r="K13" s="52">
        <f t="shared" si="3"/>
        <v>2</v>
      </c>
      <c r="L13" s="53">
        <f t="shared" si="4"/>
        <v>8297</v>
      </c>
      <c r="M13" s="1" t="str">
        <f>IF(ROUND(G13,2)=ROUND(SUM(G31:G33),2)," ","CHECK 2. 4-8 Lines Below")</f>
        <v xml:space="preserve"> </v>
      </c>
      <c r="N13" s="54">
        <v>5102</v>
      </c>
      <c r="O13" s="60" t="s">
        <v>35</v>
      </c>
      <c r="Q13" s="56"/>
      <c r="V13" s="402" t="s">
        <v>34</v>
      </c>
      <c r="W13" s="402"/>
      <c r="X13" s="392">
        <f>IF('0642'!K$84=1,'0642'!G13,0)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IF('0642'!K$84=1,'0642'!G14,0)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IF('0642'!K$84=1,'0642'!G15,0)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IF('0642'!K$84=1,'0642'!G16,0)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IF('0642'!K$84=1,'0642'!G17,0)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IF('0642'!K$84=1,'0642'!G18,0)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IF('0642'!K$84=1,'0642'!G19,0)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IF('0642'!K$84=1,'0642'!G20,0)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IF('0642'!K$84=1,'0642'!G21,0)</f>
        <v>0</v>
      </c>
      <c r="Y21" s="392"/>
      <c r="Z21" s="403">
        <v>1</v>
      </c>
      <c r="AA21" s="403"/>
      <c r="AB21" s="57">
        <f t="shared" si="0"/>
        <v>0</v>
      </c>
      <c r="AC21" s="58">
        <f t="shared" si="1"/>
        <v>0</v>
      </c>
      <c r="AD21" s="9"/>
    </row>
    <row r="22" spans="1:30" ht="16.2" x14ac:dyDescent="0.35">
      <c r="A22" s="1" t="s">
        <v>53</v>
      </c>
      <c r="B22" s="14" t="s">
        <v>54</v>
      </c>
      <c r="C22" s="14"/>
      <c r="D22" s="14">
        <v>3</v>
      </c>
      <c r="E22" s="14">
        <v>3.36</v>
      </c>
      <c r="F22" s="14">
        <v>0</v>
      </c>
      <c r="G22" s="49">
        <f t="shared" si="2"/>
        <v>6.3599999999999994</v>
      </c>
      <c r="H22" s="50"/>
      <c r="I22" s="59">
        <v>1.147</v>
      </c>
      <c r="J22" s="59"/>
      <c r="K22" s="52">
        <f t="shared" si="3"/>
        <v>7.2949000000000002</v>
      </c>
      <c r="L22" s="53">
        <f t="shared" si="4"/>
        <v>30264</v>
      </c>
      <c r="N22" s="54">
        <v>5101</v>
      </c>
      <c r="O22" s="55">
        <v>130</v>
      </c>
      <c r="Q22" s="56"/>
      <c r="V22" s="402" t="s">
        <v>54</v>
      </c>
      <c r="W22" s="402"/>
      <c r="X22" s="392">
        <f>IF('0642'!K$84=1,'0642'!G22,0)</f>
        <v>0</v>
      </c>
      <c r="Y22" s="392"/>
      <c r="Z22" s="403">
        <v>1</v>
      </c>
      <c r="AA22" s="403"/>
      <c r="AB22" s="57">
        <f t="shared" si="0"/>
        <v>0</v>
      </c>
      <c r="AC22" s="58">
        <f t="shared" si="1"/>
        <v>0</v>
      </c>
      <c r="AD22" s="9"/>
    </row>
    <row r="23" spans="1:30" ht="16.2" x14ac:dyDescent="0.35">
      <c r="A23" s="1" t="s">
        <v>55</v>
      </c>
      <c r="B23" s="14" t="s">
        <v>56</v>
      </c>
      <c r="C23" s="14"/>
      <c r="D23" s="14">
        <v>0.44</v>
      </c>
      <c r="E23" s="14">
        <v>0.8</v>
      </c>
      <c r="F23" s="14">
        <v>0</v>
      </c>
      <c r="G23" s="49">
        <f t="shared" si="2"/>
        <v>1.24</v>
      </c>
      <c r="H23" s="50"/>
      <c r="I23" s="59">
        <f>I22</f>
        <v>1.147</v>
      </c>
      <c r="J23" s="59"/>
      <c r="K23" s="52">
        <f t="shared" si="3"/>
        <v>1.4222999999999999</v>
      </c>
      <c r="L23" s="53">
        <f t="shared" si="4"/>
        <v>5901</v>
      </c>
      <c r="N23" s="54">
        <v>5102</v>
      </c>
      <c r="O23" s="55">
        <v>130</v>
      </c>
      <c r="Q23" s="56"/>
      <c r="V23" s="402" t="s">
        <v>56</v>
      </c>
      <c r="W23" s="402"/>
      <c r="X23" s="392">
        <f>IF('0642'!K$84=1,'0642'!G23,0)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IF('0642'!K$84=1,'0642'!G24,0)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IF('0642'!K$84=1,'0642'!G25,0)</f>
        <v>0</v>
      </c>
      <c r="Y25" s="392"/>
      <c r="Z25" s="403">
        <v>1</v>
      </c>
      <c r="AA25" s="403"/>
      <c r="AB25" s="57">
        <f t="shared" si="0"/>
        <v>0</v>
      </c>
      <c r="AC25" s="58">
        <f t="shared" si="1"/>
        <v>0</v>
      </c>
      <c r="AD25" s="9"/>
    </row>
    <row r="26" spans="1:30" ht="20.25" customHeight="1" thickBot="1" x14ac:dyDescent="0.35">
      <c r="B26" s="63" t="s">
        <v>61</v>
      </c>
      <c r="C26" s="63"/>
      <c r="D26" s="64">
        <f t="shared" ref="D26:E26" si="5">SUM(D10:D25)</f>
        <v>41.79</v>
      </c>
      <c r="E26" s="64">
        <f t="shared" si="5"/>
        <v>40.17</v>
      </c>
      <c r="F26" s="64"/>
      <c r="G26" s="64">
        <f>SUM(G10:G25)</f>
        <v>81.96</v>
      </c>
      <c r="H26" s="65"/>
      <c r="I26" s="65"/>
      <c r="J26" s="66"/>
      <c r="K26" s="67">
        <f>SUM(K10:K25)</f>
        <v>89.054599999999994</v>
      </c>
      <c r="L26" s="68">
        <f>SUM(L10:L25)</f>
        <v>369460</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2</v>
      </c>
      <c r="E28" s="14">
        <v>2</v>
      </c>
      <c r="F28" s="79">
        <v>0</v>
      </c>
      <c r="G28" s="49">
        <f t="shared" ref="G28:G36" si="6">IF($B$154&lt;8,D28*2,D28+E28)</f>
        <v>4</v>
      </c>
      <c r="H28" s="80"/>
      <c r="I28" s="81" t="s">
        <v>69</v>
      </c>
      <c r="J28" s="54">
        <v>251</v>
      </c>
      <c r="K28" s="82">
        <v>1047</v>
      </c>
      <c r="L28" s="83">
        <f>ROUND(G28*K28,0)</f>
        <v>4188</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1</v>
      </c>
      <c r="E31" s="14">
        <v>1</v>
      </c>
      <c r="F31" s="90">
        <v>0</v>
      </c>
      <c r="G31" s="49">
        <f t="shared" si="6"/>
        <v>2</v>
      </c>
      <c r="H31" s="80"/>
      <c r="I31" s="91" t="s">
        <v>73</v>
      </c>
      <c r="J31" s="54">
        <v>251</v>
      </c>
      <c r="K31" s="82">
        <v>1173</v>
      </c>
      <c r="L31" s="83">
        <f t="shared" si="8"/>
        <v>2346</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3</v>
      </c>
      <c r="E37" s="64">
        <f t="shared" si="10"/>
        <v>3</v>
      </c>
      <c r="F37" s="64"/>
      <c r="G37" s="64">
        <f>SUM(G28:G36)</f>
        <v>6</v>
      </c>
      <c r="H37" s="65"/>
      <c r="I37" s="14" t="s">
        <v>81</v>
      </c>
      <c r="J37" s="14"/>
      <c r="K37" s="14"/>
      <c r="L37" s="53">
        <f>SUM(L28:L36)</f>
        <v>6534</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15654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391648</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60.712299999999999</v>
      </c>
      <c r="D47" s="123"/>
      <c r="E47" s="123"/>
      <c r="F47" s="123"/>
      <c r="G47" s="124">
        <f>K7</f>
        <v>1.0289999999999999</v>
      </c>
      <c r="H47" s="124"/>
      <c r="I47" s="125">
        <v>1325.01</v>
      </c>
      <c r="J47" s="126" t="s">
        <v>96</v>
      </c>
      <c r="K47" s="127">
        <f>ROUND(C47*G47*I47,0)</f>
        <v>82777</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28.342300000000002</v>
      </c>
      <c r="D48" s="123"/>
      <c r="E48" s="123"/>
      <c r="F48" s="123"/>
      <c r="G48" s="124">
        <f>K7</f>
        <v>1.0289999999999999</v>
      </c>
      <c r="H48" s="124"/>
      <c r="I48" s="125">
        <v>903.8</v>
      </c>
      <c r="J48" s="126" t="s">
        <v>96</v>
      </c>
      <c r="K48" s="127">
        <f>ROUND(C48*G48*I48,0)</f>
        <v>26359</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89.054599999999994</v>
      </c>
      <c r="D50" s="146"/>
      <c r="E50" s="147"/>
      <c r="F50" s="147"/>
      <c r="G50" s="148" t="s">
        <v>98</v>
      </c>
      <c r="H50" s="148"/>
      <c r="I50" s="148"/>
      <c r="J50" s="148"/>
      <c r="K50" s="148"/>
      <c r="L50" s="53">
        <f>IF(B2=75,0,K49+K48+K47)</f>
        <v>109136</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89.054599999999994</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4.4999999999999999E-4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81.96</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4.5199999999999998E-4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4.4999999999999999E-4</v>
      </c>
      <c r="L59" s="53">
        <f>ROUND(I59*K59,0)</f>
        <v>1904</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4.4999999999999999E-4</v>
      </c>
      <c r="L67" s="53">
        <f>ROUND(I67*K67,0)</f>
        <v>46664</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4.5199999999999998E-4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4.4999999999999999E-4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4.4999999999999999E-4</v>
      </c>
      <c r="L71" s="53">
        <f>ROUND(I71*K71,0)</f>
        <v>840</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4.5199999999999998E-4</v>
      </c>
      <c r="L72" s="53">
        <f>ROUND(I72*K72,0)</f>
        <v>6312</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28</v>
      </c>
      <c r="AA74" s="173" t="s">
        <v>130</v>
      </c>
      <c r="AB74" s="174">
        <f>+K75</f>
        <v>361</v>
      </c>
      <c r="AC74" s="58">
        <f>ROUND(AB74*Z74,0)</f>
        <v>10108</v>
      </c>
      <c r="AD74" s="9"/>
    </row>
    <row r="75" spans="1:30" ht="19.5" customHeight="1" x14ac:dyDescent="0.3">
      <c r="A75" s="1" t="s">
        <v>131</v>
      </c>
      <c r="B75" s="175" t="s">
        <v>128</v>
      </c>
      <c r="C75" s="176" t="s">
        <v>129</v>
      </c>
      <c r="D75" s="175">
        <v>31</v>
      </c>
      <c r="E75" s="175">
        <v>25</v>
      </c>
      <c r="F75" s="175">
        <v>0</v>
      </c>
      <c r="G75" s="177">
        <f>IF($B$154&lt;8,D75,E75)</f>
        <v>25</v>
      </c>
      <c r="H75" s="178"/>
      <c r="I75" s="179">
        <f>AVERAGE(G75,D75)</f>
        <v>28</v>
      </c>
      <c r="J75" s="180" t="s">
        <v>130</v>
      </c>
      <c r="K75" s="181">
        <v>361</v>
      </c>
      <c r="L75" s="53">
        <f>ROUND(K75*I75,0)</f>
        <v>10108</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4.5199999999999998E-4</v>
      </c>
      <c r="L77" s="53">
        <f>ROUND(I77*K77,0)</f>
        <v>776</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4.4999999999999999E-4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10108</v>
      </c>
      <c r="AD81" s="197"/>
    </row>
    <row r="82" spans="1:30" ht="22.5" customHeight="1" thickTop="1" thickBot="1" x14ac:dyDescent="0.35">
      <c r="B82" s="14" t="s">
        <v>140</v>
      </c>
      <c r="C82" s="14"/>
      <c r="D82" s="14"/>
      <c r="E82" s="14"/>
      <c r="F82" s="14"/>
      <c r="G82" s="14"/>
      <c r="H82" s="14"/>
      <c r="I82" s="14"/>
      <c r="J82" s="14"/>
      <c r="K82" s="14"/>
      <c r="L82" s="198">
        <f>SUM(L44:L81)</f>
        <v>567388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'0642'!AC81</f>
        <v>10108</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567388</v>
      </c>
      <c r="L86" s="83">
        <f>IF(G26=0,0,IF(G26&gt;250,-(((250/G26)*K86)*IF(M86="H",0.02,0.05)),IF(M86="H",-0.02*K86,-0.05*K86)))</f>
        <v>-28369.4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539018.6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-44918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494100.6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44918.236363636359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261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262</v>
      </c>
      <c r="C123" s="221" t="s">
        <v>199</v>
      </c>
    </row>
    <row r="124" spans="2:3" hidden="1" x14ac:dyDescent="0.3">
      <c r="B124" s="225" t="s">
        <v>263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41808.602303240703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261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262</v>
      </c>
      <c r="C164" s="235" t="s">
        <v>244</v>
      </c>
      <c r="D164" s="231"/>
    </row>
    <row r="165" spans="1:4" hidden="1" x14ac:dyDescent="0.3">
      <c r="A165" s="230" t="s">
        <v>245</v>
      </c>
      <c r="B165" s="234" t="s">
        <v>263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41808.602303240703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N2" s="3"/>
      <c r="O2" s="1"/>
      <c r="V2" s="8">
        <f>'4050'!B2</f>
        <v>50</v>
      </c>
      <c r="W2" s="380" t="s">
        <v>4</v>
      </c>
      <c r="X2" s="381"/>
      <c r="Y2" s="382"/>
      <c r="Z2" s="382"/>
      <c r="AA2" s="382"/>
      <c r="AB2" s="382"/>
      <c r="AC2" s="382"/>
      <c r="AD2" s="9"/>
    </row>
    <row r="3" spans="1:30" ht="20.399999999999999" x14ac:dyDescent="0.35">
      <c r="B3" s="10" t="s">
        <v>413</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'4050'!G7</f>
        <v>4031.77</v>
      </c>
      <c r="Y7" s="396"/>
      <c r="Z7" s="397" t="s">
        <v>12</v>
      </c>
      <c r="AA7" s="397"/>
      <c r="AB7" s="398">
        <f>+K7</f>
        <v>1.0289999999999999</v>
      </c>
      <c r="AC7" s="398"/>
      <c r="AD7" s="9"/>
    </row>
    <row r="8" spans="1:30" ht="51" customHeight="1" x14ac:dyDescent="0.3">
      <c r="B8" s="28" t="s">
        <v>13</v>
      </c>
      <c r="C8" s="28"/>
      <c r="D8" s="359" t="s">
        <v>514</v>
      </c>
      <c r="E8" s="30"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178</v>
      </c>
      <c r="E10" s="48"/>
      <c r="F10" s="48"/>
      <c r="G10" s="49">
        <f>IF(E10=0,D10*2,D10+E10)</f>
        <v>356</v>
      </c>
      <c r="H10" s="50"/>
      <c r="I10" s="51">
        <v>1.1259999999999999</v>
      </c>
      <c r="J10" s="51"/>
      <c r="K10" s="52">
        <f>ROUND(G10*I10,4)</f>
        <v>400.85599999999999</v>
      </c>
      <c r="L10" s="53">
        <f>ROUND(ROUND(K10*$G$7,4)*($K$7),0)</f>
        <v>1663028</v>
      </c>
      <c r="N10" s="54">
        <v>5101</v>
      </c>
      <c r="O10" s="55">
        <v>101</v>
      </c>
      <c r="Q10" s="56"/>
      <c r="V10" s="391" t="s">
        <v>27</v>
      </c>
      <c r="W10" s="391"/>
      <c r="X10" s="392">
        <f>IF('4050'!K$84=1,'4050'!G10,0)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IF('4050'!K$84=1,'4050'!G11,0)</f>
        <v>0</v>
      </c>
      <c r="Y11" s="392"/>
      <c r="Z11" s="403">
        <v>1</v>
      </c>
      <c r="AA11" s="403"/>
      <c r="AB11" s="57">
        <f t="shared" si="0"/>
        <v>0</v>
      </c>
      <c r="AC11" s="58">
        <f t="shared" si="1"/>
        <v>0</v>
      </c>
      <c r="AD11" s="9"/>
    </row>
    <row r="12" spans="1:30" x14ac:dyDescent="0.3">
      <c r="A12" s="1" t="s">
        <v>31</v>
      </c>
      <c r="B12" s="14" t="s">
        <v>32</v>
      </c>
      <c r="C12" s="14"/>
      <c r="D12" s="14">
        <v>99</v>
      </c>
      <c r="E12" s="14"/>
      <c r="F12" s="14"/>
      <c r="G12" s="49">
        <f t="shared" si="2"/>
        <v>198</v>
      </c>
      <c r="H12" s="50"/>
      <c r="I12" s="59">
        <v>1</v>
      </c>
      <c r="J12" s="59"/>
      <c r="K12" s="52">
        <f t="shared" si="3"/>
        <v>198</v>
      </c>
      <c r="L12" s="53">
        <f t="shared" si="4"/>
        <v>821441</v>
      </c>
      <c r="N12" s="54">
        <v>5102</v>
      </c>
      <c r="O12" s="55">
        <v>102</v>
      </c>
      <c r="Q12" s="56"/>
      <c r="V12" s="402" t="s">
        <v>32</v>
      </c>
      <c r="W12" s="402"/>
      <c r="X12" s="392">
        <f>IF('4050'!K$84=1,'4050'!G12,0)</f>
        <v>0</v>
      </c>
      <c r="Y12" s="392"/>
      <c r="Z12" s="403">
        <v>1</v>
      </c>
      <c r="AA12" s="403"/>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IF('4050'!K$84=1,'4050'!G13,0)</f>
        <v>0</v>
      </c>
      <c r="Y13" s="392"/>
      <c r="Z13" s="403">
        <v>1</v>
      </c>
      <c r="AA13" s="403"/>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402" t="s">
        <v>37</v>
      </c>
      <c r="W14" s="402"/>
      <c r="X14" s="392">
        <f>IF('4050'!K$84=1,'4050'!G14,0)</f>
        <v>0</v>
      </c>
      <c r="Y14" s="392"/>
      <c r="Z14" s="403">
        <v>1</v>
      </c>
      <c r="AA14" s="403"/>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IF('4050'!K$84=1,'4050'!G15,0)</f>
        <v>0</v>
      </c>
      <c r="Y15" s="392"/>
      <c r="Z15" s="403">
        <v>1</v>
      </c>
      <c r="AA15" s="403"/>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402" t="s">
        <v>42</v>
      </c>
      <c r="W16" s="402"/>
      <c r="X16" s="392">
        <f>IF('4050'!K$84=1,'4050'!G16,0)</f>
        <v>0</v>
      </c>
      <c r="Y16" s="392"/>
      <c r="Z16" s="403">
        <v>1</v>
      </c>
      <c r="AA16" s="403"/>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402" t="s">
        <v>44</v>
      </c>
      <c r="W17" s="402"/>
      <c r="X17" s="392">
        <f>IF('4050'!K$84=1,'4050'!G17,0)</f>
        <v>0</v>
      </c>
      <c r="Y17" s="392"/>
      <c r="Z17" s="403">
        <v>1</v>
      </c>
      <c r="AA17" s="403"/>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402" t="s">
        <v>46</v>
      </c>
      <c r="W18" s="402"/>
      <c r="X18" s="392">
        <f>IF('4050'!K$84=1,'4050'!G18,0)</f>
        <v>0</v>
      </c>
      <c r="Y18" s="392"/>
      <c r="Z18" s="403">
        <v>1</v>
      </c>
      <c r="AA18" s="403"/>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402" t="s">
        <v>48</v>
      </c>
      <c r="W19" s="402"/>
      <c r="X19" s="392">
        <f>IF('4050'!K$84=1,'4050'!G19,0)</f>
        <v>0</v>
      </c>
      <c r="Y19" s="392"/>
      <c r="Z19" s="403">
        <v>1</v>
      </c>
      <c r="AA19" s="403"/>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402" t="s">
        <v>50</v>
      </c>
      <c r="W20" s="402"/>
      <c r="X20" s="392">
        <f>IF('4050'!K$84=1,'4050'!G20,0)</f>
        <v>0</v>
      </c>
      <c r="Y20" s="392"/>
      <c r="Z20" s="403">
        <v>1</v>
      </c>
      <c r="AA20" s="403"/>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402" t="s">
        <v>52</v>
      </c>
      <c r="W21" s="402"/>
      <c r="X21" s="392">
        <f>IF('4050'!K$84=1,'4050'!G21,0)</f>
        <v>0</v>
      </c>
      <c r="Y21" s="392"/>
      <c r="Z21" s="403">
        <v>1</v>
      </c>
      <c r="AA21" s="403"/>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402" t="s">
        <v>54</v>
      </c>
      <c r="W22" s="402"/>
      <c r="X22" s="392">
        <f>IF('4050'!K$84=1,'4050'!G22,0)</f>
        <v>0</v>
      </c>
      <c r="Y22" s="392"/>
      <c r="Z22" s="403">
        <v>1</v>
      </c>
      <c r="AA22" s="403"/>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402" t="s">
        <v>56</v>
      </c>
      <c r="W23" s="402"/>
      <c r="X23" s="392">
        <f>IF('4050'!K$84=1,'4050'!G23,0)</f>
        <v>0</v>
      </c>
      <c r="Y23" s="392"/>
      <c r="Z23" s="403">
        <v>1</v>
      </c>
      <c r="AA23" s="403"/>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402" t="s">
        <v>58</v>
      </c>
      <c r="W24" s="402"/>
      <c r="X24" s="392">
        <f>IF('4050'!K$84=1,'4050'!G24,0)</f>
        <v>0</v>
      </c>
      <c r="Y24" s="392"/>
      <c r="Z24" s="403">
        <v>1</v>
      </c>
      <c r="AA24" s="403"/>
      <c r="AB24" s="57">
        <f t="shared" si="0"/>
        <v>0</v>
      </c>
      <c r="AC24" s="58">
        <f t="shared" si="1"/>
        <v>0</v>
      </c>
      <c r="AD24" s="9"/>
    </row>
    <row r="25" spans="1:30" ht="16.8" thickBot="1" x14ac:dyDescent="0.4">
      <c r="A25" s="1" t="s">
        <v>59</v>
      </c>
      <c r="B25" s="14" t="s">
        <v>60</v>
      </c>
      <c r="C25" s="14"/>
      <c r="D25" s="14">
        <v>0</v>
      </c>
      <c r="E25" s="14"/>
      <c r="F25" s="14"/>
      <c r="G25" s="248">
        <f t="shared" si="2"/>
        <v>0</v>
      </c>
      <c r="H25" s="50"/>
      <c r="I25" s="59">
        <v>1.004</v>
      </c>
      <c r="J25" s="59"/>
      <c r="K25" s="52">
        <f t="shared" si="3"/>
        <v>0</v>
      </c>
      <c r="L25" s="53">
        <f t="shared" si="4"/>
        <v>0</v>
      </c>
      <c r="N25" s="54">
        <v>5310</v>
      </c>
      <c r="O25" s="55">
        <v>300</v>
      </c>
      <c r="Q25" s="56"/>
      <c r="V25" s="402" t="s">
        <v>60</v>
      </c>
      <c r="W25" s="402"/>
      <c r="X25" s="392">
        <f>IF('4050'!K$84=1,'4050'!G25,0)</f>
        <v>0</v>
      </c>
      <c r="Y25" s="392"/>
      <c r="Z25" s="403">
        <v>1</v>
      </c>
      <c r="AA25" s="403"/>
      <c r="AB25" s="57">
        <f t="shared" si="0"/>
        <v>0</v>
      </c>
      <c r="AC25" s="58">
        <f t="shared" si="1"/>
        <v>0</v>
      </c>
      <c r="AD25" s="9"/>
    </row>
    <row r="26" spans="1:30" ht="20.25" customHeight="1" thickBot="1" x14ac:dyDescent="0.35">
      <c r="B26" s="63" t="s">
        <v>61</v>
      </c>
      <c r="C26" s="63"/>
      <c r="D26" s="64">
        <f t="shared" ref="D26:E26" si="5">SUM(D10:D25)</f>
        <v>277</v>
      </c>
      <c r="E26" s="64">
        <f t="shared" si="5"/>
        <v>0</v>
      </c>
      <c r="F26" s="64"/>
      <c r="G26" s="64">
        <f>SUM(G10:G25)</f>
        <v>554</v>
      </c>
      <c r="H26" s="65"/>
      <c r="I26" s="65"/>
      <c r="J26" s="66"/>
      <c r="K26" s="67">
        <f>SUM(K10:K25)</f>
        <v>598.85599999999999</v>
      </c>
      <c r="L26" s="68">
        <f>SUM(L10:L25)</f>
        <v>2484469</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371" t="s">
        <v>514</v>
      </c>
      <c r="E27" s="371"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c r="F28" s="79"/>
      <c r="G28" s="49">
        <f>IF(E28=0,D28*2,D28+E28)</f>
        <v>0</v>
      </c>
      <c r="H28" s="80"/>
      <c r="I28" s="81" t="s">
        <v>69</v>
      </c>
      <c r="J28" s="54">
        <v>251</v>
      </c>
      <c r="K28" s="82">
        <v>1047</v>
      </c>
      <c r="L28" s="83">
        <f>ROUND(G28*K28,0)</f>
        <v>0</v>
      </c>
      <c r="N28" s="13">
        <v>5101</v>
      </c>
      <c r="O28" s="56">
        <v>251</v>
      </c>
      <c r="P28" s="84"/>
      <c r="Q28" s="85"/>
      <c r="V28" s="416" t="s">
        <v>68</v>
      </c>
      <c r="W28" s="416"/>
      <c r="X28" s="417"/>
      <c r="Y28" s="417"/>
      <c r="Z28" s="86" t="s">
        <v>69</v>
      </c>
      <c r="AA28" s="87">
        <v>251</v>
      </c>
      <c r="AB28" s="88">
        <f>+K28</f>
        <v>1047</v>
      </c>
      <c r="AC28" s="89">
        <f t="shared" ref="AC28:AC36" si="6">ROUND(X28*AB28,0)</f>
        <v>0</v>
      </c>
      <c r="AD28" s="9"/>
    </row>
    <row r="29" spans="1:30" x14ac:dyDescent="0.3">
      <c r="A29" s="1" t="s">
        <v>70</v>
      </c>
      <c r="B29" s="412"/>
      <c r="C29" s="413"/>
      <c r="D29" s="14">
        <v>0</v>
      </c>
      <c r="E29" s="14"/>
      <c r="F29" s="90"/>
      <c r="G29" s="49">
        <f t="shared" ref="G29:G36" si="7">IF(E29=0,D29*2,D29+E29)</f>
        <v>0</v>
      </c>
      <c r="H29" s="80"/>
      <c r="I29" s="54" t="s">
        <v>69</v>
      </c>
      <c r="J29" s="54">
        <v>252</v>
      </c>
      <c r="K29" s="82">
        <v>3380</v>
      </c>
      <c r="L29" s="83">
        <f t="shared" ref="L29:L36" si="8">ROUND(G29*K29,0)</f>
        <v>0</v>
      </c>
      <c r="N29" s="13">
        <v>5101</v>
      </c>
      <c r="O29" s="56">
        <v>252</v>
      </c>
      <c r="P29" s="84"/>
      <c r="Q29" s="85"/>
      <c r="V29" s="416"/>
      <c r="W29" s="416"/>
      <c r="X29" s="417"/>
      <c r="Y29" s="417"/>
      <c r="Z29" s="87" t="s">
        <v>69</v>
      </c>
      <c r="AA29" s="87">
        <v>252</v>
      </c>
      <c r="AB29" s="88">
        <f t="shared" ref="AB29:AB36" si="9">+K29</f>
        <v>3380</v>
      </c>
      <c r="AC29" s="89">
        <f t="shared" si="6"/>
        <v>0</v>
      </c>
      <c r="AD29" s="9"/>
    </row>
    <row r="30" spans="1:30" x14ac:dyDescent="0.3">
      <c r="A30" s="1" t="s">
        <v>71</v>
      </c>
      <c r="B30" s="412"/>
      <c r="C30" s="413"/>
      <c r="D30" s="14">
        <v>0</v>
      </c>
      <c r="E30" s="14"/>
      <c r="F30" s="90"/>
      <c r="G30" s="49">
        <f t="shared" si="7"/>
        <v>0</v>
      </c>
      <c r="H30" s="80"/>
      <c r="I30" s="54" t="s">
        <v>69</v>
      </c>
      <c r="J30" s="54">
        <v>253</v>
      </c>
      <c r="K30" s="82">
        <v>6896</v>
      </c>
      <c r="L30" s="83">
        <f t="shared" si="8"/>
        <v>0</v>
      </c>
      <c r="N30" s="13">
        <v>5101</v>
      </c>
      <c r="O30" s="56">
        <v>253</v>
      </c>
      <c r="P30" s="84"/>
      <c r="Q30" s="69"/>
      <c r="V30" s="416"/>
      <c r="W30" s="416"/>
      <c r="X30" s="417"/>
      <c r="Y30" s="417"/>
      <c r="Z30" s="87" t="s">
        <v>69</v>
      </c>
      <c r="AA30" s="87">
        <v>253</v>
      </c>
      <c r="AB30" s="88">
        <f t="shared" si="9"/>
        <v>6896</v>
      </c>
      <c r="AC30" s="89">
        <f t="shared" si="6"/>
        <v>0</v>
      </c>
      <c r="AD30" s="9"/>
    </row>
    <row r="31" spans="1:30" x14ac:dyDescent="0.3">
      <c r="A31" s="1" t="s">
        <v>72</v>
      </c>
      <c r="B31" s="412"/>
      <c r="C31" s="413"/>
      <c r="D31" s="14">
        <v>0</v>
      </c>
      <c r="E31" s="14"/>
      <c r="F31" s="90"/>
      <c r="G31" s="49">
        <f t="shared" si="7"/>
        <v>0</v>
      </c>
      <c r="H31" s="80"/>
      <c r="I31" s="91" t="s">
        <v>73</v>
      </c>
      <c r="J31" s="54">
        <v>251</v>
      </c>
      <c r="K31" s="82">
        <v>1173</v>
      </c>
      <c r="L31" s="83">
        <f t="shared" si="8"/>
        <v>0</v>
      </c>
      <c r="N31" s="13">
        <v>5102</v>
      </c>
      <c r="O31" s="56">
        <v>251</v>
      </c>
      <c r="P31" s="84"/>
      <c r="Q31" s="69"/>
      <c r="V31" s="416"/>
      <c r="W31" s="416"/>
      <c r="X31" s="417"/>
      <c r="Y31" s="417"/>
      <c r="Z31" s="92" t="s">
        <v>73</v>
      </c>
      <c r="AA31" s="87">
        <v>251</v>
      </c>
      <c r="AB31" s="88">
        <f t="shared" si="9"/>
        <v>1173</v>
      </c>
      <c r="AC31" s="89">
        <f t="shared" si="6"/>
        <v>0</v>
      </c>
      <c r="AD31" s="9"/>
    </row>
    <row r="32" spans="1:30" x14ac:dyDescent="0.3">
      <c r="A32" s="1" t="s">
        <v>74</v>
      </c>
      <c r="B32" s="412"/>
      <c r="C32" s="413"/>
      <c r="D32" s="14">
        <v>0</v>
      </c>
      <c r="E32" s="14"/>
      <c r="F32" s="90"/>
      <c r="G32" s="49">
        <f t="shared" si="7"/>
        <v>0</v>
      </c>
      <c r="H32" s="80"/>
      <c r="I32" s="91" t="s">
        <v>73</v>
      </c>
      <c r="J32" s="54">
        <v>252</v>
      </c>
      <c r="K32" s="82">
        <v>3506</v>
      </c>
      <c r="L32" s="83">
        <f t="shared" si="8"/>
        <v>0</v>
      </c>
      <c r="N32" s="13">
        <v>5102</v>
      </c>
      <c r="O32" s="56">
        <v>252</v>
      </c>
      <c r="P32" s="84"/>
      <c r="Q32" s="56"/>
      <c r="V32" s="416"/>
      <c r="W32" s="416"/>
      <c r="X32" s="417"/>
      <c r="Y32" s="417"/>
      <c r="Z32" s="92" t="s">
        <v>73</v>
      </c>
      <c r="AA32" s="87">
        <v>252</v>
      </c>
      <c r="AB32" s="88">
        <f t="shared" si="9"/>
        <v>3506</v>
      </c>
      <c r="AC32" s="89">
        <f t="shared" si="6"/>
        <v>0</v>
      </c>
      <c r="AD32" s="9"/>
    </row>
    <row r="33" spans="1:30" x14ac:dyDescent="0.3">
      <c r="A33" s="1" t="s">
        <v>75</v>
      </c>
      <c r="B33" s="412"/>
      <c r="C33" s="413"/>
      <c r="D33" s="14">
        <v>0</v>
      </c>
      <c r="E33" s="14"/>
      <c r="F33" s="90"/>
      <c r="G33" s="49">
        <f t="shared" si="7"/>
        <v>0</v>
      </c>
      <c r="H33" s="80"/>
      <c r="I33" s="91" t="s">
        <v>73</v>
      </c>
      <c r="J33" s="54">
        <v>253</v>
      </c>
      <c r="K33" s="82">
        <v>7023</v>
      </c>
      <c r="L33" s="83">
        <f t="shared" si="8"/>
        <v>0</v>
      </c>
      <c r="N33" s="13">
        <v>5102</v>
      </c>
      <c r="O33" s="56">
        <v>253</v>
      </c>
      <c r="P33" s="84"/>
      <c r="Q33" s="85"/>
      <c r="V33" s="416"/>
      <c r="W33" s="416"/>
      <c r="X33" s="417"/>
      <c r="Y33" s="417"/>
      <c r="Z33" s="92" t="s">
        <v>73</v>
      </c>
      <c r="AA33" s="87">
        <v>253</v>
      </c>
      <c r="AB33" s="88">
        <f t="shared" si="9"/>
        <v>7023</v>
      </c>
      <c r="AC33" s="89">
        <f t="shared" si="6"/>
        <v>0</v>
      </c>
      <c r="AD33" s="9"/>
    </row>
    <row r="34" spans="1:30" x14ac:dyDescent="0.3">
      <c r="A34" s="1" t="s">
        <v>76</v>
      </c>
      <c r="B34" s="412"/>
      <c r="C34" s="413"/>
      <c r="D34" s="14">
        <v>0</v>
      </c>
      <c r="E34" s="14"/>
      <c r="F34" s="90"/>
      <c r="G34" s="49">
        <f t="shared" si="7"/>
        <v>0</v>
      </c>
      <c r="H34" s="80"/>
      <c r="I34" s="91" t="s">
        <v>77</v>
      </c>
      <c r="J34" s="54">
        <v>251</v>
      </c>
      <c r="K34" s="82">
        <v>835</v>
      </c>
      <c r="L34" s="83">
        <f t="shared" si="8"/>
        <v>0</v>
      </c>
      <c r="N34" s="13">
        <v>5103</v>
      </c>
      <c r="O34" s="56">
        <v>251</v>
      </c>
      <c r="P34" s="84"/>
      <c r="Q34" s="85"/>
      <c r="V34" s="416"/>
      <c r="W34" s="416"/>
      <c r="X34" s="417"/>
      <c r="Y34" s="417"/>
      <c r="Z34" s="92" t="s">
        <v>77</v>
      </c>
      <c r="AA34" s="87">
        <v>251</v>
      </c>
      <c r="AB34" s="88">
        <f t="shared" si="9"/>
        <v>835</v>
      </c>
      <c r="AC34" s="89">
        <f t="shared" si="6"/>
        <v>0</v>
      </c>
      <c r="AD34" s="9"/>
    </row>
    <row r="35" spans="1:30" x14ac:dyDescent="0.3">
      <c r="A35" s="1" t="s">
        <v>78</v>
      </c>
      <c r="B35" s="412"/>
      <c r="C35" s="413"/>
      <c r="D35" s="14">
        <v>0</v>
      </c>
      <c r="E35" s="14"/>
      <c r="F35" s="90"/>
      <c r="G35" s="49">
        <f t="shared" si="7"/>
        <v>0</v>
      </c>
      <c r="H35" s="80"/>
      <c r="I35" s="91" t="s">
        <v>77</v>
      </c>
      <c r="J35" s="54">
        <v>252</v>
      </c>
      <c r="K35" s="82">
        <v>3168</v>
      </c>
      <c r="L35" s="83">
        <f t="shared" si="8"/>
        <v>0</v>
      </c>
      <c r="N35" s="13">
        <v>5103</v>
      </c>
      <c r="O35" s="56">
        <v>252</v>
      </c>
      <c r="P35" s="84"/>
      <c r="Q35" s="93"/>
      <c r="V35" s="416"/>
      <c r="W35" s="416"/>
      <c r="X35" s="417"/>
      <c r="Y35" s="417"/>
      <c r="Z35" s="92" t="s">
        <v>77</v>
      </c>
      <c r="AA35" s="87">
        <v>252</v>
      </c>
      <c r="AB35" s="88">
        <f t="shared" si="9"/>
        <v>3168</v>
      </c>
      <c r="AC35" s="89">
        <f t="shared" si="6"/>
        <v>0</v>
      </c>
      <c r="AD35" s="9"/>
    </row>
    <row r="36" spans="1:30" ht="16.2" thickBot="1" x14ac:dyDescent="0.35">
      <c r="A36" s="1" t="s">
        <v>79</v>
      </c>
      <c r="B36" s="414"/>
      <c r="C36" s="415"/>
      <c r="D36" s="14">
        <v>0</v>
      </c>
      <c r="E36" s="14"/>
      <c r="F36" s="90"/>
      <c r="G36" s="49">
        <f t="shared" si="7"/>
        <v>0</v>
      </c>
      <c r="H36" s="80"/>
      <c r="I36" s="91" t="s">
        <v>77</v>
      </c>
      <c r="J36" s="54">
        <v>253</v>
      </c>
      <c r="K36" s="82">
        <v>6685</v>
      </c>
      <c r="L36" s="94">
        <f t="shared" si="8"/>
        <v>0</v>
      </c>
      <c r="N36" s="13">
        <v>5103</v>
      </c>
      <c r="O36" s="56">
        <v>253</v>
      </c>
      <c r="P36" s="84"/>
      <c r="Q36" s="95"/>
      <c r="V36" s="416"/>
      <c r="W36" s="416"/>
      <c r="X36" s="424"/>
      <c r="Y36" s="424"/>
      <c r="Z36" s="92" t="s">
        <v>77</v>
      </c>
      <c r="AA36" s="8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105814</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2590283</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1" t="s">
        <v>91</v>
      </c>
      <c r="X46" s="434" t="s">
        <v>94</v>
      </c>
      <c r="Y46" s="434"/>
      <c r="Z46" s="435" t="s">
        <v>93</v>
      </c>
      <c r="AA46" s="435"/>
      <c r="AB46" s="435"/>
      <c r="AC46" s="435"/>
      <c r="AD46" s="122"/>
    </row>
    <row r="47" spans="1:30" ht="18.75" customHeight="1" x14ac:dyDescent="0.3">
      <c r="B47" s="104" t="s">
        <v>95</v>
      </c>
      <c r="C47" s="123">
        <f>K10+K11+K16+K19+K22</f>
        <v>400.85599999999999</v>
      </c>
      <c r="D47" s="123"/>
      <c r="E47" s="123"/>
      <c r="F47" s="123"/>
      <c r="G47" s="124">
        <f>K7</f>
        <v>1.0289999999999999</v>
      </c>
      <c r="H47" s="124"/>
      <c r="I47" s="125">
        <v>1325.01</v>
      </c>
      <c r="J47" s="126" t="s">
        <v>96</v>
      </c>
      <c r="K47" s="127">
        <f>ROUND(C47*G47*I47,0)</f>
        <v>546541</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198</v>
      </c>
      <c r="D48" s="123"/>
      <c r="E48" s="123"/>
      <c r="F48" s="123"/>
      <c r="G48" s="124">
        <f>K7</f>
        <v>1.0289999999999999</v>
      </c>
      <c r="H48" s="124"/>
      <c r="I48" s="125">
        <v>903.8</v>
      </c>
      <c r="J48" s="126" t="s">
        <v>96</v>
      </c>
      <c r="K48" s="127">
        <f>ROUND(C48*G48*I48,0)</f>
        <v>184142</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598.85599999999999</v>
      </c>
      <c r="D50" s="146"/>
      <c r="E50" s="147"/>
      <c r="F50" s="147"/>
      <c r="G50" s="148" t="s">
        <v>98</v>
      </c>
      <c r="H50" s="148"/>
      <c r="I50" s="148"/>
      <c r="J50" s="148"/>
      <c r="K50" s="148"/>
      <c r="L50" s="53">
        <f>IF(B2=75,0,K49+K48+K47)</f>
        <v>730683</v>
      </c>
      <c r="N50" s="3"/>
      <c r="O50" s="1"/>
      <c r="V50" s="151"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598.85599999999999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3.0240000000000002E-3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554</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3.0539999999999999E-3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3.0240000000000002E-3</v>
      </c>
      <c r="L59" s="53">
        <f>ROUND(I59*K59,0)</f>
        <v>12794</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3.0240000000000002E-3</v>
      </c>
      <c r="L67" s="53">
        <f>ROUND(I67*K67,0)</f>
        <v>313585</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3.0539999999999999E-3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3.0240000000000002E-3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3.0240000000000002E-3</v>
      </c>
      <c r="L71" s="53">
        <f>ROUND(I71*K71,0)</f>
        <v>5642</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3.0539999999999999E-3</v>
      </c>
      <c r="L72" s="53">
        <f>ROUND(I72*K72,0)</f>
        <v>42646</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25</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3.0539999999999999E-3</v>
      </c>
      <c r="L77" s="53">
        <f>ROUND(I77*K77,0)</f>
        <v>5244</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3.0240000000000002E-3</v>
      </c>
      <c r="L78" s="53">
        <f>ROUND(I78*K78,0)</f>
        <v>0</v>
      </c>
      <c r="O78" s="1"/>
      <c r="V78" s="430" t="str">
        <f t="shared" ref="V78:V79"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f t="shared" si="11"/>
        <v>0</v>
      </c>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3700877</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'4050'!AC81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13" t="s">
        <v>148</v>
      </c>
      <c r="C86" s="14"/>
      <c r="D86" s="14"/>
      <c r="E86" s="14"/>
      <c r="F86" s="14"/>
      <c r="G86" s="14"/>
      <c r="H86" s="14"/>
      <c r="I86" s="14"/>
      <c r="J86" s="206" t="s">
        <v>149</v>
      </c>
      <c r="K86" s="207">
        <f>IF(K84=1,L84,L82)</f>
        <v>3700877</v>
      </c>
      <c r="L86" s="83">
        <f>IF(G26=0,0,IF(G26&gt;250,-(((250/G26)*K86)*IF(M86="H",0.02,0.05)),IF(M86="H",-0.02*K86,-0.05*K86)))</f>
        <v>-83503.542418772558</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13" t="s">
        <v>151</v>
      </c>
      <c r="C87" s="14"/>
      <c r="D87" s="14"/>
      <c r="E87" s="14"/>
      <c r="F87" s="14"/>
      <c r="G87" s="14"/>
      <c r="H87" s="14"/>
      <c r="I87" s="14"/>
      <c r="J87" s="14"/>
      <c r="K87" s="208"/>
      <c r="L87" s="202">
        <f>L82+L86</f>
        <v>3617373.4575812276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v>56062</v>
      </c>
      <c r="E89" s="14"/>
      <c r="F89" s="14"/>
      <c r="G89" s="14"/>
      <c r="H89" s="14"/>
      <c r="I89" s="14"/>
      <c r="J89" s="14"/>
      <c r="K89" s="208"/>
      <c r="L89" s="83">
        <v>-171235</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3446138.4575812276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313285.31432556617</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101540.30758122745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386</v>
      </c>
      <c r="C109" s="221" t="s">
        <v>178</v>
      </c>
      <c r="V109" s="220"/>
    </row>
    <row r="110" spans="2:30" hidden="1" x14ac:dyDescent="0.3">
      <c r="B110" s="227"/>
      <c r="C110" s="221"/>
      <c r="V110" s="220"/>
    </row>
    <row r="111" spans="2:30" hidden="1" x14ac:dyDescent="0.3">
      <c r="B111" s="225" t="s">
        <v>387</v>
      </c>
      <c r="C111" s="221" t="s">
        <v>180</v>
      </c>
      <c r="V111" s="220"/>
    </row>
    <row r="112" spans="2:30" hidden="1" x14ac:dyDescent="0.3">
      <c r="B112" s="225" t="s">
        <v>387</v>
      </c>
      <c r="C112" s="221" t="s">
        <v>181</v>
      </c>
    </row>
    <row r="113" spans="2:3" hidden="1" x14ac:dyDescent="0.3">
      <c r="B113" s="225" t="s">
        <v>285</v>
      </c>
      <c r="C113" s="221" t="s">
        <v>183</v>
      </c>
    </row>
    <row r="114" spans="2:3" hidden="1" x14ac:dyDescent="0.3">
      <c r="B114" s="225" t="s">
        <v>388</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hidden="1" x14ac:dyDescent="0.3">
      <c r="B139" s="221"/>
      <c r="C139" s="221"/>
    </row>
    <row r="140" spans="2:3" hidden="1" x14ac:dyDescent="0.3">
      <c r="B140" s="221"/>
      <c r="C140" s="221"/>
    </row>
    <row r="141" spans="2:3" hidden="1" x14ac:dyDescent="0.3">
      <c r="B141" s="221"/>
      <c r="C141" s="221"/>
    </row>
    <row r="142" spans="2:3" hidden="1" x14ac:dyDescent="0.3">
      <c r="B142" s="221"/>
      <c r="C142" s="221"/>
    </row>
    <row r="143" spans="2:3" hidden="1" x14ac:dyDescent="0.3">
      <c r="B143" s="221"/>
      <c r="C143" s="221"/>
    </row>
    <row r="144" spans="2:3" hidden="1" x14ac:dyDescent="0.3">
      <c r="B144" s="221"/>
      <c r="C144" s="221"/>
    </row>
    <row r="145" spans="2:3" hidden="1" x14ac:dyDescent="0.3">
      <c r="B145" s="221"/>
      <c r="C145" s="221"/>
    </row>
    <row r="146" spans="2:3" hidden="1" x14ac:dyDescent="0.3">
      <c r="B146" s="221"/>
      <c r="C146" s="221"/>
    </row>
    <row r="147" spans="2:3" hidden="1" x14ac:dyDescent="0.3">
      <c r="B147" s="221"/>
      <c r="C147" s="221"/>
    </row>
    <row r="148" spans="2:3" hidden="1" x14ac:dyDescent="0.3">
      <c r="B148" s="221"/>
      <c r="C148" s="221"/>
    </row>
    <row r="149" spans="2:3" hidden="1" x14ac:dyDescent="0.3">
      <c r="B149" s="221"/>
      <c r="C149" s="221"/>
    </row>
    <row r="150" spans="2:3" hidden="1" x14ac:dyDescent="0.3">
      <c r="B150" s="221"/>
      <c r="C150" s="221"/>
    </row>
    <row r="151" spans="2:3" hidden="1" x14ac:dyDescent="0.3">
      <c r="B151" s="221"/>
      <c r="C151" s="221"/>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N2" s="3"/>
      <c r="O2" s="1"/>
      <c r="V2" s="8">
        <f>'4051'!B2</f>
        <v>50</v>
      </c>
      <c r="W2" s="380" t="s">
        <v>4</v>
      </c>
      <c r="X2" s="381"/>
      <c r="Y2" s="382"/>
      <c r="Z2" s="382"/>
      <c r="AA2" s="382"/>
      <c r="AB2" s="382"/>
      <c r="AC2" s="382"/>
      <c r="AD2" s="9"/>
    </row>
    <row r="3" spans="1:30" ht="20.399999999999999" x14ac:dyDescent="0.35">
      <c r="B3" s="10" t="s">
        <v>412</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'4051'!G7</f>
        <v>4031.77</v>
      </c>
      <c r="Y7" s="396"/>
      <c r="Z7" s="397" t="s">
        <v>12</v>
      </c>
      <c r="AA7" s="397"/>
      <c r="AB7" s="398">
        <f>+K7</f>
        <v>1.0289999999999999</v>
      </c>
      <c r="AC7" s="398"/>
      <c r="AD7" s="9"/>
    </row>
    <row r="8" spans="1:30" ht="51" customHeight="1" x14ac:dyDescent="0.3">
      <c r="B8" s="28" t="s">
        <v>13</v>
      </c>
      <c r="C8" s="28"/>
      <c r="D8" s="30" t="s">
        <v>514</v>
      </c>
      <c r="E8" s="30"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153.5</v>
      </c>
      <c r="E10" s="48"/>
      <c r="F10" s="48"/>
      <c r="G10" s="49">
        <f>IF(E10=0,D10*2,D10+E10)</f>
        <v>307</v>
      </c>
      <c r="H10" s="50"/>
      <c r="I10" s="51">
        <v>1.1259999999999999</v>
      </c>
      <c r="J10" s="51"/>
      <c r="K10" s="52">
        <f>ROUND(G10*I10,4)</f>
        <v>345.68200000000002</v>
      </c>
      <c r="L10" s="53">
        <f>ROUND(ROUND(K10*$G$7,4)*($K$7),0)</f>
        <v>1434128</v>
      </c>
      <c r="N10" s="54">
        <v>5101</v>
      </c>
      <c r="O10" s="55">
        <v>101</v>
      </c>
      <c r="Q10" s="56"/>
      <c r="V10" s="391" t="s">
        <v>27</v>
      </c>
      <c r="W10" s="391"/>
      <c r="X10" s="392">
        <f>IF('4051'!K$84=1,'4051'!G10,0)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IF('4051'!K$84=1,'4051'!G11,0)</f>
        <v>0</v>
      </c>
      <c r="Y11" s="392"/>
      <c r="Z11" s="403">
        <v>1</v>
      </c>
      <c r="AA11" s="403"/>
      <c r="AB11" s="57">
        <f t="shared" si="0"/>
        <v>0</v>
      </c>
      <c r="AC11" s="58">
        <f t="shared" si="1"/>
        <v>0</v>
      </c>
      <c r="AD11" s="9"/>
    </row>
    <row r="12" spans="1:30" x14ac:dyDescent="0.3">
      <c r="A12" s="1" t="s">
        <v>31</v>
      </c>
      <c r="B12" s="14" t="s">
        <v>32</v>
      </c>
      <c r="C12" s="14"/>
      <c r="D12" s="14">
        <v>82</v>
      </c>
      <c r="E12" s="14"/>
      <c r="F12" s="14"/>
      <c r="G12" s="49">
        <f t="shared" si="2"/>
        <v>164</v>
      </c>
      <c r="H12" s="50"/>
      <c r="I12" s="59">
        <v>1</v>
      </c>
      <c r="J12" s="59"/>
      <c r="K12" s="52">
        <f t="shared" si="3"/>
        <v>164</v>
      </c>
      <c r="L12" s="53">
        <f t="shared" si="4"/>
        <v>680385</v>
      </c>
      <c r="N12" s="54">
        <v>5102</v>
      </c>
      <c r="O12" s="55">
        <v>102</v>
      </c>
      <c r="Q12" s="56"/>
      <c r="V12" s="402" t="s">
        <v>32</v>
      </c>
      <c r="W12" s="402"/>
      <c r="X12" s="392">
        <f>IF('4051'!K$84=1,'4051'!G12,0)</f>
        <v>0</v>
      </c>
      <c r="Y12" s="392"/>
      <c r="Z12" s="403">
        <v>1</v>
      </c>
      <c r="AA12" s="403"/>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IF('4051'!K$84=1,'4051'!G13,0)</f>
        <v>0</v>
      </c>
      <c r="Y13" s="392"/>
      <c r="Z13" s="403">
        <v>1</v>
      </c>
      <c r="AA13" s="403"/>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402" t="s">
        <v>37</v>
      </c>
      <c r="W14" s="402"/>
      <c r="X14" s="392">
        <f>IF('4051'!K$84=1,'4051'!G14,0)</f>
        <v>0</v>
      </c>
      <c r="Y14" s="392"/>
      <c r="Z14" s="403">
        <v>1</v>
      </c>
      <c r="AA14" s="403"/>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IF('4051'!K$84=1,'4051'!G15,0)</f>
        <v>0</v>
      </c>
      <c r="Y15" s="392"/>
      <c r="Z15" s="403">
        <v>1</v>
      </c>
      <c r="AA15" s="403"/>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402" t="s">
        <v>42</v>
      </c>
      <c r="W16" s="402"/>
      <c r="X16" s="392">
        <f>IF('4051'!K$84=1,'4051'!G16,0)</f>
        <v>0</v>
      </c>
      <c r="Y16" s="392"/>
      <c r="Z16" s="403">
        <v>1</v>
      </c>
      <c r="AA16" s="403"/>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402" t="s">
        <v>44</v>
      </c>
      <c r="W17" s="402"/>
      <c r="X17" s="392">
        <f>IF('4051'!K$84=1,'4051'!G17,0)</f>
        <v>0</v>
      </c>
      <c r="Y17" s="392"/>
      <c r="Z17" s="403">
        <v>1</v>
      </c>
      <c r="AA17" s="403"/>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402" t="s">
        <v>46</v>
      </c>
      <c r="W18" s="402"/>
      <c r="X18" s="392">
        <f>IF('4051'!K$84=1,'4051'!G18,0)</f>
        <v>0</v>
      </c>
      <c r="Y18" s="392"/>
      <c r="Z18" s="403">
        <v>1</v>
      </c>
      <c r="AA18" s="403"/>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402" t="s">
        <v>48</v>
      </c>
      <c r="W19" s="402"/>
      <c r="X19" s="392">
        <f>IF('4051'!K$84=1,'4051'!G19,0)</f>
        <v>0</v>
      </c>
      <c r="Y19" s="392"/>
      <c r="Z19" s="403">
        <v>1</v>
      </c>
      <c r="AA19" s="403"/>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402" t="s">
        <v>50</v>
      </c>
      <c r="W20" s="402"/>
      <c r="X20" s="392">
        <f>IF('4051'!K$84=1,'4051'!G20,0)</f>
        <v>0</v>
      </c>
      <c r="Y20" s="392"/>
      <c r="Z20" s="403">
        <v>1</v>
      </c>
      <c r="AA20" s="403"/>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402" t="s">
        <v>52</v>
      </c>
      <c r="W21" s="402"/>
      <c r="X21" s="392">
        <f>IF('4051'!K$84=1,'4051'!G21,0)</f>
        <v>0</v>
      </c>
      <c r="Y21" s="392"/>
      <c r="Z21" s="403">
        <v>1</v>
      </c>
      <c r="AA21" s="403"/>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402" t="s">
        <v>54</v>
      </c>
      <c r="W22" s="402"/>
      <c r="X22" s="392">
        <f>IF('4051'!K$84=1,'4051'!G22,0)</f>
        <v>0</v>
      </c>
      <c r="Y22" s="392"/>
      <c r="Z22" s="403">
        <v>1</v>
      </c>
      <c r="AA22" s="403"/>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402" t="s">
        <v>56</v>
      </c>
      <c r="W23" s="402"/>
      <c r="X23" s="392">
        <f>IF('4051'!K$84=1,'4051'!G23,0)</f>
        <v>0</v>
      </c>
      <c r="Y23" s="392"/>
      <c r="Z23" s="403">
        <v>1</v>
      </c>
      <c r="AA23" s="403"/>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402" t="s">
        <v>58</v>
      </c>
      <c r="W24" s="402"/>
      <c r="X24" s="392">
        <f>IF('4051'!K$84=1,'4051'!G24,0)</f>
        <v>0</v>
      </c>
      <c r="Y24" s="392"/>
      <c r="Z24" s="403">
        <v>1</v>
      </c>
      <c r="AA24" s="403"/>
      <c r="AB24" s="57">
        <f t="shared" si="0"/>
        <v>0</v>
      </c>
      <c r="AC24" s="58">
        <f t="shared" si="1"/>
        <v>0</v>
      </c>
      <c r="AD24" s="9"/>
    </row>
    <row r="25" spans="1:30" ht="16.8" thickBot="1" x14ac:dyDescent="0.4">
      <c r="A25" s="1" t="s">
        <v>59</v>
      </c>
      <c r="B25" s="14" t="s">
        <v>60</v>
      </c>
      <c r="C25" s="14"/>
      <c r="D25" s="14">
        <v>0</v>
      </c>
      <c r="E25" s="14"/>
      <c r="F25" s="14"/>
      <c r="G25" s="248">
        <f t="shared" si="2"/>
        <v>0</v>
      </c>
      <c r="H25" s="50"/>
      <c r="I25" s="59">
        <v>1.004</v>
      </c>
      <c r="J25" s="59"/>
      <c r="K25" s="52">
        <f t="shared" si="3"/>
        <v>0</v>
      </c>
      <c r="L25" s="53">
        <f t="shared" si="4"/>
        <v>0</v>
      </c>
      <c r="N25" s="54">
        <v>5310</v>
      </c>
      <c r="O25" s="55">
        <v>300</v>
      </c>
      <c r="Q25" s="56"/>
      <c r="V25" s="402" t="s">
        <v>60</v>
      </c>
      <c r="W25" s="402"/>
      <c r="X25" s="392">
        <f>IF('4051'!K$84=1,'4051'!G25,0)</f>
        <v>0</v>
      </c>
      <c r="Y25" s="392"/>
      <c r="Z25" s="403">
        <v>1</v>
      </c>
      <c r="AA25" s="403"/>
      <c r="AB25" s="57">
        <f t="shared" si="0"/>
        <v>0</v>
      </c>
      <c r="AC25" s="58">
        <f t="shared" si="1"/>
        <v>0</v>
      </c>
      <c r="AD25" s="9"/>
    </row>
    <row r="26" spans="1:30" ht="20.25" customHeight="1" thickBot="1" x14ac:dyDescent="0.35">
      <c r="B26" s="63" t="s">
        <v>61</v>
      </c>
      <c r="C26" s="63"/>
      <c r="D26" s="64">
        <f t="shared" ref="D26:E26" si="5">SUM(D10:D25)</f>
        <v>235.5</v>
      </c>
      <c r="E26" s="64">
        <f t="shared" si="5"/>
        <v>0</v>
      </c>
      <c r="F26" s="64"/>
      <c r="G26" s="64">
        <f>SUM(G10:G25)</f>
        <v>471</v>
      </c>
      <c r="H26" s="65"/>
      <c r="I26" s="65"/>
      <c r="J26" s="66"/>
      <c r="K26" s="67">
        <f>SUM(K10:K25)</f>
        <v>509.68200000000002</v>
      </c>
      <c r="L26" s="68">
        <f>SUM(L10:L25)</f>
        <v>2114513</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371" t="s">
        <v>514</v>
      </c>
      <c r="E27" s="371"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c r="F28" s="79"/>
      <c r="G28" s="49">
        <f>IF(E28=0,D28*2,D28+E28)</f>
        <v>0</v>
      </c>
      <c r="H28" s="80"/>
      <c r="I28" s="81" t="s">
        <v>69</v>
      </c>
      <c r="J28" s="54">
        <v>251</v>
      </c>
      <c r="K28" s="82">
        <v>1047</v>
      </c>
      <c r="L28" s="83">
        <f>ROUND(G28*K28,0)</f>
        <v>0</v>
      </c>
      <c r="N28" s="13">
        <v>5101</v>
      </c>
      <c r="O28" s="56">
        <v>251</v>
      </c>
      <c r="P28" s="84"/>
      <c r="Q28" s="85"/>
      <c r="V28" s="416" t="s">
        <v>68</v>
      </c>
      <c r="W28" s="416"/>
      <c r="X28" s="417"/>
      <c r="Y28" s="417"/>
      <c r="Z28" s="86" t="s">
        <v>69</v>
      </c>
      <c r="AA28" s="87">
        <v>251</v>
      </c>
      <c r="AB28" s="88">
        <f>+K28</f>
        <v>1047</v>
      </c>
      <c r="AC28" s="89">
        <f t="shared" ref="AC28:AC36" si="6">ROUND(X28*AB28,0)</f>
        <v>0</v>
      </c>
      <c r="AD28" s="9"/>
    </row>
    <row r="29" spans="1:30" x14ac:dyDescent="0.3">
      <c r="A29" s="1" t="s">
        <v>70</v>
      </c>
      <c r="B29" s="412"/>
      <c r="C29" s="413"/>
      <c r="D29" s="14">
        <v>0</v>
      </c>
      <c r="E29" s="14"/>
      <c r="F29" s="90"/>
      <c r="G29" s="49">
        <f t="shared" ref="G29:G36" si="7">IF(E29=0,D29*2,D29+E29)</f>
        <v>0</v>
      </c>
      <c r="H29" s="80"/>
      <c r="I29" s="54" t="s">
        <v>69</v>
      </c>
      <c r="J29" s="54">
        <v>252</v>
      </c>
      <c r="K29" s="82">
        <v>3380</v>
      </c>
      <c r="L29" s="83">
        <f t="shared" ref="L29:L36" si="8">ROUND(G29*K29,0)</f>
        <v>0</v>
      </c>
      <c r="N29" s="13">
        <v>5101</v>
      </c>
      <c r="O29" s="56">
        <v>252</v>
      </c>
      <c r="P29" s="84"/>
      <c r="Q29" s="85"/>
      <c r="V29" s="416"/>
      <c r="W29" s="416"/>
      <c r="X29" s="417"/>
      <c r="Y29" s="417"/>
      <c r="Z29" s="87" t="s">
        <v>69</v>
      </c>
      <c r="AA29" s="87">
        <v>252</v>
      </c>
      <c r="AB29" s="88">
        <f t="shared" ref="AB29:AB36" si="9">+K29</f>
        <v>3380</v>
      </c>
      <c r="AC29" s="89">
        <f t="shared" si="6"/>
        <v>0</v>
      </c>
      <c r="AD29" s="9"/>
    </row>
    <row r="30" spans="1:30" x14ac:dyDescent="0.3">
      <c r="A30" s="1" t="s">
        <v>71</v>
      </c>
      <c r="B30" s="412"/>
      <c r="C30" s="413"/>
      <c r="D30" s="14">
        <v>0</v>
      </c>
      <c r="E30" s="14"/>
      <c r="F30" s="90"/>
      <c r="G30" s="49">
        <f t="shared" si="7"/>
        <v>0</v>
      </c>
      <c r="H30" s="80"/>
      <c r="I30" s="54" t="s">
        <v>69</v>
      </c>
      <c r="J30" s="54">
        <v>253</v>
      </c>
      <c r="K30" s="82">
        <v>6896</v>
      </c>
      <c r="L30" s="83">
        <f t="shared" si="8"/>
        <v>0</v>
      </c>
      <c r="N30" s="13">
        <v>5101</v>
      </c>
      <c r="O30" s="56">
        <v>253</v>
      </c>
      <c r="P30" s="84"/>
      <c r="Q30" s="69"/>
      <c r="V30" s="416"/>
      <c r="W30" s="416"/>
      <c r="X30" s="417"/>
      <c r="Y30" s="417"/>
      <c r="Z30" s="87" t="s">
        <v>69</v>
      </c>
      <c r="AA30" s="87">
        <v>253</v>
      </c>
      <c r="AB30" s="88">
        <f t="shared" si="9"/>
        <v>6896</v>
      </c>
      <c r="AC30" s="89">
        <f t="shared" si="6"/>
        <v>0</v>
      </c>
      <c r="AD30" s="9"/>
    </row>
    <row r="31" spans="1:30" x14ac:dyDescent="0.3">
      <c r="A31" s="1" t="s">
        <v>72</v>
      </c>
      <c r="B31" s="412"/>
      <c r="C31" s="413"/>
      <c r="D31" s="14">
        <v>0</v>
      </c>
      <c r="E31" s="14"/>
      <c r="F31" s="90"/>
      <c r="G31" s="49">
        <f t="shared" si="7"/>
        <v>0</v>
      </c>
      <c r="H31" s="80"/>
      <c r="I31" s="91" t="s">
        <v>73</v>
      </c>
      <c r="J31" s="54">
        <v>251</v>
      </c>
      <c r="K31" s="82">
        <v>1173</v>
      </c>
      <c r="L31" s="83">
        <f t="shared" si="8"/>
        <v>0</v>
      </c>
      <c r="N31" s="13">
        <v>5102</v>
      </c>
      <c r="O31" s="56">
        <v>251</v>
      </c>
      <c r="P31" s="84"/>
      <c r="Q31" s="69"/>
      <c r="V31" s="416"/>
      <c r="W31" s="416"/>
      <c r="X31" s="417"/>
      <c r="Y31" s="417"/>
      <c r="Z31" s="92" t="s">
        <v>73</v>
      </c>
      <c r="AA31" s="87">
        <v>251</v>
      </c>
      <c r="AB31" s="88">
        <f t="shared" si="9"/>
        <v>1173</v>
      </c>
      <c r="AC31" s="89">
        <f t="shared" si="6"/>
        <v>0</v>
      </c>
      <c r="AD31" s="9"/>
    </row>
    <row r="32" spans="1:30" x14ac:dyDescent="0.3">
      <c r="A32" s="1" t="s">
        <v>74</v>
      </c>
      <c r="B32" s="412"/>
      <c r="C32" s="413"/>
      <c r="D32" s="14">
        <v>0</v>
      </c>
      <c r="E32" s="14"/>
      <c r="F32" s="90"/>
      <c r="G32" s="49">
        <f t="shared" si="7"/>
        <v>0</v>
      </c>
      <c r="H32" s="80"/>
      <c r="I32" s="91" t="s">
        <v>73</v>
      </c>
      <c r="J32" s="54">
        <v>252</v>
      </c>
      <c r="K32" s="82">
        <v>3506</v>
      </c>
      <c r="L32" s="83">
        <f t="shared" si="8"/>
        <v>0</v>
      </c>
      <c r="N32" s="13">
        <v>5102</v>
      </c>
      <c r="O32" s="56">
        <v>252</v>
      </c>
      <c r="P32" s="84"/>
      <c r="Q32" s="56"/>
      <c r="V32" s="416"/>
      <c r="W32" s="416"/>
      <c r="X32" s="417"/>
      <c r="Y32" s="417"/>
      <c r="Z32" s="92" t="s">
        <v>73</v>
      </c>
      <c r="AA32" s="87">
        <v>252</v>
      </c>
      <c r="AB32" s="88">
        <f t="shared" si="9"/>
        <v>3506</v>
      </c>
      <c r="AC32" s="89">
        <f t="shared" si="6"/>
        <v>0</v>
      </c>
      <c r="AD32" s="9"/>
    </row>
    <row r="33" spans="1:30" x14ac:dyDescent="0.3">
      <c r="A33" s="1" t="s">
        <v>75</v>
      </c>
      <c r="B33" s="412"/>
      <c r="C33" s="413"/>
      <c r="D33" s="14">
        <v>0</v>
      </c>
      <c r="E33" s="14"/>
      <c r="F33" s="90"/>
      <c r="G33" s="49">
        <f t="shared" si="7"/>
        <v>0</v>
      </c>
      <c r="H33" s="80"/>
      <c r="I33" s="91" t="s">
        <v>73</v>
      </c>
      <c r="J33" s="54">
        <v>253</v>
      </c>
      <c r="K33" s="82">
        <v>7023</v>
      </c>
      <c r="L33" s="83">
        <f t="shared" si="8"/>
        <v>0</v>
      </c>
      <c r="N33" s="13">
        <v>5102</v>
      </c>
      <c r="O33" s="56">
        <v>253</v>
      </c>
      <c r="P33" s="84"/>
      <c r="Q33" s="85"/>
      <c r="V33" s="416"/>
      <c r="W33" s="416"/>
      <c r="X33" s="417"/>
      <c r="Y33" s="417"/>
      <c r="Z33" s="92" t="s">
        <v>73</v>
      </c>
      <c r="AA33" s="87">
        <v>253</v>
      </c>
      <c r="AB33" s="88">
        <f t="shared" si="9"/>
        <v>7023</v>
      </c>
      <c r="AC33" s="89">
        <f t="shared" si="6"/>
        <v>0</v>
      </c>
      <c r="AD33" s="9"/>
    </row>
    <row r="34" spans="1:30" x14ac:dyDescent="0.3">
      <c r="A34" s="1" t="s">
        <v>76</v>
      </c>
      <c r="B34" s="412"/>
      <c r="C34" s="413"/>
      <c r="D34" s="14">
        <v>0</v>
      </c>
      <c r="E34" s="14"/>
      <c r="F34" s="90"/>
      <c r="G34" s="49">
        <f t="shared" si="7"/>
        <v>0</v>
      </c>
      <c r="H34" s="80"/>
      <c r="I34" s="91" t="s">
        <v>77</v>
      </c>
      <c r="J34" s="54">
        <v>251</v>
      </c>
      <c r="K34" s="82">
        <v>835</v>
      </c>
      <c r="L34" s="83">
        <f t="shared" si="8"/>
        <v>0</v>
      </c>
      <c r="N34" s="13">
        <v>5103</v>
      </c>
      <c r="O34" s="56">
        <v>251</v>
      </c>
      <c r="P34" s="84"/>
      <c r="Q34" s="85"/>
      <c r="V34" s="416"/>
      <c r="W34" s="416"/>
      <c r="X34" s="417"/>
      <c r="Y34" s="417"/>
      <c r="Z34" s="92" t="s">
        <v>77</v>
      </c>
      <c r="AA34" s="87">
        <v>251</v>
      </c>
      <c r="AB34" s="88">
        <f t="shared" si="9"/>
        <v>835</v>
      </c>
      <c r="AC34" s="89">
        <f t="shared" si="6"/>
        <v>0</v>
      </c>
      <c r="AD34" s="9"/>
    </row>
    <row r="35" spans="1:30" x14ac:dyDescent="0.3">
      <c r="A35" s="1" t="s">
        <v>78</v>
      </c>
      <c r="B35" s="412"/>
      <c r="C35" s="413"/>
      <c r="D35" s="14">
        <v>0</v>
      </c>
      <c r="E35" s="14"/>
      <c r="F35" s="90"/>
      <c r="G35" s="49">
        <f t="shared" si="7"/>
        <v>0</v>
      </c>
      <c r="H35" s="80"/>
      <c r="I35" s="91" t="s">
        <v>77</v>
      </c>
      <c r="J35" s="54">
        <v>252</v>
      </c>
      <c r="K35" s="82">
        <v>3168</v>
      </c>
      <c r="L35" s="83">
        <f t="shared" si="8"/>
        <v>0</v>
      </c>
      <c r="N35" s="13">
        <v>5103</v>
      </c>
      <c r="O35" s="56">
        <v>252</v>
      </c>
      <c r="P35" s="84"/>
      <c r="Q35" s="93"/>
      <c r="V35" s="416"/>
      <c r="W35" s="416"/>
      <c r="X35" s="417"/>
      <c r="Y35" s="417"/>
      <c r="Z35" s="92" t="s">
        <v>77</v>
      </c>
      <c r="AA35" s="87">
        <v>252</v>
      </c>
      <c r="AB35" s="88">
        <f t="shared" si="9"/>
        <v>3168</v>
      </c>
      <c r="AC35" s="89">
        <f t="shared" si="6"/>
        <v>0</v>
      </c>
      <c r="AD35" s="9"/>
    </row>
    <row r="36" spans="1:30" ht="16.2" thickBot="1" x14ac:dyDescent="0.35">
      <c r="A36" s="1" t="s">
        <v>79</v>
      </c>
      <c r="B36" s="414"/>
      <c r="C36" s="415"/>
      <c r="D36" s="14">
        <v>0</v>
      </c>
      <c r="E36" s="14"/>
      <c r="F36" s="90"/>
      <c r="G36" s="49">
        <f t="shared" si="7"/>
        <v>0</v>
      </c>
      <c r="H36" s="80"/>
      <c r="I36" s="91" t="s">
        <v>77</v>
      </c>
      <c r="J36" s="54">
        <v>253</v>
      </c>
      <c r="K36" s="82">
        <v>6685</v>
      </c>
      <c r="L36" s="94">
        <f t="shared" si="8"/>
        <v>0</v>
      </c>
      <c r="N36" s="13">
        <v>5103</v>
      </c>
      <c r="O36" s="56">
        <v>253</v>
      </c>
      <c r="P36" s="84"/>
      <c r="Q36" s="95"/>
      <c r="V36" s="416"/>
      <c r="W36" s="416"/>
      <c r="X36" s="424"/>
      <c r="Y36" s="424"/>
      <c r="Z36" s="92" t="s">
        <v>77</v>
      </c>
      <c r="AA36" s="8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89961</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2204474</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1" t="s">
        <v>91</v>
      </c>
      <c r="X46" s="434" t="s">
        <v>94</v>
      </c>
      <c r="Y46" s="434"/>
      <c r="Z46" s="435" t="s">
        <v>93</v>
      </c>
      <c r="AA46" s="435"/>
      <c r="AB46" s="435"/>
      <c r="AC46" s="435"/>
      <c r="AD46" s="122"/>
    </row>
    <row r="47" spans="1:30" ht="18.75" customHeight="1" x14ac:dyDescent="0.3">
      <c r="B47" s="104" t="s">
        <v>95</v>
      </c>
      <c r="C47" s="123">
        <f>K10+K11+K16+K19+K22</f>
        <v>345.68200000000002</v>
      </c>
      <c r="D47" s="123"/>
      <c r="E47" s="123"/>
      <c r="F47" s="123"/>
      <c r="G47" s="124">
        <f>K7</f>
        <v>1.0289999999999999</v>
      </c>
      <c r="H47" s="124"/>
      <c r="I47" s="125">
        <v>1325.01</v>
      </c>
      <c r="J47" s="126" t="s">
        <v>96</v>
      </c>
      <c r="K47" s="127">
        <f>ROUND(C47*G47*I47,0)</f>
        <v>471315</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164</v>
      </c>
      <c r="D48" s="123"/>
      <c r="E48" s="123"/>
      <c r="F48" s="123"/>
      <c r="G48" s="124">
        <f>K7</f>
        <v>1.0289999999999999</v>
      </c>
      <c r="H48" s="124"/>
      <c r="I48" s="125">
        <v>903.8</v>
      </c>
      <c r="J48" s="126" t="s">
        <v>96</v>
      </c>
      <c r="K48" s="127">
        <f>ROUND(C48*G48*I48,0)</f>
        <v>152522</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509.68200000000002</v>
      </c>
      <c r="D50" s="146"/>
      <c r="E50" s="147"/>
      <c r="F50" s="147"/>
      <c r="G50" s="148" t="s">
        <v>98</v>
      </c>
      <c r="H50" s="148"/>
      <c r="I50" s="148"/>
      <c r="J50" s="148"/>
      <c r="K50" s="148"/>
      <c r="L50" s="53">
        <f>IF(B2=75,0,K49+K48+K47)</f>
        <v>623837</v>
      </c>
      <c r="N50" s="3"/>
      <c r="O50" s="1"/>
      <c r="V50" s="151"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509.68200000000002</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2.5730000000000002E-3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471</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2.5969999999999999E-3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2.5730000000000002E-3</v>
      </c>
      <c r="L59" s="53">
        <f>ROUND(I59*K59,0)</f>
        <v>10886</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2.5730000000000002E-3</v>
      </c>
      <c r="L67" s="53">
        <f>ROUND(I67*K67,0)</f>
        <v>266817</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2.5969999999999999E-3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2.5730000000000002E-3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2.5730000000000002E-3</v>
      </c>
      <c r="L71" s="53">
        <f>ROUND(I71*K71,0)</f>
        <v>4801</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2.5969999999999999E-3</v>
      </c>
      <c r="L72" s="53">
        <f>ROUND(I72*K72,0)</f>
        <v>36264</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25</v>
      </c>
      <c r="I74" s="18"/>
      <c r="J74" s="163"/>
      <c r="K74" s="18"/>
      <c r="L74" s="109"/>
      <c r="O74" s="1"/>
      <c r="V74" s="445" t="s">
        <v>128</v>
      </c>
      <c r="W74" s="445"/>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45" t="s">
        <v>128</v>
      </c>
      <c r="W75" s="445"/>
      <c r="X75" s="170" t="s">
        <v>132</v>
      </c>
      <c r="Y75" s="182"/>
      <c r="Z75" s="183">
        <f>+I76</f>
        <v>0</v>
      </c>
      <c r="AA75" s="173"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2.5969999999999999E-3</v>
      </c>
      <c r="L77" s="53">
        <f>ROUND(I77*K77,0)</f>
        <v>4459</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2.5730000000000002E-3</v>
      </c>
      <c r="L78" s="53">
        <f>ROUND(I78*K78,0)</f>
        <v>0</v>
      </c>
      <c r="O78" s="1"/>
      <c r="V78" s="430" t="str">
        <f t="shared" ref="V78:V79"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f t="shared" si="11"/>
        <v>0</v>
      </c>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3151538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'4051'!AC81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13" t="s">
        <v>148</v>
      </c>
      <c r="C86" s="14"/>
      <c r="D86" s="14"/>
      <c r="E86" s="14"/>
      <c r="F86" s="14"/>
      <c r="G86" s="14"/>
      <c r="H86" s="14"/>
      <c r="I86" s="14"/>
      <c r="J86" s="206" t="s">
        <v>149</v>
      </c>
      <c r="K86" s="207">
        <f>IF(K84=1,L84,L82)</f>
        <v>3151538</v>
      </c>
      <c r="L86" s="83">
        <f>IF(G26=0,0,IF(G26&gt;250,-(((250/G26)*K86)*IF(M86="H",0.02,0.05)),IF(M86="H",-0.02*K86,-0.05*K86)))</f>
        <v>-83639.543524416149</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13" t="s">
        <v>151</v>
      </c>
      <c r="C87" s="14"/>
      <c r="D87" s="14"/>
      <c r="E87" s="14"/>
      <c r="F87" s="14"/>
      <c r="G87" s="14"/>
      <c r="H87" s="14"/>
      <c r="I87" s="14"/>
      <c r="J87" s="14"/>
      <c r="K87" s="208"/>
      <c r="L87" s="202">
        <f>L82+L86</f>
        <v>3067898.4564755838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v>-157688</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2910210.4564755838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264564.58695232583</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73937.356475583874</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386</v>
      </c>
      <c r="C109" s="221" t="s">
        <v>178</v>
      </c>
      <c r="V109" s="220"/>
    </row>
    <row r="110" spans="2:30" hidden="1" x14ac:dyDescent="0.3">
      <c r="B110" s="227"/>
      <c r="C110" s="221"/>
      <c r="V110" s="220"/>
    </row>
    <row r="111" spans="2:30" hidden="1" x14ac:dyDescent="0.3">
      <c r="B111" s="225" t="s">
        <v>387</v>
      </c>
      <c r="C111" s="221" t="s">
        <v>180</v>
      </c>
      <c r="V111" s="220"/>
    </row>
    <row r="112" spans="2:30" hidden="1" x14ac:dyDescent="0.3">
      <c r="B112" s="225" t="s">
        <v>387</v>
      </c>
      <c r="C112" s="221" t="s">
        <v>181</v>
      </c>
    </row>
    <row r="113" spans="2:3" hidden="1" x14ac:dyDescent="0.3">
      <c r="B113" s="225" t="s">
        <v>285</v>
      </c>
      <c r="C113" s="221" t="s">
        <v>183</v>
      </c>
    </row>
    <row r="114" spans="2:3" hidden="1" x14ac:dyDescent="0.3">
      <c r="B114" s="225" t="s">
        <v>388</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hidden="1" x14ac:dyDescent="0.3">
      <c r="B139" s="221"/>
      <c r="C139" s="221"/>
    </row>
    <row r="140" spans="2:3" hidden="1" x14ac:dyDescent="0.3">
      <c r="B140" s="221"/>
      <c r="C140" s="221"/>
    </row>
    <row r="141" spans="2:3" hidden="1" x14ac:dyDescent="0.3">
      <c r="B141" s="221"/>
      <c r="C141" s="221"/>
    </row>
    <row r="142" spans="2:3" hidden="1" x14ac:dyDescent="0.3">
      <c r="B142" s="221"/>
      <c r="C142" s="221"/>
    </row>
    <row r="143" spans="2:3" hidden="1" x14ac:dyDescent="0.3">
      <c r="B143" s="221"/>
      <c r="C143" s="221"/>
    </row>
    <row r="144" spans="2:3" hidden="1" x14ac:dyDescent="0.3">
      <c r="B144" s="221"/>
      <c r="C144" s="221"/>
    </row>
    <row r="145" spans="2:3" hidden="1" x14ac:dyDescent="0.3">
      <c r="B145" s="221"/>
      <c r="C145" s="221"/>
    </row>
    <row r="146" spans="2:3" hidden="1" x14ac:dyDescent="0.3">
      <c r="B146" s="221"/>
      <c r="C146" s="221"/>
    </row>
    <row r="147" spans="2:3" hidden="1" x14ac:dyDescent="0.3">
      <c r="B147" s="221"/>
      <c r="C147" s="221"/>
    </row>
    <row r="148" spans="2:3" hidden="1" x14ac:dyDescent="0.3">
      <c r="B148" s="221"/>
      <c r="C148" s="221"/>
    </row>
    <row r="149" spans="2:3" hidden="1" x14ac:dyDescent="0.3">
      <c r="B149" s="221"/>
      <c r="C149" s="221"/>
    </row>
    <row r="150" spans="2:3" hidden="1" x14ac:dyDescent="0.3">
      <c r="B150" s="221"/>
      <c r="C150" s="221"/>
    </row>
    <row r="151" spans="2:3" hidden="1" x14ac:dyDescent="0.3">
      <c r="B151" s="221"/>
      <c r="C151" s="221"/>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31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M2" s="1" t="s">
        <v>385</v>
      </c>
      <c r="N2" s="3"/>
      <c r="O2" s="1"/>
      <c r="V2" s="8">
        <f>'4061'!B2</f>
        <v>50</v>
      </c>
      <c r="W2" s="380" t="s">
        <v>4</v>
      </c>
      <c r="X2" s="381"/>
      <c r="Y2" s="382"/>
      <c r="Z2" s="382"/>
      <c r="AA2" s="382"/>
      <c r="AB2" s="382"/>
      <c r="AC2" s="382"/>
      <c r="AD2" s="9"/>
    </row>
    <row r="3" spans="1:30" ht="20.399999999999999" x14ac:dyDescent="0.35">
      <c r="B3" s="10" t="s">
        <v>470</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'4061'!G7</f>
        <v>4031.77</v>
      </c>
      <c r="Y7" s="396"/>
      <c r="Z7" s="397" t="s">
        <v>12</v>
      </c>
      <c r="AA7" s="397"/>
      <c r="AB7" s="398">
        <f>+K7</f>
        <v>1.0289999999999999</v>
      </c>
      <c r="AC7" s="398"/>
      <c r="AD7" s="9"/>
    </row>
    <row r="8" spans="1:30" ht="51" customHeight="1" x14ac:dyDescent="0.3">
      <c r="B8" s="28" t="s">
        <v>13</v>
      </c>
      <c r="C8" s="28"/>
      <c r="D8" s="359" t="s">
        <v>514</v>
      </c>
      <c r="E8" s="30"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c r="F10" s="48"/>
      <c r="G10" s="49">
        <f>IF(E10=0,D10*2,D10+E10)</f>
        <v>0</v>
      </c>
      <c r="H10" s="50"/>
      <c r="I10" s="51">
        <v>1.1259999999999999</v>
      </c>
      <c r="J10" s="51"/>
      <c r="K10" s="52">
        <f>ROUND(G10*I10,4)</f>
        <v>0</v>
      </c>
      <c r="L10" s="53">
        <f>ROUND(ROUND(K10*$G$7,4)*($K$7),0)</f>
        <v>0</v>
      </c>
      <c r="N10" s="54">
        <v>5101</v>
      </c>
      <c r="O10" s="55">
        <v>101</v>
      </c>
      <c r="Q10" s="354"/>
      <c r="V10" s="391" t="s">
        <v>27</v>
      </c>
      <c r="W10" s="391"/>
      <c r="X10" s="392">
        <f>IF('4061'!K$84=1,'4061'!G10,0)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354"/>
      <c r="V11" s="402" t="s">
        <v>29</v>
      </c>
      <c r="W11" s="402"/>
      <c r="X11" s="392">
        <f>IF('4061'!K$84=1,'4061'!G11,0)</f>
        <v>0</v>
      </c>
      <c r="Y11" s="392"/>
      <c r="Z11" s="403">
        <v>1</v>
      </c>
      <c r="AA11" s="403"/>
      <c r="AB11" s="57">
        <f t="shared" si="0"/>
        <v>0</v>
      </c>
      <c r="AC11" s="58">
        <f t="shared" si="1"/>
        <v>0</v>
      </c>
      <c r="AD11" s="9"/>
    </row>
    <row r="12" spans="1:30" x14ac:dyDescent="0.3">
      <c r="A12" s="1" t="s">
        <v>31</v>
      </c>
      <c r="B12" s="14" t="s">
        <v>32</v>
      </c>
      <c r="C12" s="14"/>
      <c r="D12" s="14">
        <v>60</v>
      </c>
      <c r="E12" s="14"/>
      <c r="F12" s="14"/>
      <c r="G12" s="49">
        <f t="shared" si="2"/>
        <v>120</v>
      </c>
      <c r="H12" s="50"/>
      <c r="I12" s="59">
        <v>1</v>
      </c>
      <c r="J12" s="59"/>
      <c r="K12" s="52">
        <f t="shared" si="3"/>
        <v>120</v>
      </c>
      <c r="L12" s="53">
        <f t="shared" si="4"/>
        <v>497843</v>
      </c>
      <c r="N12" s="54">
        <v>5102</v>
      </c>
      <c r="O12" s="55">
        <v>102</v>
      </c>
      <c r="Q12" s="354"/>
      <c r="V12" s="402" t="s">
        <v>32</v>
      </c>
      <c r="W12" s="402"/>
      <c r="X12" s="392">
        <f>IF('4061'!K$84=1,'4061'!G12,0)</f>
        <v>0</v>
      </c>
      <c r="Y12" s="392"/>
      <c r="Z12" s="403">
        <v>1</v>
      </c>
      <c r="AA12" s="403"/>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354"/>
      <c r="V13" s="402" t="s">
        <v>34</v>
      </c>
      <c r="W13" s="402"/>
      <c r="X13" s="392">
        <f>IF('4061'!K$84=1,'4061'!G13,0)</f>
        <v>0</v>
      </c>
      <c r="Y13" s="392"/>
      <c r="Z13" s="403">
        <v>1</v>
      </c>
      <c r="AA13" s="403"/>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354"/>
      <c r="V14" s="402" t="s">
        <v>37</v>
      </c>
      <c r="W14" s="402"/>
      <c r="X14" s="392">
        <f>IF('4061'!K$84=1,'4061'!G14,0)</f>
        <v>0</v>
      </c>
      <c r="Y14" s="392"/>
      <c r="Z14" s="403">
        <v>1</v>
      </c>
      <c r="AA14" s="403"/>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354"/>
      <c r="V15" s="402" t="s">
        <v>39</v>
      </c>
      <c r="W15" s="402"/>
      <c r="X15" s="392">
        <f>IF('4061'!K$84=1,'4061'!G15,0)</f>
        <v>0</v>
      </c>
      <c r="Y15" s="392"/>
      <c r="Z15" s="403">
        <v>1</v>
      </c>
      <c r="AA15" s="403"/>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354"/>
      <c r="V16" s="402" t="s">
        <v>42</v>
      </c>
      <c r="W16" s="402"/>
      <c r="X16" s="392">
        <f>IF('4061'!K$84=1,'4061'!G16,0)</f>
        <v>0</v>
      </c>
      <c r="Y16" s="392"/>
      <c r="Z16" s="403">
        <v>1</v>
      </c>
      <c r="AA16" s="403"/>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354">
        <v>254</v>
      </c>
      <c r="Q17" s="354"/>
      <c r="V17" s="402" t="s">
        <v>44</v>
      </c>
      <c r="W17" s="402"/>
      <c r="X17" s="392">
        <f>IF('4061'!K$84=1,'4061'!G17,0)</f>
        <v>0</v>
      </c>
      <c r="Y17" s="392"/>
      <c r="Z17" s="403">
        <v>1</v>
      </c>
      <c r="AA17" s="403"/>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354">
        <v>254</v>
      </c>
      <c r="Q18" s="354"/>
      <c r="V18" s="402" t="s">
        <v>46</v>
      </c>
      <c r="W18" s="402"/>
      <c r="X18" s="392">
        <f>IF('4061'!K$84=1,'4061'!G18,0)</f>
        <v>0</v>
      </c>
      <c r="Y18" s="392"/>
      <c r="Z18" s="403">
        <v>1</v>
      </c>
      <c r="AA18" s="403"/>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354"/>
      <c r="V19" s="402" t="s">
        <v>48</v>
      </c>
      <c r="W19" s="402"/>
      <c r="X19" s="392">
        <f>IF('4061'!K$84=1,'4061'!G19,0)</f>
        <v>0</v>
      </c>
      <c r="Y19" s="392"/>
      <c r="Z19" s="403">
        <v>1</v>
      </c>
      <c r="AA19" s="403"/>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354">
        <v>255</v>
      </c>
      <c r="Q20" s="354"/>
      <c r="V20" s="402" t="s">
        <v>50</v>
      </c>
      <c r="W20" s="402"/>
      <c r="X20" s="392">
        <f>IF('4061'!K$84=1,'4061'!G20,0)</f>
        <v>0</v>
      </c>
      <c r="Y20" s="392"/>
      <c r="Z20" s="403">
        <v>1</v>
      </c>
      <c r="AA20" s="403"/>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354">
        <v>255</v>
      </c>
      <c r="Q21" s="354"/>
      <c r="V21" s="402" t="s">
        <v>52</v>
      </c>
      <c r="W21" s="402"/>
      <c r="X21" s="392">
        <f>IF('4061'!K$84=1,'4061'!G21,0)</f>
        <v>0</v>
      </c>
      <c r="Y21" s="392"/>
      <c r="Z21" s="403">
        <v>1</v>
      </c>
      <c r="AA21" s="403"/>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354"/>
      <c r="V22" s="402" t="s">
        <v>54</v>
      </c>
      <c r="W22" s="402"/>
      <c r="X22" s="392">
        <f>IF('4061'!K$84=1,'4061'!G22,0)</f>
        <v>0</v>
      </c>
      <c r="Y22" s="392"/>
      <c r="Z22" s="403">
        <v>1</v>
      </c>
      <c r="AA22" s="403"/>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354"/>
      <c r="V23" s="402" t="s">
        <v>56</v>
      </c>
      <c r="W23" s="402"/>
      <c r="X23" s="392">
        <f>IF('4061'!K$84=1,'4061'!G23,0)</f>
        <v>0</v>
      </c>
      <c r="Y23" s="392"/>
      <c r="Z23" s="403">
        <v>1</v>
      </c>
      <c r="AA23" s="403"/>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354"/>
      <c r="V24" s="402" t="s">
        <v>58</v>
      </c>
      <c r="W24" s="402"/>
      <c r="X24" s="392">
        <f>IF('4061'!K$84=1,'4061'!G24,0)</f>
        <v>0</v>
      </c>
      <c r="Y24" s="392"/>
      <c r="Z24" s="403">
        <v>1</v>
      </c>
      <c r="AA24" s="403"/>
      <c r="AB24" s="57">
        <f t="shared" si="0"/>
        <v>0</v>
      </c>
      <c r="AC24" s="58">
        <f t="shared" si="1"/>
        <v>0</v>
      </c>
      <c r="AD24" s="9"/>
    </row>
    <row r="25" spans="1:30" ht="16.8" thickBot="1" x14ac:dyDescent="0.4">
      <c r="A25" s="1" t="s">
        <v>59</v>
      </c>
      <c r="B25" s="14" t="s">
        <v>60</v>
      </c>
      <c r="C25" s="14"/>
      <c r="D25" s="14">
        <v>0</v>
      </c>
      <c r="E25" s="14"/>
      <c r="F25" s="14"/>
      <c r="G25" s="248">
        <f t="shared" si="2"/>
        <v>0</v>
      </c>
      <c r="H25" s="50"/>
      <c r="I25" s="59">
        <v>1.004</v>
      </c>
      <c r="J25" s="59"/>
      <c r="K25" s="52">
        <f t="shared" si="3"/>
        <v>0</v>
      </c>
      <c r="L25" s="53">
        <f t="shared" si="4"/>
        <v>0</v>
      </c>
      <c r="N25" s="54">
        <v>5310</v>
      </c>
      <c r="O25" s="55">
        <v>300</v>
      </c>
      <c r="Q25" s="354"/>
      <c r="V25" s="402" t="s">
        <v>60</v>
      </c>
      <c r="W25" s="402"/>
      <c r="X25" s="392">
        <f>IF('4061'!K$84=1,'4061'!G25,0)</f>
        <v>0</v>
      </c>
      <c r="Y25" s="392"/>
      <c r="Z25" s="403">
        <v>1</v>
      </c>
      <c r="AA25" s="403"/>
      <c r="AB25" s="57">
        <f t="shared" si="0"/>
        <v>0</v>
      </c>
      <c r="AC25" s="58">
        <f t="shared" si="1"/>
        <v>0</v>
      </c>
      <c r="AD25" s="9"/>
    </row>
    <row r="26" spans="1:30" ht="20.25" customHeight="1" thickBot="1" x14ac:dyDescent="0.35">
      <c r="B26" s="63" t="s">
        <v>61</v>
      </c>
      <c r="C26" s="63"/>
      <c r="D26" s="64">
        <f t="shared" ref="D26:E26" si="5">SUM(D10:D25)</f>
        <v>60</v>
      </c>
      <c r="E26" s="64">
        <f t="shared" si="5"/>
        <v>0</v>
      </c>
      <c r="F26" s="64"/>
      <c r="G26" s="64">
        <f>SUM(G10:G25)</f>
        <v>120</v>
      </c>
      <c r="H26" s="65"/>
      <c r="I26" s="65"/>
      <c r="J26" s="66"/>
      <c r="K26" s="67">
        <f>SUM(K10:K25)</f>
        <v>120</v>
      </c>
      <c r="L26" s="68">
        <f>SUM(L10:L25)</f>
        <v>497843</v>
      </c>
      <c r="N26" s="354"/>
      <c r="O26" s="69"/>
      <c r="P26" s="354"/>
      <c r="Q26" s="354"/>
      <c r="V26" s="404" t="s">
        <v>61</v>
      </c>
      <c r="W26" s="404"/>
      <c r="X26" s="405">
        <f>SUM(X10:X25)</f>
        <v>0</v>
      </c>
      <c r="Y26" s="405"/>
      <c r="Z26" s="406"/>
      <c r="AA26" s="407"/>
      <c r="AB26" s="70">
        <f>SUM(AB10:AB25)</f>
        <v>0</v>
      </c>
      <c r="AC26" s="71">
        <f>SUM(AC10:AC25)</f>
        <v>0</v>
      </c>
      <c r="AD26" s="9"/>
    </row>
    <row r="27" spans="1:30" ht="51.75" customHeight="1" x14ac:dyDescent="0.3">
      <c r="B27" s="63" t="s">
        <v>62</v>
      </c>
      <c r="C27" s="63"/>
      <c r="D27" s="371" t="s">
        <v>514</v>
      </c>
      <c r="E27" s="371" t="s">
        <v>515</v>
      </c>
      <c r="F27" s="30"/>
      <c r="G27" s="72" t="s">
        <v>63</v>
      </c>
      <c r="H27" s="73"/>
      <c r="I27" s="74" t="s">
        <v>64</v>
      </c>
      <c r="J27" s="74" t="s">
        <v>65</v>
      </c>
      <c r="K27" s="75" t="s">
        <v>66</v>
      </c>
      <c r="N27" s="354"/>
      <c r="O27" s="69"/>
      <c r="P27" s="354"/>
      <c r="Q27" s="354"/>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c r="F28" s="79"/>
      <c r="G28" s="49">
        <f>IF(E28=0,D28*2,D28+E28)</f>
        <v>0</v>
      </c>
      <c r="H28" s="80"/>
      <c r="I28" s="81" t="s">
        <v>69</v>
      </c>
      <c r="J28" s="54">
        <v>251</v>
      </c>
      <c r="K28" s="82">
        <v>1047</v>
      </c>
      <c r="L28" s="83">
        <f>ROUND(G28*K28,0)</f>
        <v>0</v>
      </c>
      <c r="N28" s="317">
        <v>5101</v>
      </c>
      <c r="O28" s="354">
        <v>251</v>
      </c>
      <c r="P28" s="84"/>
      <c r="Q28" s="85"/>
      <c r="V28" s="416" t="s">
        <v>68</v>
      </c>
      <c r="W28" s="416"/>
      <c r="X28" s="417"/>
      <c r="Y28" s="417"/>
      <c r="Z28" s="86" t="s">
        <v>69</v>
      </c>
      <c r="AA28" s="323">
        <v>251</v>
      </c>
      <c r="AB28" s="88">
        <f>+K28</f>
        <v>1047</v>
      </c>
      <c r="AC28" s="89">
        <f t="shared" ref="AC28:AC36" si="6">ROUND(X28*AB28,0)</f>
        <v>0</v>
      </c>
      <c r="AD28" s="9"/>
    </row>
    <row r="29" spans="1:30" x14ac:dyDescent="0.3">
      <c r="A29" s="1" t="s">
        <v>70</v>
      </c>
      <c r="B29" s="412"/>
      <c r="C29" s="413"/>
      <c r="D29" s="14">
        <v>0</v>
      </c>
      <c r="E29" s="14"/>
      <c r="F29" s="90"/>
      <c r="G29" s="49">
        <f t="shared" ref="G29:G36" si="7">IF(E29=0,D29*2,D29+E29)</f>
        <v>0</v>
      </c>
      <c r="H29" s="80"/>
      <c r="I29" s="54" t="s">
        <v>69</v>
      </c>
      <c r="J29" s="54">
        <v>252</v>
      </c>
      <c r="K29" s="82">
        <v>3380</v>
      </c>
      <c r="L29" s="83">
        <f t="shared" ref="L29:L36" si="8">ROUND(G29*K29,0)</f>
        <v>0</v>
      </c>
      <c r="N29" s="317">
        <v>5101</v>
      </c>
      <c r="O29" s="354">
        <v>252</v>
      </c>
      <c r="P29" s="84"/>
      <c r="Q29" s="85"/>
      <c r="V29" s="416"/>
      <c r="W29" s="416"/>
      <c r="X29" s="417"/>
      <c r="Y29" s="417"/>
      <c r="Z29" s="323" t="s">
        <v>69</v>
      </c>
      <c r="AA29" s="323">
        <v>252</v>
      </c>
      <c r="AB29" s="88">
        <f t="shared" ref="AB29:AB36" si="9">+K29</f>
        <v>3380</v>
      </c>
      <c r="AC29" s="89">
        <f t="shared" si="6"/>
        <v>0</v>
      </c>
      <c r="AD29" s="9"/>
    </row>
    <row r="30" spans="1:30" x14ac:dyDescent="0.3">
      <c r="A30" s="1" t="s">
        <v>71</v>
      </c>
      <c r="B30" s="412"/>
      <c r="C30" s="413"/>
      <c r="D30" s="14">
        <v>0</v>
      </c>
      <c r="E30" s="14"/>
      <c r="F30" s="90"/>
      <c r="G30" s="49">
        <f t="shared" si="7"/>
        <v>0</v>
      </c>
      <c r="H30" s="80"/>
      <c r="I30" s="54" t="s">
        <v>69</v>
      </c>
      <c r="J30" s="54">
        <v>253</v>
      </c>
      <c r="K30" s="82">
        <v>6896</v>
      </c>
      <c r="L30" s="83">
        <f t="shared" si="8"/>
        <v>0</v>
      </c>
      <c r="N30" s="317">
        <v>5101</v>
      </c>
      <c r="O30" s="354">
        <v>253</v>
      </c>
      <c r="P30" s="84"/>
      <c r="Q30" s="69"/>
      <c r="V30" s="416"/>
      <c r="W30" s="416"/>
      <c r="X30" s="417"/>
      <c r="Y30" s="417"/>
      <c r="Z30" s="323" t="s">
        <v>69</v>
      </c>
      <c r="AA30" s="323">
        <v>253</v>
      </c>
      <c r="AB30" s="88">
        <f t="shared" si="9"/>
        <v>6896</v>
      </c>
      <c r="AC30" s="89">
        <f t="shared" si="6"/>
        <v>0</v>
      </c>
      <c r="AD30" s="9"/>
    </row>
    <row r="31" spans="1:30" x14ac:dyDescent="0.3">
      <c r="A31" s="1" t="s">
        <v>72</v>
      </c>
      <c r="B31" s="412"/>
      <c r="C31" s="413"/>
      <c r="D31" s="14">
        <v>0</v>
      </c>
      <c r="E31" s="14"/>
      <c r="F31" s="90"/>
      <c r="G31" s="49">
        <f t="shared" si="7"/>
        <v>0</v>
      </c>
      <c r="H31" s="80"/>
      <c r="I31" s="91" t="s">
        <v>73</v>
      </c>
      <c r="J31" s="54">
        <v>251</v>
      </c>
      <c r="K31" s="82">
        <v>1173</v>
      </c>
      <c r="L31" s="83">
        <f t="shared" si="8"/>
        <v>0</v>
      </c>
      <c r="N31" s="317">
        <v>5102</v>
      </c>
      <c r="O31" s="354">
        <v>251</v>
      </c>
      <c r="P31" s="84"/>
      <c r="Q31" s="69"/>
      <c r="V31" s="416"/>
      <c r="W31" s="416"/>
      <c r="X31" s="417"/>
      <c r="Y31" s="417"/>
      <c r="Z31" s="92" t="s">
        <v>73</v>
      </c>
      <c r="AA31" s="323">
        <v>251</v>
      </c>
      <c r="AB31" s="88">
        <f t="shared" si="9"/>
        <v>1173</v>
      </c>
      <c r="AC31" s="89">
        <f t="shared" si="6"/>
        <v>0</v>
      </c>
      <c r="AD31" s="9"/>
    </row>
    <row r="32" spans="1:30" x14ac:dyDescent="0.3">
      <c r="A32" s="1" t="s">
        <v>74</v>
      </c>
      <c r="B32" s="412"/>
      <c r="C32" s="413"/>
      <c r="D32" s="14">
        <v>0</v>
      </c>
      <c r="E32" s="14"/>
      <c r="F32" s="90"/>
      <c r="G32" s="49">
        <f t="shared" si="7"/>
        <v>0</v>
      </c>
      <c r="H32" s="80"/>
      <c r="I32" s="91" t="s">
        <v>73</v>
      </c>
      <c r="J32" s="54">
        <v>252</v>
      </c>
      <c r="K32" s="82">
        <v>3506</v>
      </c>
      <c r="L32" s="83">
        <f t="shared" si="8"/>
        <v>0</v>
      </c>
      <c r="N32" s="317">
        <v>5102</v>
      </c>
      <c r="O32" s="354">
        <v>252</v>
      </c>
      <c r="P32" s="84"/>
      <c r="Q32" s="354"/>
      <c r="V32" s="416"/>
      <c r="W32" s="416"/>
      <c r="X32" s="417"/>
      <c r="Y32" s="417"/>
      <c r="Z32" s="92" t="s">
        <v>73</v>
      </c>
      <c r="AA32" s="323">
        <v>252</v>
      </c>
      <c r="AB32" s="88">
        <f t="shared" si="9"/>
        <v>3506</v>
      </c>
      <c r="AC32" s="89">
        <f t="shared" si="6"/>
        <v>0</v>
      </c>
      <c r="AD32" s="9"/>
    </row>
    <row r="33" spans="1:30" x14ac:dyDescent="0.3">
      <c r="A33" s="1" t="s">
        <v>75</v>
      </c>
      <c r="B33" s="412"/>
      <c r="C33" s="413"/>
      <c r="D33" s="14">
        <v>0</v>
      </c>
      <c r="E33" s="14"/>
      <c r="F33" s="90"/>
      <c r="G33" s="49">
        <f t="shared" si="7"/>
        <v>0</v>
      </c>
      <c r="H33" s="80"/>
      <c r="I33" s="91" t="s">
        <v>73</v>
      </c>
      <c r="J33" s="54">
        <v>253</v>
      </c>
      <c r="K33" s="82">
        <v>7023</v>
      </c>
      <c r="L33" s="83">
        <f t="shared" si="8"/>
        <v>0</v>
      </c>
      <c r="N33" s="317">
        <v>5102</v>
      </c>
      <c r="O33" s="354">
        <v>253</v>
      </c>
      <c r="P33" s="84"/>
      <c r="Q33" s="85"/>
      <c r="V33" s="416"/>
      <c r="W33" s="416"/>
      <c r="X33" s="417"/>
      <c r="Y33" s="417"/>
      <c r="Z33" s="92" t="s">
        <v>73</v>
      </c>
      <c r="AA33" s="323">
        <v>253</v>
      </c>
      <c r="AB33" s="88">
        <f t="shared" si="9"/>
        <v>7023</v>
      </c>
      <c r="AC33" s="89">
        <f t="shared" si="6"/>
        <v>0</v>
      </c>
      <c r="AD33" s="9"/>
    </row>
    <row r="34" spans="1:30" x14ac:dyDescent="0.3">
      <c r="A34" s="1" t="s">
        <v>76</v>
      </c>
      <c r="B34" s="412"/>
      <c r="C34" s="413"/>
      <c r="D34" s="14">
        <v>0</v>
      </c>
      <c r="E34" s="14"/>
      <c r="F34" s="90"/>
      <c r="G34" s="49">
        <f t="shared" si="7"/>
        <v>0</v>
      </c>
      <c r="H34" s="80"/>
      <c r="I34" s="91" t="s">
        <v>77</v>
      </c>
      <c r="J34" s="54">
        <v>251</v>
      </c>
      <c r="K34" s="82">
        <v>835</v>
      </c>
      <c r="L34" s="83">
        <f t="shared" si="8"/>
        <v>0</v>
      </c>
      <c r="N34" s="317">
        <v>5103</v>
      </c>
      <c r="O34" s="354">
        <v>251</v>
      </c>
      <c r="P34" s="84"/>
      <c r="Q34" s="85"/>
      <c r="V34" s="416"/>
      <c r="W34" s="416"/>
      <c r="X34" s="417"/>
      <c r="Y34" s="417"/>
      <c r="Z34" s="92" t="s">
        <v>77</v>
      </c>
      <c r="AA34" s="323">
        <v>251</v>
      </c>
      <c r="AB34" s="88">
        <f t="shared" si="9"/>
        <v>835</v>
      </c>
      <c r="AC34" s="89">
        <f t="shared" si="6"/>
        <v>0</v>
      </c>
      <c r="AD34" s="9"/>
    </row>
    <row r="35" spans="1:30" x14ac:dyDescent="0.3">
      <c r="A35" s="1" t="s">
        <v>78</v>
      </c>
      <c r="B35" s="412"/>
      <c r="C35" s="413"/>
      <c r="D35" s="14">
        <v>0</v>
      </c>
      <c r="E35" s="14"/>
      <c r="F35" s="90"/>
      <c r="G35" s="49">
        <f t="shared" si="7"/>
        <v>0</v>
      </c>
      <c r="H35" s="80"/>
      <c r="I35" s="91" t="s">
        <v>77</v>
      </c>
      <c r="J35" s="54">
        <v>252</v>
      </c>
      <c r="K35" s="82">
        <v>3168</v>
      </c>
      <c r="L35" s="83">
        <f t="shared" si="8"/>
        <v>0</v>
      </c>
      <c r="N35" s="317">
        <v>5103</v>
      </c>
      <c r="O35" s="354">
        <v>252</v>
      </c>
      <c r="P35" s="84"/>
      <c r="Q35" s="93"/>
      <c r="V35" s="416"/>
      <c r="W35" s="416"/>
      <c r="X35" s="417"/>
      <c r="Y35" s="417"/>
      <c r="Z35" s="92" t="s">
        <v>77</v>
      </c>
      <c r="AA35" s="323">
        <v>252</v>
      </c>
      <c r="AB35" s="88">
        <f t="shared" si="9"/>
        <v>3168</v>
      </c>
      <c r="AC35" s="89">
        <f t="shared" si="6"/>
        <v>0</v>
      </c>
      <c r="AD35" s="9"/>
    </row>
    <row r="36" spans="1:30" ht="16.2" thickBot="1" x14ac:dyDescent="0.35">
      <c r="A36" s="1" t="s">
        <v>79</v>
      </c>
      <c r="B36" s="414"/>
      <c r="C36" s="415"/>
      <c r="D36" s="14">
        <v>0</v>
      </c>
      <c r="E36" s="14"/>
      <c r="F36" s="90"/>
      <c r="G36" s="49">
        <f t="shared" si="7"/>
        <v>0</v>
      </c>
      <c r="H36" s="80"/>
      <c r="I36" s="91" t="s">
        <v>77</v>
      </c>
      <c r="J36" s="54">
        <v>253</v>
      </c>
      <c r="K36" s="82">
        <v>6685</v>
      </c>
      <c r="L36" s="94">
        <f t="shared" si="8"/>
        <v>0</v>
      </c>
      <c r="N36" s="317">
        <v>5103</v>
      </c>
      <c r="O36" s="354">
        <v>253</v>
      </c>
      <c r="P36" s="84"/>
      <c r="Q36" s="95"/>
      <c r="V36" s="416"/>
      <c r="W36" s="416"/>
      <c r="X36" s="424"/>
      <c r="Y36" s="424"/>
      <c r="Z36" s="92" t="s">
        <v>77</v>
      </c>
      <c r="AA36" s="323">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354"/>
      <c r="O37" s="69"/>
      <c r="P37" s="354"/>
      <c r="Q37" s="354"/>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354"/>
      <c r="O38" s="69"/>
      <c r="P38" s="354"/>
      <c r="Q38" s="354"/>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22920</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321"/>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520763</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318"/>
    </row>
    <row r="46" spans="1:30" ht="18.75" customHeight="1" x14ac:dyDescent="0.3">
      <c r="B46" s="1"/>
      <c r="C46" s="115" t="s">
        <v>91</v>
      </c>
      <c r="D46" s="115"/>
      <c r="E46" s="115"/>
      <c r="F46" s="115"/>
      <c r="G46" s="115" t="s">
        <v>92</v>
      </c>
      <c r="H46" s="116"/>
      <c r="I46" s="117" t="s">
        <v>93</v>
      </c>
      <c r="J46" s="118"/>
      <c r="K46" s="118"/>
      <c r="L46" s="118"/>
      <c r="M46" s="119"/>
      <c r="O46" s="1"/>
      <c r="V46" s="9"/>
      <c r="W46" s="3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321"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120</v>
      </c>
      <c r="D48" s="123"/>
      <c r="E48" s="123"/>
      <c r="F48" s="123"/>
      <c r="G48" s="124">
        <f>K7</f>
        <v>1.0289999999999999</v>
      </c>
      <c r="H48" s="124"/>
      <c r="I48" s="125">
        <v>903.8</v>
      </c>
      <c r="J48" s="126" t="s">
        <v>96</v>
      </c>
      <c r="K48" s="127">
        <f>ROUND(C48*G48*I48,0)</f>
        <v>111601</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120</v>
      </c>
      <c r="D50" s="146"/>
      <c r="E50" s="147"/>
      <c r="F50" s="147"/>
      <c r="G50" s="148" t="s">
        <v>98</v>
      </c>
      <c r="H50" s="148"/>
      <c r="I50" s="148"/>
      <c r="J50" s="148"/>
      <c r="K50" s="148"/>
      <c r="L50" s="53">
        <f>IF(B2=75,0,K49+K48+K47)</f>
        <v>111601</v>
      </c>
      <c r="N50" s="3"/>
      <c r="O50" s="1"/>
      <c r="V50" s="31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120</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6.0599999999999998E-4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120</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6.6200000000000005E-4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322"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6.0599999999999998E-4</v>
      </c>
      <c r="L59" s="53">
        <f>ROUND(I59*K59,0)</f>
        <v>2564</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318"/>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322"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6.0599999999999998E-4</v>
      </c>
      <c r="L67" s="53">
        <f>ROUND(I67*K67,0)</f>
        <v>62841</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322"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6.6200000000000005E-4</v>
      </c>
      <c r="L69" s="53">
        <f>ROUND(I69*K69,0)</f>
        <v>0</v>
      </c>
      <c r="O69" s="1"/>
      <c r="V69" s="430" t="s">
        <v>121</v>
      </c>
      <c r="W69" s="430"/>
      <c r="X69" s="430"/>
      <c r="Y69" s="447">
        <f>+I70</f>
        <v>0</v>
      </c>
      <c r="Z69" s="447"/>
      <c r="AA69" s="322"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6.0599999999999998E-4</v>
      </c>
      <c r="L70" s="53">
        <f>ROUND(I70*K70,0)</f>
        <v>0</v>
      </c>
      <c r="O70" s="1"/>
      <c r="V70" s="430" t="s">
        <v>122</v>
      </c>
      <c r="W70" s="430"/>
      <c r="X70" s="430"/>
      <c r="Y70" s="444">
        <f>+I71</f>
        <v>1865769</v>
      </c>
      <c r="Z70" s="444"/>
      <c r="AA70" s="322"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6.0599999999999998E-4</v>
      </c>
      <c r="L71" s="53">
        <f>ROUND(I71*K71,0)</f>
        <v>1131</v>
      </c>
      <c r="O71" s="1"/>
      <c r="V71" s="430" t="s">
        <v>123</v>
      </c>
      <c r="W71" s="430"/>
      <c r="X71" s="430"/>
      <c r="Y71" s="444">
        <f>+I72</f>
        <v>13963927</v>
      </c>
      <c r="Z71" s="444"/>
      <c r="AA71" s="322"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6.6200000000000005E-4</v>
      </c>
      <c r="L72" s="53">
        <f>ROUND(I72*K72,0)</f>
        <v>9244</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25</v>
      </c>
      <c r="I74" s="18"/>
      <c r="J74" s="163"/>
      <c r="K74" s="18"/>
      <c r="L74" s="109"/>
      <c r="O74" s="1"/>
      <c r="V74" s="445" t="s">
        <v>128</v>
      </c>
      <c r="W74" s="445"/>
      <c r="X74" s="170" t="s">
        <v>129</v>
      </c>
      <c r="Y74" s="171"/>
      <c r="Z74" s="172">
        <f>+I75</f>
        <v>0</v>
      </c>
      <c r="AA74" s="324"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45" t="s">
        <v>128</v>
      </c>
      <c r="W75" s="445"/>
      <c r="X75" s="170" t="s">
        <v>132</v>
      </c>
      <c r="Y75" s="182"/>
      <c r="Z75" s="183">
        <f>+I76</f>
        <v>0</v>
      </c>
      <c r="AA75" s="324"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430" t="str">
        <f>+B77</f>
        <v>14.  Digital Classrooms Allocation (UFTE share)</v>
      </c>
      <c r="W76" s="430"/>
      <c r="X76" s="430"/>
      <c r="Y76" s="440">
        <f>+I77</f>
        <v>1716988</v>
      </c>
      <c r="Z76" s="440"/>
      <c r="AA76" s="324"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6.6200000000000005E-4</v>
      </c>
      <c r="L77" s="53">
        <f>ROUND(I77*K77,0)</f>
        <v>1137</v>
      </c>
      <c r="O77" s="1"/>
      <c r="V77" s="430" t="str">
        <f>+B78</f>
        <v>15.  Florida Teachers Classroom Supply Assistance Program</v>
      </c>
      <c r="W77" s="430"/>
      <c r="X77" s="430"/>
      <c r="Y77" s="440">
        <f>+I78</f>
        <v>0</v>
      </c>
      <c r="Z77" s="440"/>
      <c r="AA77" s="324"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6.0599999999999998E-4</v>
      </c>
      <c r="L78" s="53">
        <f>ROUND(I78*K78,0)</f>
        <v>0</v>
      </c>
      <c r="O78" s="1"/>
      <c r="V78" s="430" t="str">
        <f t="shared" ref="V78:V79"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f t="shared" si="11"/>
        <v>0</v>
      </c>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709281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'4061'!AC81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317" t="s">
        <v>148</v>
      </c>
      <c r="C86" s="14"/>
      <c r="D86" s="14"/>
      <c r="E86" s="14"/>
      <c r="F86" s="14"/>
      <c r="G86" s="14"/>
      <c r="H86" s="14"/>
      <c r="I86" s="14"/>
      <c r="J86" s="206" t="s">
        <v>149</v>
      </c>
      <c r="K86" s="207">
        <f>IF(K84=1,L84,L82)</f>
        <v>709281</v>
      </c>
      <c r="L86" s="83">
        <f>IF(G26=0,0,IF(G26&gt;250,-(((250/G26)*K86)*IF(M86="H",0.02,0.05)),IF(M86="H",-0.02*K86,-0.05*K86)))</f>
        <v>-35464.050000000003</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317" t="s">
        <v>151</v>
      </c>
      <c r="C87" s="14"/>
      <c r="D87" s="14"/>
      <c r="E87" s="14"/>
      <c r="F87" s="14"/>
      <c r="G87" s="14"/>
      <c r="H87" s="14"/>
      <c r="I87" s="14"/>
      <c r="J87" s="14"/>
      <c r="K87" s="208"/>
      <c r="L87" s="202">
        <f>L82+L86</f>
        <v>673816.95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355"/>
    </row>
    <row r="89" spans="1:30" ht="18.75" customHeight="1" x14ac:dyDescent="0.3">
      <c r="A89" s="1" t="s">
        <v>152</v>
      </c>
      <c r="B89" s="14" t="s">
        <v>153</v>
      </c>
      <c r="C89" s="14"/>
      <c r="D89" s="14"/>
      <c r="E89" s="14"/>
      <c r="F89" s="14"/>
      <c r="G89" s="14"/>
      <c r="H89" s="14"/>
      <c r="I89" s="14"/>
      <c r="J89" s="14"/>
      <c r="K89" s="208"/>
      <c r="L89" s="83">
        <v>-56151</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617665.94999999995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56151.45</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386</v>
      </c>
      <c r="C109" s="221" t="s">
        <v>178</v>
      </c>
      <c r="V109" s="220"/>
    </row>
    <row r="110" spans="2:30" hidden="1" x14ac:dyDescent="0.3">
      <c r="B110" s="227"/>
      <c r="C110" s="221"/>
      <c r="V110" s="220"/>
    </row>
    <row r="111" spans="2:30" hidden="1" x14ac:dyDescent="0.3">
      <c r="B111" s="225" t="s">
        <v>387</v>
      </c>
      <c r="C111" s="221" t="s">
        <v>180</v>
      </c>
      <c r="V111" s="220"/>
    </row>
    <row r="112" spans="2:30" hidden="1" x14ac:dyDescent="0.3">
      <c r="B112" s="225" t="s">
        <v>387</v>
      </c>
      <c r="C112" s="221" t="s">
        <v>181</v>
      </c>
    </row>
    <row r="113" spans="2:3" hidden="1" x14ac:dyDescent="0.3">
      <c r="B113" s="225" t="s">
        <v>285</v>
      </c>
      <c r="C113" s="221" t="s">
        <v>183</v>
      </c>
    </row>
    <row r="114" spans="2:3" hidden="1" x14ac:dyDescent="0.3">
      <c r="B114" s="225" t="s">
        <v>388</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x14ac:dyDescent="0.3">
      <c r="B139" s="221"/>
      <c r="C139" s="221"/>
    </row>
    <row r="140" spans="2:3" x14ac:dyDescent="0.3">
      <c r="B140" s="221"/>
      <c r="C140" s="221"/>
    </row>
    <row r="141" spans="2:3" x14ac:dyDescent="0.3">
      <c r="B141" s="221"/>
      <c r="C141" s="221"/>
    </row>
    <row r="142" spans="2:3" x14ac:dyDescent="0.3">
      <c r="B142" s="221"/>
      <c r="C142" s="221"/>
    </row>
    <row r="143" spans="2:3" x14ac:dyDescent="0.3">
      <c r="B143" s="221"/>
      <c r="C143" s="221"/>
    </row>
    <row r="144" spans="2:3" x14ac:dyDescent="0.3">
      <c r="B144" s="221"/>
      <c r="C144" s="221"/>
    </row>
    <row r="145" spans="2:3" x14ac:dyDescent="0.3">
      <c r="B145" s="221"/>
      <c r="C145" s="221"/>
    </row>
    <row r="146" spans="2:3" x14ac:dyDescent="0.3">
      <c r="B146" s="221"/>
      <c r="C146" s="221"/>
    </row>
    <row r="147" spans="2:3" x14ac:dyDescent="0.3">
      <c r="B147" s="221"/>
      <c r="C147" s="221"/>
    </row>
    <row r="148" spans="2:3" x14ac:dyDescent="0.3">
      <c r="B148" s="221"/>
      <c r="C148" s="221"/>
    </row>
    <row r="149" spans="2:3" x14ac:dyDescent="0.3">
      <c r="B149" s="221"/>
      <c r="C149" s="221"/>
    </row>
    <row r="150" spans="2:3" x14ac:dyDescent="0.3">
      <c r="B150" s="221"/>
      <c r="C150" s="221"/>
    </row>
    <row r="151" spans="2:3" x14ac:dyDescent="0.3">
      <c r="B151" s="221"/>
      <c r="C151" s="221"/>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80" zoomScale="70" zoomScaleNormal="70" workbookViewId="0">
      <selection activeCell="D27" sqref="D27:E27"/>
    </sheetView>
  </sheetViews>
  <sheetFormatPr defaultColWidth="8.77734375" defaultRowHeight="15.6" x14ac:dyDescent="0.3"/>
  <cols>
    <col min="1" max="1" width="11.21875" style="1" hidden="1" customWidth="1"/>
    <col min="2" max="2" width="10.44140625" style="36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M2" s="1" t="s">
        <v>385</v>
      </c>
      <c r="N2" s="3"/>
      <c r="O2" s="1"/>
      <c r="V2" s="8">
        <f>'4070'!B2</f>
        <v>50</v>
      </c>
      <c r="W2" s="380" t="s">
        <v>4</v>
      </c>
      <c r="X2" s="381"/>
      <c r="Y2" s="382"/>
      <c r="Z2" s="382"/>
      <c r="AA2" s="382"/>
      <c r="AB2" s="382"/>
      <c r="AC2" s="382"/>
      <c r="AD2" s="9"/>
    </row>
    <row r="3" spans="1:30" ht="20.399999999999999" x14ac:dyDescent="0.35">
      <c r="B3" s="10" t="s">
        <v>512</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'4070'!G7</f>
        <v>4031.77</v>
      </c>
      <c r="Y7" s="396"/>
      <c r="Z7" s="397" t="s">
        <v>12</v>
      </c>
      <c r="AA7" s="397"/>
      <c r="AB7" s="398">
        <f>+K7</f>
        <v>1.0289999999999999</v>
      </c>
      <c r="AC7" s="398"/>
      <c r="AD7" s="9"/>
    </row>
    <row r="8" spans="1:30" ht="51" customHeight="1" x14ac:dyDescent="0.3">
      <c r="B8" s="28" t="s">
        <v>13</v>
      </c>
      <c r="C8" s="28"/>
      <c r="D8" s="370" t="s">
        <v>514</v>
      </c>
      <c r="E8" s="370" t="s">
        <v>515</v>
      </c>
      <c r="F8" s="37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25.5</v>
      </c>
      <c r="E10" s="48"/>
      <c r="F10" s="48"/>
      <c r="G10" s="49">
        <f>IF(E10=0,D10*2,D10+E10)</f>
        <v>51</v>
      </c>
      <c r="H10" s="50"/>
      <c r="I10" s="51">
        <v>1.1259999999999999</v>
      </c>
      <c r="J10" s="51"/>
      <c r="K10" s="52">
        <f>ROUND(G10*I10,4)</f>
        <v>57.426000000000002</v>
      </c>
      <c r="L10" s="53">
        <f>ROUND(ROUND(K10*$G$7,4)*($K$7),0)</f>
        <v>238243</v>
      </c>
      <c r="N10" s="54">
        <v>5101</v>
      </c>
      <c r="O10" s="55">
        <v>101</v>
      </c>
      <c r="Q10" s="354"/>
      <c r="V10" s="391" t="s">
        <v>27</v>
      </c>
      <c r="W10" s="391"/>
      <c r="X10" s="392">
        <f>IF('4070'!K$84=1,'4070'!G10,0)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354"/>
      <c r="V11" s="402" t="s">
        <v>29</v>
      </c>
      <c r="W11" s="402"/>
      <c r="X11" s="392">
        <f>IF('4070'!K$84=1,'4070'!G11,0)</f>
        <v>0</v>
      </c>
      <c r="Y11" s="392"/>
      <c r="Z11" s="403">
        <v>1</v>
      </c>
      <c r="AA11" s="403"/>
      <c r="AB11" s="57">
        <f t="shared" si="0"/>
        <v>0</v>
      </c>
      <c r="AC11" s="58">
        <f t="shared" si="1"/>
        <v>0</v>
      </c>
      <c r="AD11" s="9"/>
    </row>
    <row r="12" spans="1:30" x14ac:dyDescent="0.3">
      <c r="A12" s="1" t="s">
        <v>31</v>
      </c>
      <c r="B12" s="14" t="s">
        <v>32</v>
      </c>
      <c r="C12" s="14"/>
      <c r="D12" s="14">
        <v>4</v>
      </c>
      <c r="E12" s="14"/>
      <c r="F12" s="14"/>
      <c r="G12" s="49">
        <f t="shared" si="2"/>
        <v>8</v>
      </c>
      <c r="H12" s="50"/>
      <c r="I12" s="59">
        <v>1</v>
      </c>
      <c r="J12" s="59"/>
      <c r="K12" s="52">
        <f t="shared" si="3"/>
        <v>8</v>
      </c>
      <c r="L12" s="53">
        <f t="shared" si="4"/>
        <v>33190</v>
      </c>
      <c r="N12" s="54">
        <v>5102</v>
      </c>
      <c r="O12" s="55">
        <v>102</v>
      </c>
      <c r="Q12" s="354"/>
      <c r="V12" s="402" t="s">
        <v>32</v>
      </c>
      <c r="W12" s="402"/>
      <c r="X12" s="392">
        <f>IF('4070'!K$84=1,'4070'!G12,0)</f>
        <v>0</v>
      </c>
      <c r="Y12" s="392"/>
      <c r="Z12" s="403">
        <v>1</v>
      </c>
      <c r="AA12" s="403"/>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354"/>
      <c r="V13" s="402" t="s">
        <v>34</v>
      </c>
      <c r="W13" s="402"/>
      <c r="X13" s="392">
        <f>IF('4070'!K$84=1,'4070'!G13,0)</f>
        <v>0</v>
      </c>
      <c r="Y13" s="392"/>
      <c r="Z13" s="403">
        <v>1</v>
      </c>
      <c r="AA13" s="403"/>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354"/>
      <c r="V14" s="402" t="s">
        <v>37</v>
      </c>
      <c r="W14" s="402"/>
      <c r="X14" s="392">
        <f>IF('4070'!K$84=1,'4070'!G14,0)</f>
        <v>0</v>
      </c>
      <c r="Y14" s="392"/>
      <c r="Z14" s="403">
        <v>1</v>
      </c>
      <c r="AA14" s="403"/>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354"/>
      <c r="V15" s="402" t="s">
        <v>39</v>
      </c>
      <c r="W15" s="402"/>
      <c r="X15" s="392">
        <f>IF('4070'!K$84=1,'4070'!G15,0)</f>
        <v>0</v>
      </c>
      <c r="Y15" s="392"/>
      <c r="Z15" s="403">
        <v>1</v>
      </c>
      <c r="AA15" s="403"/>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354"/>
      <c r="V16" s="402" t="s">
        <v>42</v>
      </c>
      <c r="W16" s="402"/>
      <c r="X16" s="392">
        <f>IF('4070'!K$84=1,'4070'!G16,0)</f>
        <v>0</v>
      </c>
      <c r="Y16" s="392"/>
      <c r="Z16" s="403">
        <v>1</v>
      </c>
      <c r="AA16" s="403"/>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354">
        <v>254</v>
      </c>
      <c r="Q17" s="354"/>
      <c r="V17" s="402" t="s">
        <v>44</v>
      </c>
      <c r="W17" s="402"/>
      <c r="X17" s="392">
        <f>IF('4070'!K$84=1,'4070'!G17,0)</f>
        <v>0</v>
      </c>
      <c r="Y17" s="392"/>
      <c r="Z17" s="403">
        <v>1</v>
      </c>
      <c r="AA17" s="403"/>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354">
        <v>254</v>
      </c>
      <c r="Q18" s="354"/>
      <c r="V18" s="402" t="s">
        <v>46</v>
      </c>
      <c r="W18" s="402"/>
      <c r="X18" s="392">
        <f>IF('4070'!K$84=1,'4070'!G18,0)</f>
        <v>0</v>
      </c>
      <c r="Y18" s="392"/>
      <c r="Z18" s="403">
        <v>1</v>
      </c>
      <c r="AA18" s="403"/>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354"/>
      <c r="V19" s="402" t="s">
        <v>48</v>
      </c>
      <c r="W19" s="402"/>
      <c r="X19" s="392">
        <f>IF('4070'!K$84=1,'4070'!G19,0)</f>
        <v>0</v>
      </c>
      <c r="Y19" s="392"/>
      <c r="Z19" s="403">
        <v>1</v>
      </c>
      <c r="AA19" s="403"/>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354">
        <v>255</v>
      </c>
      <c r="Q20" s="354"/>
      <c r="V20" s="402" t="s">
        <v>50</v>
      </c>
      <c r="W20" s="402"/>
      <c r="X20" s="392">
        <f>IF('4070'!K$84=1,'4070'!G20,0)</f>
        <v>0</v>
      </c>
      <c r="Y20" s="392"/>
      <c r="Z20" s="403">
        <v>1</v>
      </c>
      <c r="AA20" s="403"/>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354">
        <v>255</v>
      </c>
      <c r="Q21" s="354"/>
      <c r="V21" s="402" t="s">
        <v>52</v>
      </c>
      <c r="W21" s="402"/>
      <c r="X21" s="392">
        <f>IF('4070'!K$84=1,'4070'!G21,0)</f>
        <v>0</v>
      </c>
      <c r="Y21" s="392"/>
      <c r="Z21" s="403">
        <v>1</v>
      </c>
      <c r="AA21" s="403"/>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354"/>
      <c r="V22" s="402" t="s">
        <v>54</v>
      </c>
      <c r="W22" s="402"/>
      <c r="X22" s="392">
        <f>IF('4070'!K$84=1,'4070'!G22,0)</f>
        <v>0</v>
      </c>
      <c r="Y22" s="392"/>
      <c r="Z22" s="403">
        <v>1</v>
      </c>
      <c r="AA22" s="403"/>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354"/>
      <c r="V23" s="402" t="s">
        <v>56</v>
      </c>
      <c r="W23" s="402"/>
      <c r="X23" s="392">
        <f>IF('4070'!K$84=1,'4070'!G23,0)</f>
        <v>0</v>
      </c>
      <c r="Y23" s="392"/>
      <c r="Z23" s="403">
        <v>1</v>
      </c>
      <c r="AA23" s="403"/>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354"/>
      <c r="V24" s="402" t="s">
        <v>58</v>
      </c>
      <c r="W24" s="402"/>
      <c r="X24" s="392">
        <f>IF('4070'!K$84=1,'4070'!G24,0)</f>
        <v>0</v>
      </c>
      <c r="Y24" s="392"/>
      <c r="Z24" s="403">
        <v>1</v>
      </c>
      <c r="AA24" s="403"/>
      <c r="AB24" s="57">
        <f t="shared" si="0"/>
        <v>0</v>
      </c>
      <c r="AC24" s="58">
        <f t="shared" si="1"/>
        <v>0</v>
      </c>
      <c r="AD24" s="9"/>
    </row>
    <row r="25" spans="1:30" ht="16.8" thickBot="1" x14ac:dyDescent="0.4">
      <c r="A25" s="1" t="s">
        <v>59</v>
      </c>
      <c r="B25" s="14" t="s">
        <v>60</v>
      </c>
      <c r="C25" s="14"/>
      <c r="D25" s="14">
        <v>0</v>
      </c>
      <c r="E25" s="14"/>
      <c r="F25" s="14"/>
      <c r="G25" s="248">
        <f t="shared" si="2"/>
        <v>0</v>
      </c>
      <c r="H25" s="50"/>
      <c r="I25" s="59">
        <v>1.004</v>
      </c>
      <c r="J25" s="59"/>
      <c r="K25" s="52">
        <f t="shared" si="3"/>
        <v>0</v>
      </c>
      <c r="L25" s="53">
        <f t="shared" si="4"/>
        <v>0</v>
      </c>
      <c r="N25" s="54">
        <v>5310</v>
      </c>
      <c r="O25" s="55">
        <v>300</v>
      </c>
      <c r="Q25" s="354"/>
      <c r="V25" s="402" t="s">
        <v>60</v>
      </c>
      <c r="W25" s="402"/>
      <c r="X25" s="392">
        <f>IF('4070'!K$84=1,'4070'!G25,0)</f>
        <v>0</v>
      </c>
      <c r="Y25" s="392"/>
      <c r="Z25" s="403">
        <v>1</v>
      </c>
      <c r="AA25" s="403"/>
      <c r="AB25" s="57">
        <f t="shared" si="0"/>
        <v>0</v>
      </c>
      <c r="AC25" s="58">
        <f t="shared" si="1"/>
        <v>0</v>
      </c>
      <c r="AD25" s="9"/>
    </row>
    <row r="26" spans="1:30" ht="20.25" customHeight="1" thickBot="1" x14ac:dyDescent="0.35">
      <c r="B26" s="63" t="s">
        <v>61</v>
      </c>
      <c r="C26" s="63"/>
      <c r="D26" s="64">
        <f t="shared" ref="D26:E26" si="5">SUM(D10:D25)</f>
        <v>29.5</v>
      </c>
      <c r="E26" s="64">
        <f t="shared" si="5"/>
        <v>0</v>
      </c>
      <c r="F26" s="64"/>
      <c r="G26" s="64">
        <f>SUM(G10:G25)</f>
        <v>59</v>
      </c>
      <c r="H26" s="65"/>
      <c r="I26" s="65"/>
      <c r="J26" s="66"/>
      <c r="K26" s="67">
        <f>SUM(K10:K25)</f>
        <v>65.426000000000002</v>
      </c>
      <c r="L26" s="68">
        <f>SUM(L10:L25)</f>
        <v>271433</v>
      </c>
      <c r="N26" s="354"/>
      <c r="O26" s="69"/>
      <c r="P26" s="354"/>
      <c r="Q26" s="354"/>
      <c r="V26" s="404" t="s">
        <v>61</v>
      </c>
      <c r="W26" s="404"/>
      <c r="X26" s="405">
        <f>SUM(X10:X25)</f>
        <v>0</v>
      </c>
      <c r="Y26" s="405"/>
      <c r="Z26" s="406"/>
      <c r="AA26" s="407"/>
      <c r="AB26" s="70">
        <f>SUM(AB10:AB25)</f>
        <v>0</v>
      </c>
      <c r="AC26" s="71">
        <f>SUM(AC10:AC25)</f>
        <v>0</v>
      </c>
      <c r="AD26" s="9"/>
    </row>
    <row r="27" spans="1:30" ht="51.75" customHeight="1" x14ac:dyDescent="0.3">
      <c r="B27" s="63" t="s">
        <v>62</v>
      </c>
      <c r="C27" s="63"/>
      <c r="D27" s="371" t="s">
        <v>514</v>
      </c>
      <c r="E27" s="371" t="s">
        <v>515</v>
      </c>
      <c r="F27" s="370"/>
      <c r="G27" s="72" t="s">
        <v>63</v>
      </c>
      <c r="H27" s="73"/>
      <c r="I27" s="74" t="s">
        <v>64</v>
      </c>
      <c r="J27" s="74" t="s">
        <v>65</v>
      </c>
      <c r="K27" s="75" t="s">
        <v>66</v>
      </c>
      <c r="N27" s="354"/>
      <c r="O27" s="69"/>
      <c r="P27" s="354"/>
      <c r="Q27" s="354"/>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c r="F28" s="79"/>
      <c r="G28" s="49">
        <f>IF(E28=0,D28*2,D28+E28)</f>
        <v>0</v>
      </c>
      <c r="H28" s="80"/>
      <c r="I28" s="81" t="s">
        <v>69</v>
      </c>
      <c r="J28" s="54">
        <v>251</v>
      </c>
      <c r="K28" s="82">
        <v>1047</v>
      </c>
      <c r="L28" s="83">
        <f>ROUND(G28*K28,0)</f>
        <v>0</v>
      </c>
      <c r="N28" s="362">
        <v>5101</v>
      </c>
      <c r="O28" s="354">
        <v>251</v>
      </c>
      <c r="P28" s="84"/>
      <c r="Q28" s="85"/>
      <c r="V28" s="416" t="s">
        <v>68</v>
      </c>
      <c r="W28" s="416"/>
      <c r="X28" s="417"/>
      <c r="Y28" s="417"/>
      <c r="Z28" s="86" t="s">
        <v>69</v>
      </c>
      <c r="AA28" s="368">
        <v>251</v>
      </c>
      <c r="AB28" s="88">
        <f>+K28</f>
        <v>1047</v>
      </c>
      <c r="AC28" s="89">
        <f t="shared" ref="AC28:AC36" si="6">ROUND(X28*AB28,0)</f>
        <v>0</v>
      </c>
      <c r="AD28" s="9"/>
    </row>
    <row r="29" spans="1:30" x14ac:dyDescent="0.3">
      <c r="A29" s="1" t="s">
        <v>70</v>
      </c>
      <c r="B29" s="412"/>
      <c r="C29" s="413"/>
      <c r="D29" s="14">
        <v>0</v>
      </c>
      <c r="E29" s="14"/>
      <c r="F29" s="90"/>
      <c r="G29" s="49">
        <f t="shared" ref="G29:G36" si="7">IF(E29=0,D29*2,D29+E29)</f>
        <v>0</v>
      </c>
      <c r="H29" s="80"/>
      <c r="I29" s="54" t="s">
        <v>69</v>
      </c>
      <c r="J29" s="54">
        <v>252</v>
      </c>
      <c r="K29" s="82">
        <v>3380</v>
      </c>
      <c r="L29" s="83">
        <f t="shared" ref="L29:L36" si="8">ROUND(G29*K29,0)</f>
        <v>0</v>
      </c>
      <c r="N29" s="362">
        <v>5101</v>
      </c>
      <c r="O29" s="354">
        <v>252</v>
      </c>
      <c r="P29" s="84"/>
      <c r="Q29" s="85"/>
      <c r="V29" s="416"/>
      <c r="W29" s="416"/>
      <c r="X29" s="417"/>
      <c r="Y29" s="417"/>
      <c r="Z29" s="368" t="s">
        <v>69</v>
      </c>
      <c r="AA29" s="368">
        <v>252</v>
      </c>
      <c r="AB29" s="88">
        <f t="shared" ref="AB29:AB36" si="9">+K29</f>
        <v>3380</v>
      </c>
      <c r="AC29" s="89">
        <f t="shared" si="6"/>
        <v>0</v>
      </c>
      <c r="AD29" s="9"/>
    </row>
    <row r="30" spans="1:30" x14ac:dyDescent="0.3">
      <c r="A30" s="1" t="s">
        <v>71</v>
      </c>
      <c r="B30" s="412"/>
      <c r="C30" s="413"/>
      <c r="D30" s="14">
        <v>0</v>
      </c>
      <c r="E30" s="14"/>
      <c r="F30" s="90"/>
      <c r="G30" s="49">
        <f t="shared" si="7"/>
        <v>0</v>
      </c>
      <c r="H30" s="80"/>
      <c r="I30" s="54" t="s">
        <v>69</v>
      </c>
      <c r="J30" s="54">
        <v>253</v>
      </c>
      <c r="K30" s="82">
        <v>6896</v>
      </c>
      <c r="L30" s="83">
        <f t="shared" si="8"/>
        <v>0</v>
      </c>
      <c r="N30" s="362">
        <v>5101</v>
      </c>
      <c r="O30" s="354">
        <v>253</v>
      </c>
      <c r="P30" s="84"/>
      <c r="Q30" s="69"/>
      <c r="V30" s="416"/>
      <c r="W30" s="416"/>
      <c r="X30" s="417"/>
      <c r="Y30" s="417"/>
      <c r="Z30" s="368" t="s">
        <v>69</v>
      </c>
      <c r="AA30" s="368">
        <v>253</v>
      </c>
      <c r="AB30" s="88">
        <f t="shared" si="9"/>
        <v>6896</v>
      </c>
      <c r="AC30" s="89">
        <f t="shared" si="6"/>
        <v>0</v>
      </c>
      <c r="AD30" s="9"/>
    </row>
    <row r="31" spans="1:30" x14ac:dyDescent="0.3">
      <c r="A31" s="1" t="s">
        <v>72</v>
      </c>
      <c r="B31" s="412"/>
      <c r="C31" s="413"/>
      <c r="D31" s="14">
        <v>0</v>
      </c>
      <c r="E31" s="14"/>
      <c r="F31" s="90"/>
      <c r="G31" s="49">
        <f t="shared" si="7"/>
        <v>0</v>
      </c>
      <c r="H31" s="80"/>
      <c r="I31" s="91" t="s">
        <v>73</v>
      </c>
      <c r="J31" s="54">
        <v>251</v>
      </c>
      <c r="K31" s="82">
        <v>1173</v>
      </c>
      <c r="L31" s="83">
        <f t="shared" si="8"/>
        <v>0</v>
      </c>
      <c r="N31" s="362">
        <v>5102</v>
      </c>
      <c r="O31" s="354">
        <v>251</v>
      </c>
      <c r="P31" s="84"/>
      <c r="Q31" s="69"/>
      <c r="V31" s="416"/>
      <c r="W31" s="416"/>
      <c r="X31" s="417"/>
      <c r="Y31" s="417"/>
      <c r="Z31" s="92" t="s">
        <v>73</v>
      </c>
      <c r="AA31" s="368">
        <v>251</v>
      </c>
      <c r="AB31" s="88">
        <f t="shared" si="9"/>
        <v>1173</v>
      </c>
      <c r="AC31" s="89">
        <f t="shared" si="6"/>
        <v>0</v>
      </c>
      <c r="AD31" s="9"/>
    </row>
    <row r="32" spans="1:30" x14ac:dyDescent="0.3">
      <c r="A32" s="1" t="s">
        <v>74</v>
      </c>
      <c r="B32" s="412"/>
      <c r="C32" s="413"/>
      <c r="D32" s="14">
        <v>0</v>
      </c>
      <c r="E32" s="14"/>
      <c r="F32" s="90"/>
      <c r="G32" s="49">
        <f t="shared" si="7"/>
        <v>0</v>
      </c>
      <c r="H32" s="80"/>
      <c r="I32" s="91" t="s">
        <v>73</v>
      </c>
      <c r="J32" s="54">
        <v>252</v>
      </c>
      <c r="K32" s="82">
        <v>3506</v>
      </c>
      <c r="L32" s="83">
        <f t="shared" si="8"/>
        <v>0</v>
      </c>
      <c r="N32" s="362">
        <v>5102</v>
      </c>
      <c r="O32" s="354">
        <v>252</v>
      </c>
      <c r="P32" s="84"/>
      <c r="Q32" s="354"/>
      <c r="V32" s="416"/>
      <c r="W32" s="416"/>
      <c r="X32" s="417"/>
      <c r="Y32" s="417"/>
      <c r="Z32" s="92" t="s">
        <v>73</v>
      </c>
      <c r="AA32" s="368">
        <v>252</v>
      </c>
      <c r="AB32" s="88">
        <f t="shared" si="9"/>
        <v>3506</v>
      </c>
      <c r="AC32" s="89">
        <f t="shared" si="6"/>
        <v>0</v>
      </c>
      <c r="AD32" s="9"/>
    </row>
    <row r="33" spans="1:30" x14ac:dyDescent="0.3">
      <c r="A33" s="1" t="s">
        <v>75</v>
      </c>
      <c r="B33" s="412"/>
      <c r="C33" s="413"/>
      <c r="D33" s="14">
        <v>0</v>
      </c>
      <c r="E33" s="14"/>
      <c r="F33" s="90"/>
      <c r="G33" s="49">
        <f t="shared" si="7"/>
        <v>0</v>
      </c>
      <c r="H33" s="80"/>
      <c r="I33" s="91" t="s">
        <v>73</v>
      </c>
      <c r="J33" s="54">
        <v>253</v>
      </c>
      <c r="K33" s="82">
        <v>7023</v>
      </c>
      <c r="L33" s="83">
        <f t="shared" si="8"/>
        <v>0</v>
      </c>
      <c r="N33" s="362">
        <v>5102</v>
      </c>
      <c r="O33" s="354">
        <v>253</v>
      </c>
      <c r="P33" s="84"/>
      <c r="Q33" s="85"/>
      <c r="V33" s="416"/>
      <c r="W33" s="416"/>
      <c r="X33" s="417"/>
      <c r="Y33" s="417"/>
      <c r="Z33" s="92" t="s">
        <v>73</v>
      </c>
      <c r="AA33" s="368">
        <v>253</v>
      </c>
      <c r="AB33" s="88">
        <f t="shared" si="9"/>
        <v>7023</v>
      </c>
      <c r="AC33" s="89">
        <f t="shared" si="6"/>
        <v>0</v>
      </c>
      <c r="AD33" s="9"/>
    </row>
    <row r="34" spans="1:30" x14ac:dyDescent="0.3">
      <c r="A34" s="1" t="s">
        <v>76</v>
      </c>
      <c r="B34" s="412"/>
      <c r="C34" s="413"/>
      <c r="D34" s="14">
        <v>0</v>
      </c>
      <c r="E34" s="14"/>
      <c r="F34" s="90"/>
      <c r="G34" s="49">
        <f t="shared" si="7"/>
        <v>0</v>
      </c>
      <c r="H34" s="80"/>
      <c r="I34" s="91" t="s">
        <v>77</v>
      </c>
      <c r="J34" s="54">
        <v>251</v>
      </c>
      <c r="K34" s="82">
        <v>835</v>
      </c>
      <c r="L34" s="83">
        <f t="shared" si="8"/>
        <v>0</v>
      </c>
      <c r="N34" s="362">
        <v>5103</v>
      </c>
      <c r="O34" s="354">
        <v>251</v>
      </c>
      <c r="P34" s="84"/>
      <c r="Q34" s="85"/>
      <c r="V34" s="416"/>
      <c r="W34" s="416"/>
      <c r="X34" s="417"/>
      <c r="Y34" s="417"/>
      <c r="Z34" s="92" t="s">
        <v>77</v>
      </c>
      <c r="AA34" s="368">
        <v>251</v>
      </c>
      <c r="AB34" s="88">
        <f t="shared" si="9"/>
        <v>835</v>
      </c>
      <c r="AC34" s="89">
        <f t="shared" si="6"/>
        <v>0</v>
      </c>
      <c r="AD34" s="9"/>
    </row>
    <row r="35" spans="1:30" x14ac:dyDescent="0.3">
      <c r="A35" s="1" t="s">
        <v>78</v>
      </c>
      <c r="B35" s="412"/>
      <c r="C35" s="413"/>
      <c r="D35" s="14">
        <v>0</v>
      </c>
      <c r="E35" s="14"/>
      <c r="F35" s="90"/>
      <c r="G35" s="49">
        <f t="shared" si="7"/>
        <v>0</v>
      </c>
      <c r="H35" s="80"/>
      <c r="I35" s="91" t="s">
        <v>77</v>
      </c>
      <c r="J35" s="54">
        <v>252</v>
      </c>
      <c r="K35" s="82">
        <v>3168</v>
      </c>
      <c r="L35" s="83">
        <f t="shared" si="8"/>
        <v>0</v>
      </c>
      <c r="N35" s="362">
        <v>5103</v>
      </c>
      <c r="O35" s="354">
        <v>252</v>
      </c>
      <c r="P35" s="84"/>
      <c r="Q35" s="93"/>
      <c r="V35" s="416"/>
      <c r="W35" s="416"/>
      <c r="X35" s="417"/>
      <c r="Y35" s="417"/>
      <c r="Z35" s="92" t="s">
        <v>77</v>
      </c>
      <c r="AA35" s="368">
        <v>252</v>
      </c>
      <c r="AB35" s="88">
        <f t="shared" si="9"/>
        <v>3168</v>
      </c>
      <c r="AC35" s="89">
        <f t="shared" si="6"/>
        <v>0</v>
      </c>
      <c r="AD35" s="9"/>
    </row>
    <row r="36" spans="1:30" ht="16.2" thickBot="1" x14ac:dyDescent="0.35">
      <c r="A36" s="1" t="s">
        <v>79</v>
      </c>
      <c r="B36" s="414"/>
      <c r="C36" s="415"/>
      <c r="D36" s="14">
        <v>0</v>
      </c>
      <c r="E36" s="14"/>
      <c r="F36" s="90"/>
      <c r="G36" s="49">
        <f t="shared" si="7"/>
        <v>0</v>
      </c>
      <c r="H36" s="80"/>
      <c r="I36" s="91" t="s">
        <v>77</v>
      </c>
      <c r="J36" s="54">
        <v>253</v>
      </c>
      <c r="K36" s="82">
        <v>6685</v>
      </c>
      <c r="L36" s="94">
        <f t="shared" si="8"/>
        <v>0</v>
      </c>
      <c r="N36" s="362">
        <v>5103</v>
      </c>
      <c r="O36" s="354">
        <v>253</v>
      </c>
      <c r="P36" s="84"/>
      <c r="Q36" s="95"/>
      <c r="V36" s="416"/>
      <c r="W36" s="416"/>
      <c r="X36" s="424"/>
      <c r="Y36" s="424"/>
      <c r="Z36" s="92" t="s">
        <v>77</v>
      </c>
      <c r="AA36" s="368">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354"/>
      <c r="O37" s="69"/>
      <c r="P37" s="354"/>
      <c r="Q37" s="354"/>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354"/>
      <c r="O38" s="69"/>
      <c r="P38" s="354"/>
      <c r="Q38" s="354"/>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11269</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366"/>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282702</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363"/>
    </row>
    <row r="46" spans="1:30" ht="18.75" customHeight="1" x14ac:dyDescent="0.3">
      <c r="B46" s="1"/>
      <c r="C46" s="115" t="s">
        <v>91</v>
      </c>
      <c r="D46" s="115"/>
      <c r="E46" s="115"/>
      <c r="F46" s="115"/>
      <c r="G46" s="115" t="s">
        <v>92</v>
      </c>
      <c r="H46" s="116"/>
      <c r="I46" s="117" t="s">
        <v>93</v>
      </c>
      <c r="J46" s="118"/>
      <c r="K46" s="118"/>
      <c r="L46" s="118"/>
      <c r="M46" s="119"/>
      <c r="O46" s="1"/>
      <c r="V46" s="9"/>
      <c r="W46" s="365" t="s">
        <v>91</v>
      </c>
      <c r="X46" s="434" t="s">
        <v>94</v>
      </c>
      <c r="Y46" s="434"/>
      <c r="Z46" s="435" t="s">
        <v>93</v>
      </c>
      <c r="AA46" s="435"/>
      <c r="AB46" s="435"/>
      <c r="AC46" s="435"/>
      <c r="AD46" s="122"/>
    </row>
    <row r="47" spans="1:30" ht="18.75" customHeight="1" x14ac:dyDescent="0.3">
      <c r="B47" s="104" t="s">
        <v>95</v>
      </c>
      <c r="C47" s="123">
        <f>K10+K11+K16+K19+K22</f>
        <v>57.426000000000002</v>
      </c>
      <c r="D47" s="123"/>
      <c r="E47" s="123"/>
      <c r="F47" s="123"/>
      <c r="G47" s="124">
        <f>K7</f>
        <v>1.0289999999999999</v>
      </c>
      <c r="H47" s="124"/>
      <c r="I47" s="125">
        <v>1325.01</v>
      </c>
      <c r="J47" s="126" t="s">
        <v>96</v>
      </c>
      <c r="K47" s="127">
        <f>ROUND(C47*G47*I47,0)</f>
        <v>78297</v>
      </c>
      <c r="L47" s="128"/>
      <c r="O47" s="1"/>
      <c r="V47" s="366"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8</v>
      </c>
      <c r="D48" s="123"/>
      <c r="E48" s="123"/>
      <c r="F48" s="123"/>
      <c r="G48" s="124">
        <f>K7</f>
        <v>1.0289999999999999</v>
      </c>
      <c r="H48" s="124"/>
      <c r="I48" s="125">
        <v>903.8</v>
      </c>
      <c r="J48" s="126" t="s">
        <v>96</v>
      </c>
      <c r="K48" s="127">
        <f>ROUND(C48*G48*I48,0)</f>
        <v>7440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65.426000000000002</v>
      </c>
      <c r="D50" s="146"/>
      <c r="E50" s="147"/>
      <c r="F50" s="147"/>
      <c r="G50" s="148" t="s">
        <v>98</v>
      </c>
      <c r="H50" s="148"/>
      <c r="I50" s="148"/>
      <c r="J50" s="148"/>
      <c r="K50" s="148"/>
      <c r="L50" s="53">
        <f>IF(B2=75,0,K49+K48+K47)</f>
        <v>85737</v>
      </c>
      <c r="N50" s="3"/>
      <c r="O50" s="1"/>
      <c r="V50" s="364"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65.426000000000002</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3.3E-4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59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3.2499999999999999E-4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367"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3.3E-4</v>
      </c>
      <c r="L59" s="53">
        <f>ROUND(I59*K59,0)</f>
        <v>1396</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363"/>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367"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3.3E-4</v>
      </c>
      <c r="L67" s="53">
        <f>ROUND(I67*K67,0)</f>
        <v>34221</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367"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3.2499999999999999E-4</v>
      </c>
      <c r="L69" s="53">
        <f>ROUND(I69*K69,0)</f>
        <v>0</v>
      </c>
      <c r="O69" s="1"/>
      <c r="V69" s="430" t="s">
        <v>121</v>
      </c>
      <c r="W69" s="430"/>
      <c r="X69" s="430"/>
      <c r="Y69" s="447">
        <f>+I70</f>
        <v>0</v>
      </c>
      <c r="Z69" s="447"/>
      <c r="AA69" s="367"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3.3E-4</v>
      </c>
      <c r="L70" s="53">
        <f>ROUND(I70*K70,0)</f>
        <v>0</v>
      </c>
      <c r="O70" s="1"/>
      <c r="V70" s="430" t="s">
        <v>122</v>
      </c>
      <c r="W70" s="430"/>
      <c r="X70" s="430"/>
      <c r="Y70" s="444">
        <f>+I71</f>
        <v>1865769</v>
      </c>
      <c r="Z70" s="444"/>
      <c r="AA70" s="367"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3.3E-4</v>
      </c>
      <c r="L71" s="53">
        <f>ROUND(I71*K71,0)</f>
        <v>616</v>
      </c>
      <c r="O71" s="1"/>
      <c r="V71" s="430" t="s">
        <v>123</v>
      </c>
      <c r="W71" s="430"/>
      <c r="X71" s="430"/>
      <c r="Y71" s="444">
        <f>+I72</f>
        <v>13963927</v>
      </c>
      <c r="Z71" s="444"/>
      <c r="AA71" s="367"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3.2499999999999999E-4</v>
      </c>
      <c r="L72" s="53">
        <f>ROUND(I72*K72,0)</f>
        <v>4538</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70" t="s">
        <v>126</v>
      </c>
      <c r="E74" s="370" t="s">
        <v>127</v>
      </c>
      <c r="F74" s="370"/>
      <c r="H74" s="163" t="s">
        <v>25</v>
      </c>
      <c r="I74" s="18"/>
      <c r="J74" s="163"/>
      <c r="K74" s="18"/>
      <c r="L74" s="109"/>
      <c r="O74" s="1"/>
      <c r="V74" s="445" t="s">
        <v>128</v>
      </c>
      <c r="W74" s="445"/>
      <c r="X74" s="170" t="s">
        <v>129</v>
      </c>
      <c r="Y74" s="171"/>
      <c r="Z74" s="172">
        <f>+I75</f>
        <v>0</v>
      </c>
      <c r="AA74" s="369"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45" t="s">
        <v>128</v>
      </c>
      <c r="W75" s="445"/>
      <c r="X75" s="170" t="s">
        <v>132</v>
      </c>
      <c r="Y75" s="182"/>
      <c r="Z75" s="183">
        <f>+I76</f>
        <v>0</v>
      </c>
      <c r="AA75" s="369"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430" t="str">
        <f>+B77</f>
        <v>14.  Digital Classrooms Allocation (UFTE share)</v>
      </c>
      <c r="W76" s="430"/>
      <c r="X76" s="430"/>
      <c r="Y76" s="440">
        <f>+I77</f>
        <v>1716988</v>
      </c>
      <c r="Z76" s="440"/>
      <c r="AA76" s="369"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3.2499999999999999E-4</v>
      </c>
      <c r="L77" s="53">
        <v>0</v>
      </c>
      <c r="O77" s="1"/>
      <c r="V77" s="430" t="str">
        <f>+B78</f>
        <v>15.  Florida Teachers Classroom Supply Assistance Program</v>
      </c>
      <c r="W77" s="430"/>
      <c r="X77" s="430"/>
      <c r="Y77" s="440">
        <f>+I78</f>
        <v>0</v>
      </c>
      <c r="Z77" s="440"/>
      <c r="AA77" s="369"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3.3E-4</v>
      </c>
      <c r="L78" s="53">
        <f>ROUND(I78*K78,0)</f>
        <v>0</v>
      </c>
      <c r="O78" s="1"/>
      <c r="V78" s="430" t="str">
        <f t="shared" ref="V78:V79"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f t="shared" si="11"/>
        <v>0</v>
      </c>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409210</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'4070'!AC81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362" t="s">
        <v>148</v>
      </c>
      <c r="C86" s="14"/>
      <c r="D86" s="14"/>
      <c r="E86" s="14"/>
      <c r="F86" s="14"/>
      <c r="G86" s="14"/>
      <c r="H86" s="14"/>
      <c r="I86" s="14"/>
      <c r="J86" s="206" t="s">
        <v>149</v>
      </c>
      <c r="K86" s="207">
        <f>IF(K84=1,L84,L82)</f>
        <v>409210</v>
      </c>
      <c r="L86" s="83">
        <f>IF(G26=0,0,IF(G26&gt;250,-(((250/G26)*K86)*IF(M86="H",0.02,0.05)),IF(M86="H",-0.02*K86,-0.05*K86)))</f>
        <v>-20460.5</v>
      </c>
      <c r="M86" s="199"/>
      <c r="N86" s="200"/>
      <c r="O86" s="1"/>
      <c r="Q86" s="163"/>
      <c r="V86" s="205" t="s">
        <v>150</v>
      </c>
      <c r="W86" s="205"/>
      <c r="X86" s="205"/>
      <c r="Y86" s="205"/>
      <c r="Z86" s="205"/>
      <c r="AA86" s="205"/>
      <c r="AB86" s="205"/>
      <c r="AC86" s="205"/>
      <c r="AD86" s="203"/>
    </row>
    <row r="87" spans="1:30" ht="18.75" customHeight="1" x14ac:dyDescent="0.3">
      <c r="B87" s="362" t="s">
        <v>151</v>
      </c>
      <c r="C87" s="14"/>
      <c r="D87" s="14"/>
      <c r="E87" s="14"/>
      <c r="F87" s="14"/>
      <c r="G87" s="14"/>
      <c r="H87" s="14"/>
      <c r="I87" s="14"/>
      <c r="J87" s="14"/>
      <c r="K87" s="208"/>
      <c r="L87" s="202">
        <f>L82+L86</f>
        <v>388749.5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355"/>
    </row>
    <row r="89" spans="1:30" ht="18.75" customHeight="1" x14ac:dyDescent="0.3">
      <c r="A89" s="1" t="s">
        <v>152</v>
      </c>
      <c r="B89" s="14" t="s">
        <v>153</v>
      </c>
      <c r="C89" s="14"/>
      <c r="D89" s="14">
        <v>56062</v>
      </c>
      <c r="E89" s="14"/>
      <c r="F89" s="14"/>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388749.5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35340.86363636364</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386</v>
      </c>
      <c r="C109" s="221" t="s">
        <v>178</v>
      </c>
      <c r="V109" s="220"/>
    </row>
    <row r="110" spans="2:30" hidden="1" x14ac:dyDescent="0.3">
      <c r="B110" s="227"/>
      <c r="C110" s="221"/>
      <c r="V110" s="220"/>
    </row>
    <row r="111" spans="2:30" hidden="1" x14ac:dyDescent="0.3">
      <c r="B111" s="225" t="s">
        <v>387</v>
      </c>
      <c r="C111" s="221" t="s">
        <v>180</v>
      </c>
      <c r="V111" s="220"/>
    </row>
    <row r="112" spans="2:30" hidden="1" x14ac:dyDescent="0.3">
      <c r="B112" s="225" t="s">
        <v>387</v>
      </c>
      <c r="C112" s="221" t="s">
        <v>181</v>
      </c>
    </row>
    <row r="113" spans="2:3" hidden="1" x14ac:dyDescent="0.3">
      <c r="B113" s="225" t="s">
        <v>285</v>
      </c>
      <c r="C113" s="221" t="s">
        <v>183</v>
      </c>
    </row>
    <row r="114" spans="2:3" hidden="1" x14ac:dyDescent="0.3">
      <c r="B114" s="225" t="s">
        <v>388</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x14ac:dyDescent="0.3">
      <c r="B139" s="221"/>
      <c r="C139" s="221"/>
    </row>
    <row r="140" spans="2:3" x14ac:dyDescent="0.3">
      <c r="B140" s="221"/>
      <c r="C140" s="221"/>
    </row>
    <row r="141" spans="2:3" x14ac:dyDescent="0.3">
      <c r="B141" s="221"/>
      <c r="C141" s="221"/>
    </row>
    <row r="142" spans="2:3" x14ac:dyDescent="0.3">
      <c r="B142" s="221"/>
      <c r="C142" s="221"/>
    </row>
    <row r="143" spans="2:3" x14ac:dyDescent="0.3">
      <c r="B143" s="221"/>
      <c r="C143" s="221"/>
    </row>
    <row r="144" spans="2:3" x14ac:dyDescent="0.3">
      <c r="B144" s="221"/>
      <c r="C144" s="221"/>
    </row>
    <row r="145" spans="2:3" x14ac:dyDescent="0.3">
      <c r="B145" s="221"/>
      <c r="C145" s="221"/>
    </row>
    <row r="146" spans="2:3" x14ac:dyDescent="0.3">
      <c r="B146" s="221"/>
      <c r="C146" s="221"/>
    </row>
    <row r="147" spans="2:3" x14ac:dyDescent="0.3">
      <c r="B147" s="221"/>
      <c r="C147" s="221"/>
    </row>
    <row r="148" spans="2:3" x14ac:dyDescent="0.3">
      <c r="B148" s="221"/>
      <c r="C148" s="221"/>
    </row>
    <row r="149" spans="2:3" x14ac:dyDescent="0.3">
      <c r="B149" s="221"/>
      <c r="C149" s="221"/>
    </row>
    <row r="150" spans="2:3" x14ac:dyDescent="0.3">
      <c r="B150" s="221"/>
      <c r="C150" s="221"/>
    </row>
    <row r="151" spans="2:3" x14ac:dyDescent="0.3">
      <c r="B151" s="221"/>
      <c r="C151" s="221"/>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zoomScalePageLayoutView="80" workbookViewId="0">
      <selection activeCell="D27" sqref="D27:E27"/>
    </sheetView>
  </sheetViews>
  <sheetFormatPr defaultColWidth="8.77734375" defaultRowHeight="15.6" x14ac:dyDescent="0.3"/>
  <cols>
    <col min="1" max="1" width="11.21875" style="1" hidden="1" customWidth="1"/>
    <col min="2" max="2" width="10.44140625" style="24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M2" s="1" t="s">
        <v>385</v>
      </c>
      <c r="N2" s="3"/>
      <c r="O2" s="1"/>
      <c r="V2" s="8">
        <f>'4072'!B2</f>
        <v>50</v>
      </c>
      <c r="W2" s="380" t="s">
        <v>4</v>
      </c>
      <c r="X2" s="381"/>
      <c r="Y2" s="382"/>
      <c r="Z2" s="382"/>
      <c r="AA2" s="382"/>
      <c r="AB2" s="382"/>
      <c r="AC2" s="382"/>
      <c r="AD2" s="9"/>
    </row>
    <row r="3" spans="1:30" ht="20.399999999999999" x14ac:dyDescent="0.35">
      <c r="B3" s="10" t="str">
        <f>"Revenue Estimate Worksheet for Eagle Arts"</f>
        <v>Revenue Estimate Worksheet for Eagle Arts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'4072'!G7</f>
        <v>4031.77</v>
      </c>
      <c r="Y7" s="396"/>
      <c r="Z7" s="397" t="s">
        <v>12</v>
      </c>
      <c r="AA7" s="397"/>
      <c r="AB7" s="398">
        <f>+K7</f>
        <v>1.0289999999999999</v>
      </c>
      <c r="AC7" s="398"/>
      <c r="AD7" s="9"/>
    </row>
    <row r="8" spans="1:30" ht="51" customHeight="1" x14ac:dyDescent="0.3">
      <c r="B8" s="28" t="s">
        <v>13</v>
      </c>
      <c r="C8" s="28"/>
      <c r="D8" s="450" t="s">
        <v>514</v>
      </c>
      <c r="E8" s="450"/>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253</v>
      </c>
      <c r="E10" s="48"/>
      <c r="F10" s="48"/>
      <c r="G10" s="49">
        <f>IF(E10=0,D10*2,D10+E10)</f>
        <v>506</v>
      </c>
      <c r="H10" s="50"/>
      <c r="I10" s="51">
        <v>1.1259999999999999</v>
      </c>
      <c r="J10" s="51"/>
      <c r="K10" s="52">
        <f>ROUND(G10*I10,4)</f>
        <v>569.75599999999997</v>
      </c>
      <c r="L10" s="53">
        <f>ROUND(ROUND(K10*$G$7,4)*($K$7),0)</f>
        <v>2363742</v>
      </c>
      <c r="N10" s="54">
        <v>5101</v>
      </c>
      <c r="O10" s="55">
        <v>101</v>
      </c>
      <c r="Q10" s="56"/>
      <c r="V10" s="391" t="s">
        <v>27</v>
      </c>
      <c r="W10" s="391"/>
      <c r="X10" s="392">
        <f>IF('4072'!K$84=1,'4072'!G10,0)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IF('4072'!K$84=1,'4072'!G11,0)</f>
        <v>0</v>
      </c>
      <c r="Y11" s="392"/>
      <c r="Z11" s="403">
        <v>1</v>
      </c>
      <c r="AA11" s="403"/>
      <c r="AB11" s="57">
        <f t="shared" si="0"/>
        <v>0</v>
      </c>
      <c r="AC11" s="58">
        <f t="shared" si="1"/>
        <v>0</v>
      </c>
      <c r="AD11" s="9"/>
    </row>
    <row r="12" spans="1:30" x14ac:dyDescent="0.3">
      <c r="A12" s="1" t="s">
        <v>31</v>
      </c>
      <c r="B12" s="14" t="s">
        <v>32</v>
      </c>
      <c r="C12" s="14"/>
      <c r="D12" s="14">
        <v>221</v>
      </c>
      <c r="E12" s="14"/>
      <c r="F12" s="14"/>
      <c r="G12" s="49">
        <f t="shared" si="2"/>
        <v>442</v>
      </c>
      <c r="H12" s="50"/>
      <c r="I12" s="59">
        <v>1</v>
      </c>
      <c r="J12" s="59"/>
      <c r="K12" s="52">
        <f t="shared" si="3"/>
        <v>442</v>
      </c>
      <c r="L12" s="53">
        <f t="shared" si="4"/>
        <v>1833722</v>
      </c>
      <c r="N12" s="54">
        <v>5102</v>
      </c>
      <c r="O12" s="55">
        <v>102</v>
      </c>
      <c r="Q12" s="56"/>
      <c r="V12" s="402" t="s">
        <v>32</v>
      </c>
      <c r="W12" s="402"/>
      <c r="X12" s="392">
        <f>IF('4072'!K$84=1,'4072'!G12,0)</f>
        <v>0</v>
      </c>
      <c r="Y12" s="392"/>
      <c r="Z12" s="403">
        <v>1</v>
      </c>
      <c r="AA12" s="403"/>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IF('4072'!K$84=1,'4072'!G13,0)</f>
        <v>0</v>
      </c>
      <c r="Y13" s="392"/>
      <c r="Z13" s="403">
        <v>1</v>
      </c>
      <c r="AA13" s="403"/>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402" t="s">
        <v>37</v>
      </c>
      <c r="W14" s="402"/>
      <c r="X14" s="392">
        <f>IF('4072'!K$84=1,'4072'!G14,0)</f>
        <v>0</v>
      </c>
      <c r="Y14" s="392"/>
      <c r="Z14" s="403">
        <v>1</v>
      </c>
      <c r="AA14" s="403"/>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IF('4072'!K$84=1,'4072'!G15,0)</f>
        <v>0</v>
      </c>
      <c r="Y15" s="392"/>
      <c r="Z15" s="403">
        <v>1</v>
      </c>
      <c r="AA15" s="403"/>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402" t="s">
        <v>42</v>
      </c>
      <c r="W16" s="402"/>
      <c r="X16" s="392">
        <f>IF('4072'!K$84=1,'4072'!G16,0)</f>
        <v>0</v>
      </c>
      <c r="Y16" s="392"/>
      <c r="Z16" s="403">
        <v>1</v>
      </c>
      <c r="AA16" s="403"/>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402" t="s">
        <v>44</v>
      </c>
      <c r="W17" s="402"/>
      <c r="X17" s="392">
        <f>IF('4072'!K$84=1,'4072'!G17,0)</f>
        <v>0</v>
      </c>
      <c r="Y17" s="392"/>
      <c r="Z17" s="403">
        <v>1</v>
      </c>
      <c r="AA17" s="403"/>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402" t="s">
        <v>46</v>
      </c>
      <c r="W18" s="402"/>
      <c r="X18" s="392">
        <f>IF('4072'!K$84=1,'4072'!G18,0)</f>
        <v>0</v>
      </c>
      <c r="Y18" s="392"/>
      <c r="Z18" s="403">
        <v>1</v>
      </c>
      <c r="AA18" s="403"/>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402" t="s">
        <v>48</v>
      </c>
      <c r="W19" s="402"/>
      <c r="X19" s="392">
        <f>IF('4072'!K$84=1,'4072'!G19,0)</f>
        <v>0</v>
      </c>
      <c r="Y19" s="392"/>
      <c r="Z19" s="403">
        <v>1</v>
      </c>
      <c r="AA19" s="403"/>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402" t="s">
        <v>50</v>
      </c>
      <c r="W20" s="402"/>
      <c r="X20" s="392">
        <f>IF('4072'!K$84=1,'4072'!G20,0)</f>
        <v>0</v>
      </c>
      <c r="Y20" s="392"/>
      <c r="Z20" s="403">
        <v>1</v>
      </c>
      <c r="AA20" s="403"/>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402" t="s">
        <v>52</v>
      </c>
      <c r="W21" s="402"/>
      <c r="X21" s="392">
        <f>IF('4072'!K$84=1,'4072'!G21,0)</f>
        <v>0</v>
      </c>
      <c r="Y21" s="392"/>
      <c r="Z21" s="403">
        <v>1</v>
      </c>
      <c r="AA21" s="403"/>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402" t="s">
        <v>54</v>
      </c>
      <c r="W22" s="402"/>
      <c r="X22" s="392">
        <f>IF('4072'!K$84=1,'4072'!G22,0)</f>
        <v>0</v>
      </c>
      <c r="Y22" s="392"/>
      <c r="Z22" s="403">
        <v>1</v>
      </c>
      <c r="AA22" s="403"/>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402" t="s">
        <v>56</v>
      </c>
      <c r="W23" s="402"/>
      <c r="X23" s="392">
        <f>IF('4072'!K$84=1,'4072'!G23,0)</f>
        <v>0</v>
      </c>
      <c r="Y23" s="392"/>
      <c r="Z23" s="403">
        <v>1</v>
      </c>
      <c r="AA23" s="403"/>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402" t="s">
        <v>58</v>
      </c>
      <c r="W24" s="402"/>
      <c r="X24" s="392">
        <f>IF('4072'!K$84=1,'4072'!G24,0)</f>
        <v>0</v>
      </c>
      <c r="Y24" s="392"/>
      <c r="Z24" s="403">
        <v>1</v>
      </c>
      <c r="AA24" s="403"/>
      <c r="AB24" s="57">
        <f t="shared" si="0"/>
        <v>0</v>
      </c>
      <c r="AC24" s="58">
        <f t="shared" si="1"/>
        <v>0</v>
      </c>
      <c r="AD24" s="9"/>
    </row>
    <row r="25" spans="1:30" ht="16.8" thickBot="1" x14ac:dyDescent="0.4">
      <c r="A25" s="1" t="s">
        <v>59</v>
      </c>
      <c r="B25" s="14" t="s">
        <v>60</v>
      </c>
      <c r="C25" s="14"/>
      <c r="D25" s="14">
        <v>0</v>
      </c>
      <c r="E25" s="14"/>
      <c r="F25" s="14"/>
      <c r="G25" s="248">
        <f t="shared" si="2"/>
        <v>0</v>
      </c>
      <c r="H25" s="50"/>
      <c r="I25" s="59">
        <v>1.004</v>
      </c>
      <c r="J25" s="59"/>
      <c r="K25" s="52">
        <f t="shared" si="3"/>
        <v>0</v>
      </c>
      <c r="L25" s="53">
        <f t="shared" si="4"/>
        <v>0</v>
      </c>
      <c r="N25" s="54">
        <v>5310</v>
      </c>
      <c r="O25" s="55">
        <v>300</v>
      </c>
      <c r="Q25" s="56"/>
      <c r="V25" s="402" t="s">
        <v>60</v>
      </c>
      <c r="W25" s="402"/>
      <c r="X25" s="392">
        <f>IF('4072'!K$84=1,'4072'!G25,0)</f>
        <v>0</v>
      </c>
      <c r="Y25" s="392"/>
      <c r="Z25" s="403">
        <v>1</v>
      </c>
      <c r="AA25" s="403"/>
      <c r="AB25" s="57">
        <f t="shared" si="0"/>
        <v>0</v>
      </c>
      <c r="AC25" s="58">
        <f t="shared" si="1"/>
        <v>0</v>
      </c>
      <c r="AD25" s="9"/>
    </row>
    <row r="26" spans="1:30" ht="20.25" customHeight="1" thickBot="1" x14ac:dyDescent="0.35">
      <c r="B26" s="63" t="s">
        <v>61</v>
      </c>
      <c r="C26" s="63"/>
      <c r="D26" s="64">
        <f t="shared" ref="D26:E26" si="5">SUM(D10:D25)</f>
        <v>474</v>
      </c>
      <c r="E26" s="64">
        <f t="shared" si="5"/>
        <v>0</v>
      </c>
      <c r="F26" s="64"/>
      <c r="G26" s="64">
        <f>SUM(G10:G25)</f>
        <v>948</v>
      </c>
      <c r="H26" s="65"/>
      <c r="I26" s="65"/>
      <c r="J26" s="66"/>
      <c r="K26" s="67">
        <f>SUM(K10:K25)</f>
        <v>1011.756</v>
      </c>
      <c r="L26" s="68">
        <f>SUM(L10:L25)</f>
        <v>4197464</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450" t="s">
        <v>514</v>
      </c>
      <c r="E27" s="450"/>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c r="F28" s="79"/>
      <c r="G28" s="49">
        <f>IF(E28=0,D28*2,D28+E28)</f>
        <v>0</v>
      </c>
      <c r="H28" s="80"/>
      <c r="I28" s="81" t="s">
        <v>69</v>
      </c>
      <c r="J28" s="54">
        <v>251</v>
      </c>
      <c r="K28" s="82">
        <v>1047</v>
      </c>
      <c r="L28" s="83">
        <f>ROUND(G28*K28,0)</f>
        <v>0</v>
      </c>
      <c r="N28" s="240">
        <v>5101</v>
      </c>
      <c r="O28" s="56">
        <v>251</v>
      </c>
      <c r="P28" s="84"/>
      <c r="Q28" s="85"/>
      <c r="V28" s="416" t="s">
        <v>68</v>
      </c>
      <c r="W28" s="416"/>
      <c r="X28" s="417"/>
      <c r="Y28" s="417"/>
      <c r="Z28" s="86" t="s">
        <v>69</v>
      </c>
      <c r="AA28" s="246">
        <v>251</v>
      </c>
      <c r="AB28" s="88">
        <f>+K28</f>
        <v>1047</v>
      </c>
      <c r="AC28" s="89">
        <f t="shared" ref="AC28:AC36" si="6">ROUND(X28*AB28,0)</f>
        <v>0</v>
      </c>
      <c r="AD28" s="9"/>
    </row>
    <row r="29" spans="1:30" x14ac:dyDescent="0.3">
      <c r="A29" s="1" t="s">
        <v>70</v>
      </c>
      <c r="B29" s="412"/>
      <c r="C29" s="413"/>
      <c r="D29" s="14">
        <v>0</v>
      </c>
      <c r="E29" s="14"/>
      <c r="F29" s="90"/>
      <c r="G29" s="49">
        <f t="shared" ref="G29:G36" si="7">IF(E29=0,D29*2,D29+E29)</f>
        <v>0</v>
      </c>
      <c r="H29" s="80"/>
      <c r="I29" s="54" t="s">
        <v>69</v>
      </c>
      <c r="J29" s="54">
        <v>252</v>
      </c>
      <c r="K29" s="82">
        <v>3380</v>
      </c>
      <c r="L29" s="83">
        <f t="shared" ref="L29:L36" si="8">ROUND(G29*K29,0)</f>
        <v>0</v>
      </c>
      <c r="N29" s="240">
        <v>5101</v>
      </c>
      <c r="O29" s="56">
        <v>252</v>
      </c>
      <c r="P29" s="84"/>
      <c r="Q29" s="85"/>
      <c r="V29" s="416"/>
      <c r="W29" s="416"/>
      <c r="X29" s="417"/>
      <c r="Y29" s="417"/>
      <c r="Z29" s="246" t="s">
        <v>69</v>
      </c>
      <c r="AA29" s="246">
        <v>252</v>
      </c>
      <c r="AB29" s="88">
        <f t="shared" ref="AB29:AB36" si="9">+K29</f>
        <v>3380</v>
      </c>
      <c r="AC29" s="89">
        <f t="shared" si="6"/>
        <v>0</v>
      </c>
      <c r="AD29" s="9"/>
    </row>
    <row r="30" spans="1:30" x14ac:dyDescent="0.3">
      <c r="A30" s="1" t="s">
        <v>71</v>
      </c>
      <c r="B30" s="412"/>
      <c r="C30" s="413"/>
      <c r="D30" s="14">
        <v>0</v>
      </c>
      <c r="E30" s="14"/>
      <c r="F30" s="90"/>
      <c r="G30" s="49">
        <f t="shared" si="7"/>
        <v>0</v>
      </c>
      <c r="H30" s="80"/>
      <c r="I30" s="54" t="s">
        <v>69</v>
      </c>
      <c r="J30" s="54">
        <v>253</v>
      </c>
      <c r="K30" s="82">
        <v>6896</v>
      </c>
      <c r="L30" s="83">
        <f t="shared" si="8"/>
        <v>0</v>
      </c>
      <c r="N30" s="240">
        <v>5101</v>
      </c>
      <c r="O30" s="56">
        <v>253</v>
      </c>
      <c r="P30" s="84"/>
      <c r="Q30" s="69"/>
      <c r="V30" s="416"/>
      <c r="W30" s="416"/>
      <c r="X30" s="417"/>
      <c r="Y30" s="417"/>
      <c r="Z30" s="246" t="s">
        <v>69</v>
      </c>
      <c r="AA30" s="246">
        <v>253</v>
      </c>
      <c r="AB30" s="88">
        <f t="shared" si="9"/>
        <v>6896</v>
      </c>
      <c r="AC30" s="89">
        <f t="shared" si="6"/>
        <v>0</v>
      </c>
      <c r="AD30" s="9"/>
    </row>
    <row r="31" spans="1:30" x14ac:dyDescent="0.3">
      <c r="A31" s="1" t="s">
        <v>72</v>
      </c>
      <c r="B31" s="412"/>
      <c r="C31" s="413"/>
      <c r="D31" s="14">
        <v>0</v>
      </c>
      <c r="E31" s="14"/>
      <c r="F31" s="90"/>
      <c r="G31" s="49">
        <f t="shared" si="7"/>
        <v>0</v>
      </c>
      <c r="H31" s="80"/>
      <c r="I31" s="91" t="s">
        <v>73</v>
      </c>
      <c r="J31" s="54">
        <v>251</v>
      </c>
      <c r="K31" s="82">
        <v>1173</v>
      </c>
      <c r="L31" s="83">
        <f t="shared" si="8"/>
        <v>0</v>
      </c>
      <c r="N31" s="240">
        <v>5102</v>
      </c>
      <c r="O31" s="56">
        <v>251</v>
      </c>
      <c r="P31" s="84"/>
      <c r="Q31" s="69"/>
      <c r="V31" s="416"/>
      <c r="W31" s="416"/>
      <c r="X31" s="417"/>
      <c r="Y31" s="417"/>
      <c r="Z31" s="92" t="s">
        <v>73</v>
      </c>
      <c r="AA31" s="246">
        <v>251</v>
      </c>
      <c r="AB31" s="88">
        <f t="shared" si="9"/>
        <v>1173</v>
      </c>
      <c r="AC31" s="89">
        <f t="shared" si="6"/>
        <v>0</v>
      </c>
      <c r="AD31" s="9"/>
    </row>
    <row r="32" spans="1:30" x14ac:dyDescent="0.3">
      <c r="A32" s="1" t="s">
        <v>74</v>
      </c>
      <c r="B32" s="412"/>
      <c r="C32" s="413"/>
      <c r="D32" s="14">
        <v>0</v>
      </c>
      <c r="E32" s="14"/>
      <c r="F32" s="90"/>
      <c r="G32" s="49">
        <f t="shared" si="7"/>
        <v>0</v>
      </c>
      <c r="H32" s="80"/>
      <c r="I32" s="91" t="s">
        <v>73</v>
      </c>
      <c r="J32" s="54">
        <v>252</v>
      </c>
      <c r="K32" s="82">
        <v>3506</v>
      </c>
      <c r="L32" s="83">
        <f t="shared" si="8"/>
        <v>0</v>
      </c>
      <c r="N32" s="240">
        <v>5102</v>
      </c>
      <c r="O32" s="56">
        <v>252</v>
      </c>
      <c r="P32" s="84"/>
      <c r="Q32" s="56"/>
      <c r="V32" s="416"/>
      <c r="W32" s="416"/>
      <c r="X32" s="417"/>
      <c r="Y32" s="417"/>
      <c r="Z32" s="92" t="s">
        <v>73</v>
      </c>
      <c r="AA32" s="246">
        <v>252</v>
      </c>
      <c r="AB32" s="88">
        <f t="shared" si="9"/>
        <v>3506</v>
      </c>
      <c r="AC32" s="89">
        <f t="shared" si="6"/>
        <v>0</v>
      </c>
      <c r="AD32" s="9"/>
    </row>
    <row r="33" spans="1:30" x14ac:dyDescent="0.3">
      <c r="A33" s="1" t="s">
        <v>75</v>
      </c>
      <c r="B33" s="412"/>
      <c r="C33" s="413"/>
      <c r="D33" s="14">
        <v>0</v>
      </c>
      <c r="E33" s="14"/>
      <c r="F33" s="90"/>
      <c r="G33" s="49">
        <f t="shared" si="7"/>
        <v>0</v>
      </c>
      <c r="H33" s="80"/>
      <c r="I33" s="91" t="s">
        <v>73</v>
      </c>
      <c r="J33" s="54">
        <v>253</v>
      </c>
      <c r="K33" s="82">
        <v>7023</v>
      </c>
      <c r="L33" s="83">
        <f t="shared" si="8"/>
        <v>0</v>
      </c>
      <c r="N33" s="240">
        <v>5102</v>
      </c>
      <c r="O33" s="56">
        <v>253</v>
      </c>
      <c r="P33" s="84"/>
      <c r="Q33" s="85"/>
      <c r="V33" s="416"/>
      <c r="W33" s="416"/>
      <c r="X33" s="417"/>
      <c r="Y33" s="417"/>
      <c r="Z33" s="92" t="s">
        <v>73</v>
      </c>
      <c r="AA33" s="246">
        <v>253</v>
      </c>
      <c r="AB33" s="88">
        <f t="shared" si="9"/>
        <v>7023</v>
      </c>
      <c r="AC33" s="89">
        <f t="shared" si="6"/>
        <v>0</v>
      </c>
      <c r="AD33" s="9"/>
    </row>
    <row r="34" spans="1:30" x14ac:dyDescent="0.3">
      <c r="A34" s="1" t="s">
        <v>76</v>
      </c>
      <c r="B34" s="412"/>
      <c r="C34" s="413"/>
      <c r="D34" s="14">
        <v>0</v>
      </c>
      <c r="E34" s="14"/>
      <c r="F34" s="90"/>
      <c r="G34" s="49">
        <f t="shared" si="7"/>
        <v>0</v>
      </c>
      <c r="H34" s="80"/>
      <c r="I34" s="91" t="s">
        <v>77</v>
      </c>
      <c r="J34" s="54">
        <v>251</v>
      </c>
      <c r="K34" s="82">
        <v>835</v>
      </c>
      <c r="L34" s="83">
        <f t="shared" si="8"/>
        <v>0</v>
      </c>
      <c r="N34" s="240">
        <v>5103</v>
      </c>
      <c r="O34" s="56">
        <v>251</v>
      </c>
      <c r="P34" s="84"/>
      <c r="Q34" s="85"/>
      <c r="V34" s="416"/>
      <c r="W34" s="416"/>
      <c r="X34" s="417"/>
      <c r="Y34" s="417"/>
      <c r="Z34" s="92" t="s">
        <v>77</v>
      </c>
      <c r="AA34" s="246">
        <v>251</v>
      </c>
      <c r="AB34" s="88">
        <f t="shared" si="9"/>
        <v>835</v>
      </c>
      <c r="AC34" s="89">
        <f t="shared" si="6"/>
        <v>0</v>
      </c>
      <c r="AD34" s="9"/>
    </row>
    <row r="35" spans="1:30" x14ac:dyDescent="0.3">
      <c r="A35" s="1" t="s">
        <v>78</v>
      </c>
      <c r="B35" s="412"/>
      <c r="C35" s="413"/>
      <c r="D35" s="14">
        <v>0</v>
      </c>
      <c r="E35" s="14"/>
      <c r="F35" s="90"/>
      <c r="G35" s="49">
        <f t="shared" si="7"/>
        <v>0</v>
      </c>
      <c r="H35" s="80"/>
      <c r="I35" s="91" t="s">
        <v>77</v>
      </c>
      <c r="J35" s="54">
        <v>252</v>
      </c>
      <c r="K35" s="82">
        <v>3168</v>
      </c>
      <c r="L35" s="83">
        <f t="shared" si="8"/>
        <v>0</v>
      </c>
      <c r="N35" s="240">
        <v>5103</v>
      </c>
      <c r="O35" s="56">
        <v>252</v>
      </c>
      <c r="P35" s="84"/>
      <c r="Q35" s="93"/>
      <c r="V35" s="416"/>
      <c r="W35" s="416"/>
      <c r="X35" s="417"/>
      <c r="Y35" s="417"/>
      <c r="Z35" s="92" t="s">
        <v>77</v>
      </c>
      <c r="AA35" s="246">
        <v>252</v>
      </c>
      <c r="AB35" s="88">
        <f t="shared" si="9"/>
        <v>3168</v>
      </c>
      <c r="AC35" s="89">
        <f t="shared" si="6"/>
        <v>0</v>
      </c>
      <c r="AD35" s="9"/>
    </row>
    <row r="36" spans="1:30" ht="16.2" thickBot="1" x14ac:dyDescent="0.35">
      <c r="A36" s="1" t="s">
        <v>79</v>
      </c>
      <c r="B36" s="414"/>
      <c r="C36" s="415"/>
      <c r="D36" s="14">
        <v>0</v>
      </c>
      <c r="E36" s="14"/>
      <c r="F36" s="90"/>
      <c r="G36" s="49">
        <f t="shared" si="7"/>
        <v>0</v>
      </c>
      <c r="H36" s="80"/>
      <c r="I36" s="91" t="s">
        <v>77</v>
      </c>
      <c r="J36" s="54">
        <v>253</v>
      </c>
      <c r="K36" s="82">
        <v>6685</v>
      </c>
      <c r="L36" s="94">
        <f t="shared" si="8"/>
        <v>0</v>
      </c>
      <c r="N36" s="240">
        <v>5103</v>
      </c>
      <c r="O36" s="56">
        <v>253</v>
      </c>
      <c r="P36" s="84"/>
      <c r="Q36" s="95"/>
      <c r="V36" s="416"/>
      <c r="W36" s="416"/>
      <c r="X36" s="424"/>
      <c r="Y36" s="424"/>
      <c r="Z36" s="92" t="s">
        <v>77</v>
      </c>
      <c r="AA36" s="246">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181068</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244"/>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4378532</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241"/>
    </row>
    <row r="46" spans="1:30" ht="18.75" customHeight="1" x14ac:dyDescent="0.3">
      <c r="B46" s="1"/>
      <c r="C46" s="115" t="s">
        <v>91</v>
      </c>
      <c r="D46" s="115"/>
      <c r="E46" s="115"/>
      <c r="F46" s="115"/>
      <c r="G46" s="115" t="s">
        <v>92</v>
      </c>
      <c r="H46" s="116"/>
      <c r="I46" s="117" t="s">
        <v>93</v>
      </c>
      <c r="J46" s="118"/>
      <c r="K46" s="118"/>
      <c r="L46" s="118"/>
      <c r="M46" s="119"/>
      <c r="O46" s="1"/>
      <c r="V46" s="9"/>
      <c r="W46" s="243" t="s">
        <v>91</v>
      </c>
      <c r="X46" s="434" t="s">
        <v>94</v>
      </c>
      <c r="Y46" s="434"/>
      <c r="Z46" s="435" t="s">
        <v>93</v>
      </c>
      <c r="AA46" s="435"/>
      <c r="AB46" s="435"/>
      <c r="AC46" s="435"/>
      <c r="AD46" s="122"/>
    </row>
    <row r="47" spans="1:30" ht="18.75" customHeight="1" x14ac:dyDescent="0.3">
      <c r="B47" s="104" t="s">
        <v>95</v>
      </c>
      <c r="C47" s="123">
        <f>K10+K11+K16+K19+K22</f>
        <v>569.75599999999997</v>
      </c>
      <c r="D47" s="123"/>
      <c r="E47" s="123"/>
      <c r="F47" s="123"/>
      <c r="G47" s="124">
        <f>K7</f>
        <v>1.0289999999999999</v>
      </c>
      <c r="H47" s="124"/>
      <c r="I47" s="125">
        <v>1325.01</v>
      </c>
      <c r="J47" s="126" t="s">
        <v>96</v>
      </c>
      <c r="K47" s="127">
        <f>ROUND(C47*G47*I47,0)</f>
        <v>776825</v>
      </c>
      <c r="L47" s="128"/>
      <c r="O47" s="1"/>
      <c r="V47" s="244"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442</v>
      </c>
      <c r="D48" s="123"/>
      <c r="E48" s="123"/>
      <c r="F48" s="123"/>
      <c r="G48" s="124">
        <f>K7</f>
        <v>1.0289999999999999</v>
      </c>
      <c r="H48" s="124"/>
      <c r="I48" s="125">
        <v>903.8</v>
      </c>
      <c r="J48" s="126" t="s">
        <v>96</v>
      </c>
      <c r="K48" s="127">
        <f>ROUND(C48*G48*I48,0)</f>
        <v>411065</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1011.756</v>
      </c>
      <c r="D50" s="146"/>
      <c r="E50" s="147"/>
      <c r="F50" s="147"/>
      <c r="G50" s="148" t="s">
        <v>98</v>
      </c>
      <c r="H50" s="148"/>
      <c r="I50" s="148"/>
      <c r="J50" s="148"/>
      <c r="K50" s="148"/>
      <c r="L50" s="53">
        <f>IF(B2=75,0,K49+K48+K47)</f>
        <v>1187890</v>
      </c>
      <c r="N50" s="3"/>
      <c r="O50" s="1"/>
      <c r="V50" s="242"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1011.756</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5.1089999999999998E-3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948</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5.2269999999999999E-3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245"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5.1089999999999998E-3</v>
      </c>
      <c r="L59" s="53">
        <f>ROUND(I59*K59,0)</f>
        <v>21616</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241"/>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245"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5.1089999999999998E-3</v>
      </c>
      <c r="L67" s="53">
        <f>ROUND(I67*K67,0)</f>
        <v>529797</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245"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5.2269999999999999E-3</v>
      </c>
      <c r="L69" s="53">
        <f>ROUND(I69*K69,0)</f>
        <v>0</v>
      </c>
      <c r="O69" s="1"/>
      <c r="V69" s="430" t="s">
        <v>121</v>
      </c>
      <c r="W69" s="430"/>
      <c r="X69" s="430"/>
      <c r="Y69" s="447">
        <f>+I70</f>
        <v>0</v>
      </c>
      <c r="Z69" s="447"/>
      <c r="AA69" s="245"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5.1089999999999998E-3</v>
      </c>
      <c r="L70" s="53">
        <f>ROUND(I70*K70,0)</f>
        <v>0</v>
      </c>
      <c r="O70" s="1"/>
      <c r="V70" s="430" t="s">
        <v>122</v>
      </c>
      <c r="W70" s="430"/>
      <c r="X70" s="430"/>
      <c r="Y70" s="444">
        <f>+I71</f>
        <v>1865769</v>
      </c>
      <c r="Z70" s="444"/>
      <c r="AA70" s="245"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5.1089999999999998E-3</v>
      </c>
      <c r="L71" s="53">
        <f>ROUND(I71*K71,0)</f>
        <v>9532</v>
      </c>
      <c r="O71" s="1"/>
      <c r="V71" s="430" t="s">
        <v>123</v>
      </c>
      <c r="W71" s="430"/>
      <c r="X71" s="430"/>
      <c r="Y71" s="444">
        <f>+I72</f>
        <v>13963927</v>
      </c>
      <c r="Z71" s="444"/>
      <c r="AA71" s="245"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5.2269999999999999E-3</v>
      </c>
      <c r="L72" s="53">
        <f>ROUND(I72*K72,0)</f>
        <v>72989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25</v>
      </c>
      <c r="I74" s="18"/>
      <c r="J74" s="163"/>
      <c r="K74" s="18"/>
      <c r="L74" s="109"/>
      <c r="O74" s="1"/>
      <c r="V74" s="445" t="s">
        <v>128</v>
      </c>
      <c r="W74" s="445"/>
      <c r="X74" s="170" t="s">
        <v>129</v>
      </c>
      <c r="Y74" s="171"/>
      <c r="Z74" s="172">
        <f>+I75</f>
        <v>0</v>
      </c>
      <c r="AA74" s="247"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45" t="s">
        <v>128</v>
      </c>
      <c r="W75" s="445"/>
      <c r="X75" s="170" t="s">
        <v>132</v>
      </c>
      <c r="Y75" s="182"/>
      <c r="Z75" s="183">
        <f>+I76</f>
        <v>0</v>
      </c>
      <c r="AA75" s="247"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430" t="str">
        <f>+B77</f>
        <v>14.  Digital Classrooms Allocation (UFTE share)</v>
      </c>
      <c r="W76" s="430"/>
      <c r="X76" s="430"/>
      <c r="Y76" s="440">
        <f>+I77</f>
        <v>1716988</v>
      </c>
      <c r="Z76" s="440"/>
      <c r="AA76" s="247"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5.2269999999999999E-3</v>
      </c>
      <c r="L77" s="53">
        <f>ROUND(I77*K77,0)</f>
        <v>8975</v>
      </c>
      <c r="O77" s="1"/>
      <c r="V77" s="430" t="str">
        <f>+B78</f>
        <v>15.  Florida Teachers Classroom Supply Assistance Program</v>
      </c>
      <c r="W77" s="430"/>
      <c r="X77" s="430"/>
      <c r="Y77" s="440">
        <f>+I78</f>
        <v>0</v>
      </c>
      <c r="Z77" s="440"/>
      <c r="AA77" s="247"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5.1089999999999998E-3</v>
      </c>
      <c r="L78" s="53">
        <f>ROUND(I78*K78,0)</f>
        <v>0</v>
      </c>
      <c r="O78" s="1"/>
      <c r="V78" s="430" t="str">
        <f t="shared" ref="V78:V79"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f t="shared" si="11"/>
        <v>0</v>
      </c>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6209331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'4072'!AC81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40" t="s">
        <v>148</v>
      </c>
      <c r="C86" s="14"/>
      <c r="D86" s="14"/>
      <c r="E86" s="14"/>
      <c r="F86" s="14"/>
      <c r="G86" s="14"/>
      <c r="H86" s="14"/>
      <c r="I86" s="14"/>
      <c r="J86" s="206" t="s">
        <v>149</v>
      </c>
      <c r="K86" s="207">
        <f>IF(K84=1,L84,L82)</f>
        <v>6209331</v>
      </c>
      <c r="L86" s="83">
        <f>IF(G26=0,0,IF(G26&gt;250,-(((250/G26)*K86)*IF(M86="H",0.02,0.05)),IF(M86="H",-0.02*K86,-0.05*K86)))</f>
        <v>-81874.090189873416</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240" t="s">
        <v>151</v>
      </c>
      <c r="C87" s="14"/>
      <c r="D87" s="14"/>
      <c r="E87" s="14"/>
      <c r="F87" s="14"/>
      <c r="G87" s="14"/>
      <c r="H87" s="14"/>
      <c r="I87" s="14"/>
      <c r="J87" s="14"/>
      <c r="K87" s="208"/>
      <c r="L87" s="202">
        <f>L82+L86</f>
        <v>6127456.9098101268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6127456.9098101268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557041.5372554661</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228592.45981012657</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386</v>
      </c>
      <c r="C109" s="221" t="s">
        <v>178</v>
      </c>
      <c r="V109" s="220"/>
    </row>
    <row r="110" spans="2:30" hidden="1" x14ac:dyDescent="0.3">
      <c r="B110" s="227"/>
      <c r="C110" s="221"/>
      <c r="V110" s="220"/>
    </row>
    <row r="111" spans="2:30" hidden="1" x14ac:dyDescent="0.3">
      <c r="B111" s="225" t="s">
        <v>387</v>
      </c>
      <c r="C111" s="221" t="s">
        <v>180</v>
      </c>
      <c r="V111" s="220"/>
    </row>
    <row r="112" spans="2:30" hidden="1" x14ac:dyDescent="0.3">
      <c r="B112" s="225" t="s">
        <v>387</v>
      </c>
      <c r="C112" s="221" t="s">
        <v>181</v>
      </c>
    </row>
    <row r="113" spans="2:3" hidden="1" x14ac:dyDescent="0.3">
      <c r="B113" s="225" t="s">
        <v>285</v>
      </c>
      <c r="C113" s="221" t="s">
        <v>183</v>
      </c>
    </row>
    <row r="114" spans="2:3" hidden="1" x14ac:dyDescent="0.3">
      <c r="B114" s="225" t="s">
        <v>388</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x14ac:dyDescent="0.3">
      <c r="B139" s="221"/>
      <c r="C139" s="221"/>
    </row>
    <row r="140" spans="2:3" x14ac:dyDescent="0.3">
      <c r="B140" s="221"/>
      <c r="C140" s="221"/>
    </row>
    <row r="141" spans="2:3" x14ac:dyDescent="0.3">
      <c r="B141" s="221"/>
      <c r="C141" s="221"/>
    </row>
    <row r="142" spans="2:3" x14ac:dyDescent="0.3">
      <c r="B142" s="221"/>
      <c r="C142" s="221"/>
    </row>
    <row r="143" spans="2:3" x14ac:dyDescent="0.3">
      <c r="B143" s="221"/>
      <c r="C143" s="221"/>
    </row>
    <row r="144" spans="2:3" x14ac:dyDescent="0.3">
      <c r="B144" s="221"/>
      <c r="C144" s="221"/>
    </row>
    <row r="145" spans="2:3" x14ac:dyDescent="0.3">
      <c r="B145" s="221"/>
      <c r="C145" s="221"/>
    </row>
    <row r="146" spans="2:3" x14ac:dyDescent="0.3">
      <c r="B146" s="221"/>
      <c r="C146" s="221"/>
    </row>
    <row r="147" spans="2:3" x14ac:dyDescent="0.3">
      <c r="B147" s="221"/>
      <c r="C147" s="221"/>
    </row>
    <row r="148" spans="2:3" x14ac:dyDescent="0.3">
      <c r="B148" s="221"/>
      <c r="C148" s="221"/>
    </row>
    <row r="149" spans="2:3" x14ac:dyDescent="0.3">
      <c r="B149" s="221"/>
      <c r="C149" s="221"/>
    </row>
    <row r="150" spans="2:3" x14ac:dyDescent="0.3">
      <c r="B150" s="221"/>
      <c r="C150" s="221"/>
    </row>
    <row r="151" spans="2:3" x14ac:dyDescent="0.3">
      <c r="B151" s="221"/>
      <c r="C151" s="221"/>
    </row>
  </sheetData>
  <mergeCells count="154">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D27:E27"/>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 ref="D8:E8"/>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'0664'!B2</f>
        <v>50</v>
      </c>
      <c r="W2" s="380" t="s">
        <v>4</v>
      </c>
      <c r="X2" s="381"/>
      <c r="Y2" s="382"/>
      <c r="Z2" s="382"/>
      <c r="AA2" s="382"/>
      <c r="AB2" s="382"/>
      <c r="AC2" s="382"/>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'0664'!G7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31.29</v>
      </c>
      <c r="E10" s="48">
        <v>30.16</v>
      </c>
      <c r="F10" s="48">
        <v>0</v>
      </c>
      <c r="G10" s="49">
        <f>IF($B$154&lt;8,D10*2,D10+E10)</f>
        <v>61.45</v>
      </c>
      <c r="H10" s="50"/>
      <c r="I10" s="51">
        <v>1.1259999999999999</v>
      </c>
      <c r="J10" s="51"/>
      <c r="K10" s="52">
        <f>ROUND(G10*I10,4)</f>
        <v>69.192700000000002</v>
      </c>
      <c r="L10" s="53">
        <f>ROUND(ROUND(K10*$G$7,4)*($K$7),0)</f>
        <v>287059</v>
      </c>
      <c r="N10" s="54">
        <v>5101</v>
      </c>
      <c r="O10" s="55">
        <v>101</v>
      </c>
      <c r="Q10" s="56"/>
      <c r="V10" s="391" t="s">
        <v>27</v>
      </c>
      <c r="W10" s="391"/>
      <c r="X10" s="392">
        <f>IF('0664'!K$84=1,'0664'!G10,0)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1.5</v>
      </c>
      <c r="E11" s="14">
        <v>1.5</v>
      </c>
      <c r="F11" s="14">
        <v>0</v>
      </c>
      <c r="G11" s="49">
        <f t="shared" ref="G11:G25" si="2">IF($B$154&lt;8,D11*2,D11+E11)</f>
        <v>3</v>
      </c>
      <c r="H11" s="50"/>
      <c r="I11" s="59">
        <f>I10</f>
        <v>1.1259999999999999</v>
      </c>
      <c r="J11" s="59"/>
      <c r="K11" s="52">
        <f t="shared" ref="K11:K25" si="3">ROUND(G11*I11,4)</f>
        <v>3.3780000000000001</v>
      </c>
      <c r="L11" s="53">
        <f t="shared" ref="L11:L25" si="4">ROUND(ROUND(K11*$G$7,4)*($K$7),0)</f>
        <v>14014</v>
      </c>
      <c r="M11" s="1" t="str">
        <f>IF(ROUND(G11,2)=ROUND(SUM(G28:G30),2)," ","CHECK 2. PK-3 Lines Below")</f>
        <v xml:space="preserve"> </v>
      </c>
      <c r="N11" s="54">
        <v>5101</v>
      </c>
      <c r="O11" s="60" t="s">
        <v>30</v>
      </c>
      <c r="Q11" s="56"/>
      <c r="V11" s="402" t="s">
        <v>29</v>
      </c>
      <c r="W11" s="402"/>
      <c r="X11" s="392">
        <f>IF('0664'!K$84=1,'0664'!G11,0)</f>
        <v>0</v>
      </c>
      <c r="Y11" s="392"/>
      <c r="Z11" s="403">
        <v>1</v>
      </c>
      <c r="AA11" s="403"/>
      <c r="AB11" s="57">
        <f t="shared" si="0"/>
        <v>0</v>
      </c>
      <c r="AC11" s="58">
        <f t="shared" si="1"/>
        <v>0</v>
      </c>
      <c r="AD11" s="9"/>
    </row>
    <row r="12" spans="1:30" x14ac:dyDescent="0.3">
      <c r="A12" s="1" t="s">
        <v>31</v>
      </c>
      <c r="B12" s="14" t="s">
        <v>32</v>
      </c>
      <c r="C12" s="14"/>
      <c r="D12" s="14">
        <v>26.83</v>
      </c>
      <c r="E12" s="14">
        <v>25.54</v>
      </c>
      <c r="F12" s="14">
        <v>0</v>
      </c>
      <c r="G12" s="49">
        <f t="shared" si="2"/>
        <v>52.37</v>
      </c>
      <c r="H12" s="50"/>
      <c r="I12" s="59">
        <v>1</v>
      </c>
      <c r="J12" s="59"/>
      <c r="K12" s="52">
        <f t="shared" si="3"/>
        <v>52.37</v>
      </c>
      <c r="L12" s="53">
        <f t="shared" si="4"/>
        <v>217267</v>
      </c>
      <c r="N12" s="54">
        <v>5102</v>
      </c>
      <c r="O12" s="55">
        <v>102</v>
      </c>
      <c r="Q12" s="56"/>
      <c r="V12" s="402" t="s">
        <v>32</v>
      </c>
      <c r="W12" s="402"/>
      <c r="X12" s="392">
        <f>IF('0664'!K$84=1,'0664'!G12,0)</f>
        <v>0</v>
      </c>
      <c r="Y12" s="392"/>
      <c r="Z12" s="403">
        <v>1</v>
      </c>
      <c r="AA12" s="403"/>
      <c r="AB12" s="57">
        <f t="shared" si="0"/>
        <v>0</v>
      </c>
      <c r="AC12" s="58">
        <f t="shared" si="1"/>
        <v>0</v>
      </c>
      <c r="AD12" s="9"/>
    </row>
    <row r="13" spans="1:30" x14ac:dyDescent="0.3">
      <c r="A13" s="1" t="s">
        <v>33</v>
      </c>
      <c r="B13" s="14" t="s">
        <v>34</v>
      </c>
      <c r="C13" s="14"/>
      <c r="D13" s="14">
        <v>5.58</v>
      </c>
      <c r="E13" s="14">
        <v>4.46</v>
      </c>
      <c r="F13" s="14">
        <v>0</v>
      </c>
      <c r="G13" s="49">
        <f t="shared" si="2"/>
        <v>10.039999999999999</v>
      </c>
      <c r="H13" s="50"/>
      <c r="I13" s="59">
        <f>I12</f>
        <v>1</v>
      </c>
      <c r="J13" s="59"/>
      <c r="K13" s="52">
        <f t="shared" si="3"/>
        <v>10.039999999999999</v>
      </c>
      <c r="L13" s="53">
        <f t="shared" si="4"/>
        <v>41653</v>
      </c>
      <c r="M13" s="1" t="str">
        <f>IF(ROUND(G13,2)=ROUND(SUM(G31:G33),2)," ","CHECK 2. 4-8 Lines Below")</f>
        <v xml:space="preserve"> </v>
      </c>
      <c r="N13" s="54">
        <v>5102</v>
      </c>
      <c r="O13" s="60" t="s">
        <v>35</v>
      </c>
      <c r="Q13" s="56"/>
      <c r="V13" s="402" t="s">
        <v>34</v>
      </c>
      <c r="W13" s="402"/>
      <c r="X13" s="392">
        <f>IF('0664'!K$84=1,'0664'!G13,0)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IF('0664'!K$84=1,'0664'!G14,0)</f>
        <v>0</v>
      </c>
      <c r="Y14" s="392"/>
      <c r="Z14" s="403">
        <v>1</v>
      </c>
      <c r="AA14" s="403"/>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402" t="s">
        <v>39</v>
      </c>
      <c r="W15" s="402"/>
      <c r="X15" s="392">
        <f>IF('0664'!K$84=1,'0664'!G15,0)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IF('0664'!K$84=1,'0664'!G16,0)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IF('0664'!K$84=1,'0664'!G17,0)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IF('0664'!K$84=1,'0664'!G18,0)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IF('0664'!K$84=1,'0664'!G19,0)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IF('0664'!K$84=1,'0664'!G20,0)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IF('0664'!K$84=1,'0664'!G21,0)</f>
        <v>0</v>
      </c>
      <c r="Y21" s="392"/>
      <c r="Z21" s="403">
        <v>1</v>
      </c>
      <c r="AA21" s="403"/>
      <c r="AB21" s="57">
        <f t="shared" si="0"/>
        <v>0</v>
      </c>
      <c r="AC21" s="58">
        <f t="shared" si="1"/>
        <v>0</v>
      </c>
      <c r="AD21" s="9"/>
    </row>
    <row r="22" spans="1:30" ht="16.2" x14ac:dyDescent="0.35">
      <c r="A22" s="1" t="s">
        <v>53</v>
      </c>
      <c r="B22" s="14" t="s">
        <v>54</v>
      </c>
      <c r="C22" s="14"/>
      <c r="D22" s="14">
        <v>1.55</v>
      </c>
      <c r="E22" s="14">
        <v>1.64</v>
      </c>
      <c r="F22" s="14">
        <v>0</v>
      </c>
      <c r="G22" s="49">
        <f t="shared" si="2"/>
        <v>3.19</v>
      </c>
      <c r="H22" s="50"/>
      <c r="I22" s="59">
        <v>1.147</v>
      </c>
      <c r="J22" s="59"/>
      <c r="K22" s="52">
        <f t="shared" si="3"/>
        <v>3.6589</v>
      </c>
      <c r="L22" s="53">
        <f t="shared" si="4"/>
        <v>15180</v>
      </c>
      <c r="N22" s="54">
        <v>5101</v>
      </c>
      <c r="O22" s="55">
        <v>130</v>
      </c>
      <c r="Q22" s="56"/>
      <c r="V22" s="402" t="s">
        <v>54</v>
      </c>
      <c r="W22" s="402"/>
      <c r="X22" s="392">
        <f>IF('0664'!K$84=1,'0664'!G22,0)</f>
        <v>0</v>
      </c>
      <c r="Y22" s="392"/>
      <c r="Z22" s="403">
        <v>1</v>
      </c>
      <c r="AA22" s="403"/>
      <c r="AB22" s="57">
        <f t="shared" si="0"/>
        <v>0</v>
      </c>
      <c r="AC22" s="58">
        <f t="shared" si="1"/>
        <v>0</v>
      </c>
      <c r="AD22" s="9"/>
    </row>
    <row r="23" spans="1:30" ht="16.2" x14ac:dyDescent="0.35">
      <c r="A23" s="1" t="s">
        <v>55</v>
      </c>
      <c r="B23" s="14" t="s">
        <v>56</v>
      </c>
      <c r="C23" s="14"/>
      <c r="D23" s="14">
        <v>1.43</v>
      </c>
      <c r="E23" s="14">
        <v>1.34</v>
      </c>
      <c r="F23" s="14">
        <v>0</v>
      </c>
      <c r="G23" s="49">
        <f t="shared" si="2"/>
        <v>2.77</v>
      </c>
      <c r="H23" s="50"/>
      <c r="I23" s="59">
        <f>I22</f>
        <v>1.147</v>
      </c>
      <c r="J23" s="59"/>
      <c r="K23" s="52">
        <f t="shared" si="3"/>
        <v>3.1772</v>
      </c>
      <c r="L23" s="53">
        <f t="shared" si="4"/>
        <v>13181</v>
      </c>
      <c r="N23" s="54">
        <v>5102</v>
      </c>
      <c r="O23" s="55">
        <v>130</v>
      </c>
      <c r="Q23" s="56"/>
      <c r="V23" s="402" t="s">
        <v>56</v>
      </c>
      <c r="W23" s="402"/>
      <c r="X23" s="392">
        <f>IF('0664'!K$84=1,'0664'!G23,0)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IF('0664'!K$84=1,'0664'!G24,0)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IF('0664'!K$84=1,'0664'!G25,0)</f>
        <v>0</v>
      </c>
      <c r="Y25" s="392"/>
      <c r="Z25" s="403">
        <v>1</v>
      </c>
      <c r="AA25" s="403"/>
      <c r="AB25" s="57">
        <f t="shared" si="0"/>
        <v>0</v>
      </c>
      <c r="AC25" s="58">
        <f t="shared" si="1"/>
        <v>0</v>
      </c>
      <c r="AD25" s="9"/>
    </row>
    <row r="26" spans="1:30" ht="20.25" customHeight="1" thickBot="1" x14ac:dyDescent="0.35">
      <c r="B26" s="63" t="s">
        <v>61</v>
      </c>
      <c r="C26" s="63"/>
      <c r="D26" s="64">
        <f t="shared" ref="D26:E26" si="5">SUM(D10:D25)</f>
        <v>68.180000000000007</v>
      </c>
      <c r="E26" s="64">
        <f t="shared" si="5"/>
        <v>64.64</v>
      </c>
      <c r="F26" s="64"/>
      <c r="G26" s="64">
        <f>SUM(G10:G25)</f>
        <v>132.82</v>
      </c>
      <c r="H26" s="65"/>
      <c r="I26" s="65"/>
      <c r="J26" s="66"/>
      <c r="K26" s="67">
        <f>SUM(K10:K25)</f>
        <v>141.81679999999997</v>
      </c>
      <c r="L26" s="68">
        <f>SUM(L10:L25)</f>
        <v>588354</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1.5</v>
      </c>
      <c r="E28" s="14">
        <v>1.5</v>
      </c>
      <c r="F28" s="79">
        <v>0</v>
      </c>
      <c r="G28" s="49">
        <f t="shared" ref="G28:G36" si="6">IF($B$154&lt;8,D28*2,D28+E28)</f>
        <v>3</v>
      </c>
      <c r="H28" s="80"/>
      <c r="I28" s="81" t="s">
        <v>69</v>
      </c>
      <c r="J28" s="54">
        <v>251</v>
      </c>
      <c r="K28" s="82">
        <v>1047</v>
      </c>
      <c r="L28" s="83">
        <f>ROUND(G28*K28,0)</f>
        <v>3141</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5.58</v>
      </c>
      <c r="E31" s="14">
        <v>4.46</v>
      </c>
      <c r="F31" s="90">
        <v>0</v>
      </c>
      <c r="G31" s="49">
        <f t="shared" si="6"/>
        <v>10.039999999999999</v>
      </c>
      <c r="H31" s="80"/>
      <c r="I31" s="91" t="s">
        <v>73</v>
      </c>
      <c r="J31" s="54">
        <v>251</v>
      </c>
      <c r="K31" s="82">
        <v>1173</v>
      </c>
      <c r="L31" s="83">
        <f t="shared" si="8"/>
        <v>11777</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v>
      </c>
      <c r="E34" s="14">
        <v>0</v>
      </c>
      <c r="F34" s="90">
        <v>0</v>
      </c>
      <c r="G34" s="49">
        <f t="shared" si="6"/>
        <v>0</v>
      </c>
      <c r="H34" s="80"/>
      <c r="I34" s="91" t="s">
        <v>77</v>
      </c>
      <c r="J34" s="54">
        <v>251</v>
      </c>
      <c r="K34" s="82">
        <v>835</v>
      </c>
      <c r="L34" s="83">
        <f t="shared" si="8"/>
        <v>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0</v>
      </c>
      <c r="E35" s="14">
        <v>0</v>
      </c>
      <c r="F35" s="90">
        <v>0</v>
      </c>
      <c r="G35" s="49">
        <f t="shared" si="6"/>
        <v>0</v>
      </c>
      <c r="H35" s="80"/>
      <c r="I35" s="91" t="s">
        <v>77</v>
      </c>
      <c r="J35" s="54">
        <v>252</v>
      </c>
      <c r="K35" s="82">
        <v>3168</v>
      </c>
      <c r="L35" s="83">
        <f t="shared" si="8"/>
        <v>0</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7.08</v>
      </c>
      <c r="E37" s="64">
        <f t="shared" si="10"/>
        <v>5.96</v>
      </c>
      <c r="F37" s="64"/>
      <c r="G37" s="64">
        <f>SUM(G28:G36)</f>
        <v>13.04</v>
      </c>
      <c r="H37" s="65"/>
      <c r="I37" s="14" t="s">
        <v>81</v>
      </c>
      <c r="J37" s="14"/>
      <c r="K37" s="14"/>
      <c r="L37" s="53">
        <f>SUM(L28:L36)</f>
        <v>14918</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25369</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628641</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76.229600000000005</v>
      </c>
      <c r="D47" s="123"/>
      <c r="E47" s="123"/>
      <c r="F47" s="123"/>
      <c r="G47" s="124">
        <f>K7</f>
        <v>1.0289999999999999</v>
      </c>
      <c r="H47" s="124"/>
      <c r="I47" s="125">
        <v>1325.01</v>
      </c>
      <c r="J47" s="126" t="s">
        <v>96</v>
      </c>
      <c r="K47" s="127">
        <f>ROUND(C47*G47*I47,0)</f>
        <v>103934</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65.587199999999996</v>
      </c>
      <c r="D48" s="123"/>
      <c r="E48" s="123"/>
      <c r="F48" s="123"/>
      <c r="G48" s="124">
        <f>K7</f>
        <v>1.0289999999999999</v>
      </c>
      <c r="H48" s="124"/>
      <c r="I48" s="125">
        <v>903.8</v>
      </c>
      <c r="J48" s="126" t="s">
        <v>96</v>
      </c>
      <c r="K48" s="127">
        <f>ROUND(C48*G48*I48,0)</f>
        <v>60997</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141.8168</v>
      </c>
      <c r="D50" s="146"/>
      <c r="E50" s="147"/>
      <c r="F50" s="147"/>
      <c r="G50" s="148" t="s">
        <v>98</v>
      </c>
      <c r="H50" s="148"/>
      <c r="I50" s="148"/>
      <c r="J50" s="148"/>
      <c r="K50" s="148"/>
      <c r="L50" s="53">
        <f>IF(B2=75,0,K49+K48+K47)</f>
        <v>164931</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141.81679999999997</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7.1599999999999995E-4</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132.82</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7.3200000000000001E-4</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7.1599999999999995E-4</v>
      </c>
      <c r="L59" s="53">
        <f>ROUND(I59*K59,0)</f>
        <v>3029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7.1599999999999995E-4</v>
      </c>
      <c r="L67" s="53">
        <f>ROUND(I67*K67,0)</f>
        <v>74248</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7.3200000000000001E-4</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7.1599999999999995E-4</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7.1599999999999995E-4</v>
      </c>
      <c r="L71" s="53">
        <f>ROUND(I71*K71,0)</f>
        <v>1336</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7.3200000000000001E-4</v>
      </c>
      <c r="L72" s="53">
        <f>ROUND(I72*K72,0)</f>
        <v>10222</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19.5</v>
      </c>
      <c r="AA74" s="173" t="s">
        <v>130</v>
      </c>
      <c r="AB74" s="174">
        <f>+K75</f>
        <v>361</v>
      </c>
      <c r="AC74" s="58">
        <f>ROUND(AB74*Z74,0)</f>
        <v>7040</v>
      </c>
      <c r="AD74" s="9"/>
    </row>
    <row r="75" spans="1:30" ht="19.5" customHeight="1" x14ac:dyDescent="0.3">
      <c r="A75" s="1" t="s">
        <v>131</v>
      </c>
      <c r="B75" s="175" t="s">
        <v>128</v>
      </c>
      <c r="C75" s="176" t="s">
        <v>129</v>
      </c>
      <c r="D75" s="175">
        <v>19</v>
      </c>
      <c r="E75" s="175">
        <v>20</v>
      </c>
      <c r="F75" s="175">
        <v>0</v>
      </c>
      <c r="G75" s="177">
        <f>IF($B$154&lt;8,D75,E75)</f>
        <v>20</v>
      </c>
      <c r="H75" s="178"/>
      <c r="I75" s="179">
        <f>AVERAGE(G75,D75)</f>
        <v>19.5</v>
      </c>
      <c r="J75" s="180" t="s">
        <v>130</v>
      </c>
      <c r="K75" s="181">
        <v>361</v>
      </c>
      <c r="L75" s="53">
        <f>ROUND(K75*I75,0)</f>
        <v>7040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7.3200000000000001E-4</v>
      </c>
      <c r="L77" s="53">
        <f>ROUND(I77*K77,0)</f>
        <v>1257</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7.1599999999999995E-4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7040</v>
      </c>
      <c r="AD81" s="197"/>
    </row>
    <row r="82" spans="1:30" ht="22.5" customHeight="1" thickTop="1" thickBot="1" x14ac:dyDescent="0.35">
      <c r="B82" s="14" t="s">
        <v>140</v>
      </c>
      <c r="C82" s="14"/>
      <c r="D82" s="14"/>
      <c r="E82" s="14"/>
      <c r="F82" s="14"/>
      <c r="G82" s="14"/>
      <c r="H82" s="14"/>
      <c r="I82" s="14"/>
      <c r="J82" s="14"/>
      <c r="K82" s="14"/>
      <c r="L82" s="198">
        <f>SUM(L44:L81)</f>
        <v>890704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'0664'!AC81</f>
        <v>7040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890704</v>
      </c>
      <c r="L86" s="83">
        <f>IF(G26=0,0,IF(G26&gt;250,-(((250/G26)*K86)*IF(M86="H",0.02,0.05)),IF(M86="H",-0.02*K86,-0.05*K86)))</f>
        <v>-44535.200000000004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846168.8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-70514</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775654.8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70514.072727272738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264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265</v>
      </c>
      <c r="C123" s="221" t="s">
        <v>199</v>
      </c>
    </row>
    <row r="124" spans="2:3" hidden="1" x14ac:dyDescent="0.3">
      <c r="B124" s="225" t="s">
        <v>266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41808.602314814802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264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265</v>
      </c>
      <c r="C164" s="235" t="s">
        <v>244</v>
      </c>
      <c r="D164" s="231"/>
    </row>
    <row r="165" spans="1:4" hidden="1" x14ac:dyDescent="0.3">
      <c r="A165" s="230" t="s">
        <v>245</v>
      </c>
      <c r="B165" s="234" t="s">
        <v>266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41808.602314814802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'1461'!B2</f>
        <v>50</v>
      </c>
      <c r="W2" s="380" t="s">
        <v>4</v>
      </c>
      <c r="X2" s="381"/>
      <c r="Y2" s="382"/>
      <c r="Z2" s="382"/>
      <c r="AA2" s="382"/>
      <c r="AB2" s="382"/>
      <c r="AC2" s="382"/>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'1461'!G7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IF('1461'!K$84=1,'1461'!G10,0)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IF('1461'!K$84=1,'1461'!G11,0)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IF('1461'!K$84=1,'1461'!G12,0)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IF('1461'!K$84=1,'1461'!G13,0)</f>
        <v>0</v>
      </c>
      <c r="Y13" s="392"/>
      <c r="Z13" s="403">
        <v>1</v>
      </c>
      <c r="AA13" s="403"/>
      <c r="AB13" s="57">
        <f t="shared" si="0"/>
        <v>0</v>
      </c>
      <c r="AC13" s="58">
        <f t="shared" si="1"/>
        <v>0</v>
      </c>
      <c r="AD13" s="9"/>
    </row>
    <row r="14" spans="1:30" x14ac:dyDescent="0.3">
      <c r="A14" s="1" t="s">
        <v>36</v>
      </c>
      <c r="B14" s="14" t="s">
        <v>37</v>
      </c>
      <c r="C14" s="14"/>
      <c r="D14" s="14">
        <v>258.8</v>
      </c>
      <c r="E14" s="14">
        <v>246.24</v>
      </c>
      <c r="F14" s="14">
        <v>0</v>
      </c>
      <c r="G14" s="49">
        <f t="shared" si="2"/>
        <v>505.04</v>
      </c>
      <c r="H14" s="50"/>
      <c r="I14" s="59">
        <v>1.004</v>
      </c>
      <c r="J14" s="59"/>
      <c r="K14" s="52">
        <f t="shared" si="3"/>
        <v>507.06020000000001</v>
      </c>
      <c r="L14" s="53">
        <f t="shared" si="4"/>
        <v>2103636</v>
      </c>
      <c r="N14" s="54">
        <v>5103</v>
      </c>
      <c r="O14" s="55">
        <v>103</v>
      </c>
      <c r="Q14" s="56"/>
      <c r="V14" s="402" t="s">
        <v>37</v>
      </c>
      <c r="W14" s="402"/>
      <c r="X14" s="392">
        <f>IF('1461'!K$84=1,'1461'!G14,0)</f>
        <v>0</v>
      </c>
      <c r="Y14" s="392"/>
      <c r="Z14" s="403">
        <v>1</v>
      </c>
      <c r="AA14" s="403"/>
      <c r="AB14" s="57">
        <f t="shared" si="0"/>
        <v>0</v>
      </c>
      <c r="AC14" s="58">
        <f t="shared" si="1"/>
        <v>0</v>
      </c>
      <c r="AD14" s="9"/>
    </row>
    <row r="15" spans="1:30" x14ac:dyDescent="0.3">
      <c r="A15" s="1" t="s">
        <v>38</v>
      </c>
      <c r="B15" s="14" t="s">
        <v>39</v>
      </c>
      <c r="C15" s="14"/>
      <c r="D15" s="14">
        <v>31.73</v>
      </c>
      <c r="E15" s="14">
        <v>28.19</v>
      </c>
      <c r="F15" s="14">
        <v>0</v>
      </c>
      <c r="G15" s="49">
        <f t="shared" si="2"/>
        <v>59.92</v>
      </c>
      <c r="H15" s="50"/>
      <c r="I15" s="59">
        <f>I14</f>
        <v>1.004</v>
      </c>
      <c r="J15" s="59"/>
      <c r="K15" s="52">
        <f t="shared" si="3"/>
        <v>60.159700000000001</v>
      </c>
      <c r="L15" s="61">
        <f t="shared" si="4"/>
        <v>249584</v>
      </c>
      <c r="M15" s="1" t="str">
        <f>IF(ROUND(G15,2)=ROUND(SUM(G34:G36),2)," ","CHECK 2. 9-12 Lines Below")</f>
        <v xml:space="preserve"> </v>
      </c>
      <c r="N15" s="54">
        <v>5103</v>
      </c>
      <c r="O15" s="60" t="s">
        <v>40</v>
      </c>
      <c r="Q15" s="56"/>
      <c r="V15" s="402" t="s">
        <v>39</v>
      </c>
      <c r="W15" s="402"/>
      <c r="X15" s="392">
        <f>IF('1461'!K$84=1,'1461'!G15,0)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IF('1461'!K$84=1,'1461'!G16,0)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IF('1461'!K$84=1,'1461'!G17,0)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IF('1461'!K$84=1,'1461'!G18,0)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IF('1461'!K$84=1,'1461'!G19,0)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IF('1461'!K$84=1,'1461'!G20,0)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IF('1461'!K$84=1,'1461'!G21,0)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IF('1461'!K$84=1,'1461'!G22,0)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IF('1461'!K$84=1,'1461'!G23,0)</f>
        <v>0</v>
      </c>
      <c r="Y23" s="392"/>
      <c r="Z23" s="403">
        <v>1</v>
      </c>
      <c r="AA23" s="403"/>
      <c r="AB23" s="57">
        <f t="shared" si="0"/>
        <v>0</v>
      </c>
      <c r="AC23" s="58">
        <f t="shared" si="1"/>
        <v>0</v>
      </c>
      <c r="AD23" s="9"/>
    </row>
    <row r="24" spans="1:30" ht="16.2" x14ac:dyDescent="0.35">
      <c r="A24" s="1" t="s">
        <v>57</v>
      </c>
      <c r="B24" s="14" t="s">
        <v>58</v>
      </c>
      <c r="C24" s="14"/>
      <c r="D24" s="14">
        <v>8.44</v>
      </c>
      <c r="E24" s="14">
        <v>7.4</v>
      </c>
      <c r="F24" s="14">
        <v>0</v>
      </c>
      <c r="G24" s="49">
        <f t="shared" si="2"/>
        <v>15.84</v>
      </c>
      <c r="H24" s="50"/>
      <c r="I24" s="59">
        <f>I23</f>
        <v>1.147</v>
      </c>
      <c r="J24" s="59"/>
      <c r="K24" s="52">
        <f t="shared" si="3"/>
        <v>18.168500000000002</v>
      </c>
      <c r="L24" s="53">
        <f t="shared" si="4"/>
        <v>75375</v>
      </c>
      <c r="N24" s="54">
        <v>5103</v>
      </c>
      <c r="O24" s="55">
        <v>130</v>
      </c>
      <c r="Q24" s="56"/>
      <c r="V24" s="402" t="s">
        <v>58</v>
      </c>
      <c r="W24" s="402"/>
      <c r="X24" s="392">
        <f>IF('1461'!K$84=1,'1461'!G24,0)</f>
        <v>0</v>
      </c>
      <c r="Y24" s="392"/>
      <c r="Z24" s="403">
        <v>1</v>
      </c>
      <c r="AA24" s="403"/>
      <c r="AB24" s="57">
        <f t="shared" si="0"/>
        <v>0</v>
      </c>
      <c r="AC24" s="58">
        <f t="shared" si="1"/>
        <v>0</v>
      </c>
      <c r="AD24" s="9"/>
    </row>
    <row r="25" spans="1:30" ht="16.8" thickBot="1" x14ac:dyDescent="0.4">
      <c r="A25" s="1" t="s">
        <v>59</v>
      </c>
      <c r="B25" s="14" t="s">
        <v>60</v>
      </c>
      <c r="C25" s="14"/>
      <c r="D25" s="14">
        <v>61</v>
      </c>
      <c r="E25" s="14">
        <v>56.47</v>
      </c>
      <c r="F25" s="14">
        <v>0</v>
      </c>
      <c r="G25" s="49">
        <f t="shared" si="2"/>
        <v>117.47</v>
      </c>
      <c r="H25" s="50"/>
      <c r="I25" s="59">
        <v>1.004</v>
      </c>
      <c r="J25" s="59"/>
      <c r="K25" s="52">
        <f t="shared" si="3"/>
        <v>117.93989999999999</v>
      </c>
      <c r="L25" s="53">
        <f t="shared" si="4"/>
        <v>489296</v>
      </c>
      <c r="N25" s="54">
        <v>5310</v>
      </c>
      <c r="O25" s="55">
        <v>300</v>
      </c>
      <c r="Q25" s="56"/>
      <c r="V25" s="402" t="s">
        <v>60</v>
      </c>
      <c r="W25" s="402"/>
      <c r="X25" s="392">
        <f>IF('1461'!K$84=1,'1461'!G25,0)</f>
        <v>0</v>
      </c>
      <c r="Y25" s="392"/>
      <c r="Z25" s="403">
        <v>1</v>
      </c>
      <c r="AA25" s="403"/>
      <c r="AB25" s="57">
        <f t="shared" si="0"/>
        <v>0</v>
      </c>
      <c r="AC25" s="58">
        <f t="shared" si="1"/>
        <v>0</v>
      </c>
      <c r="AD25" s="9"/>
    </row>
    <row r="26" spans="1:30" ht="20.25" customHeight="1" thickBot="1" x14ac:dyDescent="0.35">
      <c r="B26" s="63" t="s">
        <v>61</v>
      </c>
      <c r="C26" s="63"/>
      <c r="D26" s="64">
        <f t="shared" ref="D26:E26" si="5">SUM(D10:D25)</f>
        <v>359.97</v>
      </c>
      <c r="E26" s="64">
        <f t="shared" si="5"/>
        <v>338.29999999999995</v>
      </c>
      <c r="F26" s="64"/>
      <c r="G26" s="64">
        <f>SUM(G10:G25)</f>
        <v>698.2700000000001</v>
      </c>
      <c r="H26" s="65"/>
      <c r="I26" s="65"/>
      <c r="J26" s="66"/>
      <c r="K26" s="67">
        <f>SUM(K10:K25)</f>
        <v>703.32830000000001</v>
      </c>
      <c r="L26" s="68">
        <f>SUM(L10:L25)</f>
        <v>2917891</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29.79</v>
      </c>
      <c r="E34" s="14">
        <v>28.19</v>
      </c>
      <c r="F34" s="90">
        <v>0</v>
      </c>
      <c r="G34" s="49">
        <f t="shared" si="6"/>
        <v>57.980000000000004</v>
      </c>
      <c r="H34" s="80"/>
      <c r="I34" s="91" t="s">
        <v>77</v>
      </c>
      <c r="J34" s="54">
        <v>251</v>
      </c>
      <c r="K34" s="82">
        <v>835</v>
      </c>
      <c r="L34" s="83">
        <f t="shared" si="8"/>
        <v>48413</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1.94</v>
      </c>
      <c r="E35" s="14">
        <v>0</v>
      </c>
      <c r="F35" s="90">
        <v>0</v>
      </c>
      <c r="G35" s="49">
        <f t="shared" si="6"/>
        <v>1.94</v>
      </c>
      <c r="H35" s="80"/>
      <c r="I35" s="91" t="s">
        <v>77</v>
      </c>
      <c r="J35" s="54">
        <v>252</v>
      </c>
      <c r="K35" s="82">
        <v>3168</v>
      </c>
      <c r="L35" s="83">
        <f t="shared" si="8"/>
        <v>6146</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31.73</v>
      </c>
      <c r="E37" s="64">
        <f t="shared" si="10"/>
        <v>28.19</v>
      </c>
      <c r="F37" s="64"/>
      <c r="G37" s="64">
        <f>SUM(G28:G36)</f>
        <v>59.92</v>
      </c>
      <c r="H37" s="65"/>
      <c r="I37" s="14" t="s">
        <v>81</v>
      </c>
      <c r="J37" s="14"/>
      <c r="K37" s="14"/>
      <c r="L37" s="53">
        <f>SUM(L28:L36)</f>
        <v>54559</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133370</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3105820</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703.32830000000001</v>
      </c>
      <c r="D49" s="123"/>
      <c r="E49" s="123"/>
      <c r="F49" s="123"/>
      <c r="G49" s="124">
        <f>K7</f>
        <v>1.0289999999999999</v>
      </c>
      <c r="H49" s="124"/>
      <c r="I49" s="125">
        <v>905.98</v>
      </c>
      <c r="J49" s="126" t="s">
        <v>96</v>
      </c>
      <c r="K49" s="127">
        <f>ROUND(C49*G49*I49,0)</f>
        <v>655680</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703.32830000000001</v>
      </c>
      <c r="D50" s="146"/>
      <c r="E50" s="147"/>
      <c r="F50" s="147"/>
      <c r="G50" s="148" t="s">
        <v>98</v>
      </c>
      <c r="H50" s="148"/>
      <c r="I50" s="148"/>
      <c r="J50" s="148"/>
      <c r="K50" s="148"/>
      <c r="L50" s="53">
        <f>IF(B2=75,0,K49+K48+K47)</f>
        <v>655680</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703.32830000000001</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3.5509999999999999E-3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698.2700000000001</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3.8500000000000001E-3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3.5509999999999999E-3</v>
      </c>
      <c r="L59" s="53">
        <f>ROUND(I59*K59,0)</f>
        <v>15024</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3.5509999999999999E-3</v>
      </c>
      <c r="L67" s="53">
        <f>ROUND(I67*K67,0)</f>
        <v>368234</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3.8500000000000001E-3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3.5509999999999999E-3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3.5509999999999999E-3</v>
      </c>
      <c r="L71" s="53">
        <f>ROUND(I71*K71,0)</f>
        <v>6625</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3.8500000000000001E-3</v>
      </c>
      <c r="L72" s="53">
        <f>ROUND(I72*K72,0)</f>
        <v>53761</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9.5</v>
      </c>
      <c r="AA74" s="173" t="s">
        <v>130</v>
      </c>
      <c r="AB74" s="174">
        <f>+K75</f>
        <v>361</v>
      </c>
      <c r="AC74" s="58">
        <f>ROUND(AB74*Z74,0)</f>
        <v>3430</v>
      </c>
      <c r="AD74" s="9"/>
    </row>
    <row r="75" spans="1:30" ht="19.5" customHeight="1" x14ac:dyDescent="0.3">
      <c r="A75" s="1" t="s">
        <v>131</v>
      </c>
      <c r="B75" s="175" t="s">
        <v>128</v>
      </c>
      <c r="C75" s="176" t="s">
        <v>129</v>
      </c>
      <c r="D75" s="175">
        <v>10</v>
      </c>
      <c r="E75" s="175">
        <v>9</v>
      </c>
      <c r="F75" s="175">
        <v>0</v>
      </c>
      <c r="G75" s="177">
        <f>IF($B$154&lt;8,D75,E75)</f>
        <v>9</v>
      </c>
      <c r="H75" s="178"/>
      <c r="I75" s="179">
        <f>AVERAGE(G75,D75)</f>
        <v>9.5</v>
      </c>
      <c r="J75" s="180" t="s">
        <v>130</v>
      </c>
      <c r="K75" s="181">
        <v>361</v>
      </c>
      <c r="L75" s="53">
        <f>ROUND(K75*I75,0)</f>
        <v>3430</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3.8500000000000001E-3</v>
      </c>
      <c r="L77" s="53">
        <f>ROUND(I77*K77,0)</f>
        <v>6610</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3.5509999999999999E-3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3430</v>
      </c>
      <c r="AD81" s="197"/>
    </row>
    <row r="82" spans="1:30" ht="22.5" customHeight="1" thickTop="1" thickBot="1" x14ac:dyDescent="0.35">
      <c r="B82" s="14" t="s">
        <v>140</v>
      </c>
      <c r="C82" s="14"/>
      <c r="D82" s="14"/>
      <c r="E82" s="14"/>
      <c r="F82" s="14"/>
      <c r="G82" s="14"/>
      <c r="H82" s="14"/>
      <c r="I82" s="14"/>
      <c r="J82" s="14"/>
      <c r="K82" s="14"/>
      <c r="L82" s="198">
        <f>SUM(L44:L81)</f>
        <v>4215184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'1461'!AC81</f>
        <v>3430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4215184</v>
      </c>
      <c r="L86" s="83">
        <f>IF(G26=0,0,IF(G26&gt;250,-(((250/G26)*K86)*IF(M86="H",0.02,0.05)),IF(M86="H",-0.02*K86,-0.05*K86)))</f>
        <v>-75457.631002334339</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4139726.3689976656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-344977</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3794749.3689976656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344977.21536342415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135301.56899766566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267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268</v>
      </c>
      <c r="C123" s="221" t="s">
        <v>199</v>
      </c>
    </row>
    <row r="124" spans="2:3" hidden="1" x14ac:dyDescent="0.3">
      <c r="B124" s="225" t="s">
        <v>269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41808.6023263889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267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268</v>
      </c>
      <c r="C164" s="235" t="s">
        <v>244</v>
      </c>
      <c r="D164" s="231"/>
    </row>
    <row r="165" spans="1:4" hidden="1" x14ac:dyDescent="0.3">
      <c r="A165" s="230" t="s">
        <v>245</v>
      </c>
      <c r="B165" s="234" t="s">
        <v>269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41808.6023263889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'1571'!B2</f>
        <v>50</v>
      </c>
      <c r="W2" s="380" t="s">
        <v>4</v>
      </c>
      <c r="X2" s="381"/>
      <c r="Y2" s="382"/>
      <c r="Z2" s="382"/>
      <c r="AA2" s="382"/>
      <c r="AB2" s="382"/>
      <c r="AC2" s="382"/>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'1571'!G7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IF('1571'!K$84=1,'1571'!G10,0)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IF('1571'!K$84=1,'1571'!G11,0)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IF('1571'!K$84=1,'1571'!G12,0)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IF('1571'!K$84=1,'1571'!G13,0)</f>
        <v>0</v>
      </c>
      <c r="Y13" s="392"/>
      <c r="Z13" s="403">
        <v>1</v>
      </c>
      <c r="AA13" s="403"/>
      <c r="AB13" s="57">
        <f t="shared" si="0"/>
        <v>0</v>
      </c>
      <c r="AC13" s="58">
        <f t="shared" si="1"/>
        <v>0</v>
      </c>
      <c r="AD13" s="9"/>
    </row>
    <row r="14" spans="1:30" x14ac:dyDescent="0.3">
      <c r="A14" s="1" t="s">
        <v>36</v>
      </c>
      <c r="B14" s="14" t="s">
        <v>37</v>
      </c>
      <c r="C14" s="14"/>
      <c r="D14" s="14">
        <v>295.60000000000002</v>
      </c>
      <c r="E14" s="14">
        <v>282.89999999999998</v>
      </c>
      <c r="F14" s="14">
        <v>0</v>
      </c>
      <c r="G14" s="49">
        <f t="shared" si="2"/>
        <v>578.5</v>
      </c>
      <c r="H14" s="50"/>
      <c r="I14" s="59">
        <v>1.004</v>
      </c>
      <c r="J14" s="59"/>
      <c r="K14" s="52">
        <f t="shared" si="3"/>
        <v>580.81399999999996</v>
      </c>
      <c r="L14" s="53">
        <f t="shared" si="4"/>
        <v>2409618</v>
      </c>
      <c r="N14" s="54">
        <v>5103</v>
      </c>
      <c r="O14" s="55">
        <v>103</v>
      </c>
      <c r="Q14" s="56"/>
      <c r="V14" s="402" t="s">
        <v>37</v>
      </c>
      <c r="W14" s="402"/>
      <c r="X14" s="392">
        <f>IF('1571'!K$84=1,'1571'!G14,0)</f>
        <v>0</v>
      </c>
      <c r="Y14" s="392"/>
      <c r="Z14" s="403">
        <v>1</v>
      </c>
      <c r="AA14" s="403"/>
      <c r="AB14" s="57">
        <f t="shared" si="0"/>
        <v>0</v>
      </c>
      <c r="AC14" s="58">
        <f t="shared" si="1"/>
        <v>0</v>
      </c>
      <c r="AD14" s="9"/>
    </row>
    <row r="15" spans="1:30" x14ac:dyDescent="0.3">
      <c r="A15" s="1" t="s">
        <v>38</v>
      </c>
      <c r="B15" s="14" t="s">
        <v>39</v>
      </c>
      <c r="C15" s="14"/>
      <c r="D15" s="14">
        <v>121.76</v>
      </c>
      <c r="E15" s="14">
        <v>121.97</v>
      </c>
      <c r="F15" s="14">
        <v>0</v>
      </c>
      <c r="G15" s="49">
        <f t="shared" si="2"/>
        <v>243.73000000000002</v>
      </c>
      <c r="H15" s="50"/>
      <c r="I15" s="59">
        <f>I14</f>
        <v>1.004</v>
      </c>
      <c r="J15" s="59"/>
      <c r="K15" s="52">
        <f t="shared" si="3"/>
        <v>244.70490000000001</v>
      </c>
      <c r="L15" s="61">
        <f t="shared" si="4"/>
        <v>1015205</v>
      </c>
      <c r="M15" s="1" t="str">
        <f>IF(ROUND(G15,2)=ROUND(SUM(G34:G36),2)," ","CHECK 2. 9-12 Lines Below")</f>
        <v xml:space="preserve"> </v>
      </c>
      <c r="N15" s="54">
        <v>5103</v>
      </c>
      <c r="O15" s="60" t="s">
        <v>40</v>
      </c>
      <c r="Q15" s="56"/>
      <c r="V15" s="402" t="s">
        <v>39</v>
      </c>
      <c r="W15" s="402"/>
      <c r="X15" s="392">
        <f>IF('1571'!K$84=1,'1571'!G15,0)</f>
        <v>0</v>
      </c>
      <c r="Y15" s="392"/>
      <c r="Z15" s="403">
        <v>1</v>
      </c>
      <c r="AA15" s="403"/>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IF('1571'!K$84=1,'1571'!G16,0)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IF('1571'!K$84=1,'1571'!G17,0)</f>
        <v>0</v>
      </c>
      <c r="Y17" s="392"/>
      <c r="Z17" s="403">
        <v>1</v>
      </c>
      <c r="AA17" s="403"/>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402" t="s">
        <v>46</v>
      </c>
      <c r="W18" s="402"/>
      <c r="X18" s="392">
        <f>IF('1571'!K$84=1,'1571'!G18,0)</f>
        <v>0</v>
      </c>
      <c r="Y18" s="392"/>
      <c r="Z18" s="403">
        <v>1</v>
      </c>
      <c r="AA18" s="403"/>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IF('1571'!K$84=1,'1571'!G19,0)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IF('1571'!K$84=1,'1571'!G20,0)</f>
        <v>0</v>
      </c>
      <c r="Y20" s="392"/>
      <c r="Z20" s="403">
        <v>1</v>
      </c>
      <c r="AA20" s="403"/>
      <c r="AB20" s="57">
        <f t="shared" si="0"/>
        <v>0</v>
      </c>
      <c r="AC20" s="58">
        <f t="shared" si="1"/>
        <v>0</v>
      </c>
      <c r="AD20" s="9"/>
    </row>
    <row r="21" spans="1:30" ht="15" customHeight="1" x14ac:dyDescent="0.35">
      <c r="A21" s="1" t="s">
        <v>51</v>
      </c>
      <c r="B21" s="14" t="s">
        <v>52</v>
      </c>
      <c r="C21" s="14"/>
      <c r="D21" s="14">
        <v>0</v>
      </c>
      <c r="E21" s="14">
        <v>0.51</v>
      </c>
      <c r="F21" s="14">
        <v>0</v>
      </c>
      <c r="G21" s="49">
        <f t="shared" si="2"/>
        <v>0.51</v>
      </c>
      <c r="H21" s="50"/>
      <c r="I21" s="59">
        <f>I20</f>
        <v>5.1040000000000001</v>
      </c>
      <c r="J21" s="59"/>
      <c r="K21" s="52">
        <f t="shared" si="3"/>
        <v>2.6030000000000002</v>
      </c>
      <c r="L21" s="53">
        <f t="shared" si="4"/>
        <v>10799</v>
      </c>
      <c r="N21" s="54">
        <v>5103</v>
      </c>
      <c r="O21" s="56">
        <v>255</v>
      </c>
      <c r="Q21" s="56"/>
      <c r="V21" s="402" t="s">
        <v>52</v>
      </c>
      <c r="W21" s="402"/>
      <c r="X21" s="392">
        <f>IF('1571'!K$84=1,'1571'!G21,0)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IF('1571'!K$84=1,'1571'!G22,0)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IF('1571'!K$84=1,'1571'!G23,0)</f>
        <v>0</v>
      </c>
      <c r="Y23" s="392"/>
      <c r="Z23" s="403">
        <v>1</v>
      </c>
      <c r="AA23" s="403"/>
      <c r="AB23" s="57">
        <f t="shared" si="0"/>
        <v>0</v>
      </c>
      <c r="AC23" s="58">
        <f t="shared" si="1"/>
        <v>0</v>
      </c>
      <c r="AD23" s="9"/>
    </row>
    <row r="24" spans="1:30" ht="16.2" x14ac:dyDescent="0.35">
      <c r="A24" s="1" t="s">
        <v>57</v>
      </c>
      <c r="B24" s="14" t="s">
        <v>58</v>
      </c>
      <c r="C24" s="14"/>
      <c r="D24" s="14">
        <v>2.62</v>
      </c>
      <c r="E24" s="14">
        <v>1.67</v>
      </c>
      <c r="F24" s="14">
        <v>0</v>
      </c>
      <c r="G24" s="49">
        <f t="shared" si="2"/>
        <v>4.29</v>
      </c>
      <c r="H24" s="50"/>
      <c r="I24" s="59">
        <f>I23</f>
        <v>1.147</v>
      </c>
      <c r="J24" s="59"/>
      <c r="K24" s="52">
        <f t="shared" si="3"/>
        <v>4.9206000000000003</v>
      </c>
      <c r="L24" s="53">
        <f t="shared" si="4"/>
        <v>20414</v>
      </c>
      <c r="N24" s="54">
        <v>5103</v>
      </c>
      <c r="O24" s="55">
        <v>130</v>
      </c>
      <c r="Q24" s="56"/>
      <c r="V24" s="402" t="s">
        <v>58</v>
      </c>
      <c r="W24" s="402"/>
      <c r="X24" s="392">
        <f>IF('1571'!K$84=1,'1571'!G24,0)</f>
        <v>0</v>
      </c>
      <c r="Y24" s="392"/>
      <c r="Z24" s="403">
        <v>1</v>
      </c>
      <c r="AA24" s="403"/>
      <c r="AB24" s="57">
        <f t="shared" si="0"/>
        <v>0</v>
      </c>
      <c r="AC24" s="58">
        <f t="shared" si="1"/>
        <v>0</v>
      </c>
      <c r="AD24" s="9"/>
    </row>
    <row r="25" spans="1:30" ht="16.8" thickBot="1" x14ac:dyDescent="0.4">
      <c r="A25" s="1" t="s">
        <v>59</v>
      </c>
      <c r="B25" s="14" t="s">
        <v>60</v>
      </c>
      <c r="C25" s="14"/>
      <c r="D25" s="14">
        <v>132.52000000000001</v>
      </c>
      <c r="E25" s="14">
        <v>146.04</v>
      </c>
      <c r="F25" s="14">
        <v>0</v>
      </c>
      <c r="G25" s="49">
        <f t="shared" si="2"/>
        <v>278.56</v>
      </c>
      <c r="H25" s="50"/>
      <c r="I25" s="59">
        <v>1.004</v>
      </c>
      <c r="J25" s="59"/>
      <c r="K25" s="52">
        <f t="shared" si="3"/>
        <v>279.67419999999998</v>
      </c>
      <c r="L25" s="53">
        <f t="shared" si="4"/>
        <v>1160282</v>
      </c>
      <c r="N25" s="54">
        <v>5310</v>
      </c>
      <c r="O25" s="55">
        <v>300</v>
      </c>
      <c r="Q25" s="56"/>
      <c r="V25" s="402" t="s">
        <v>60</v>
      </c>
      <c r="W25" s="402"/>
      <c r="X25" s="392">
        <f>IF('1571'!K$84=1,'1571'!G25,0)</f>
        <v>0</v>
      </c>
      <c r="Y25" s="392"/>
      <c r="Z25" s="403">
        <v>1</v>
      </c>
      <c r="AA25" s="403"/>
      <c r="AB25" s="57">
        <f t="shared" si="0"/>
        <v>0</v>
      </c>
      <c r="AC25" s="58">
        <f t="shared" si="1"/>
        <v>0</v>
      </c>
      <c r="AD25" s="9"/>
    </row>
    <row r="26" spans="1:30" ht="20.25" customHeight="1" thickBot="1" x14ac:dyDescent="0.35">
      <c r="B26" s="63" t="s">
        <v>61</v>
      </c>
      <c r="C26" s="63"/>
      <c r="D26" s="64">
        <f t="shared" ref="D26:E26" si="5">SUM(D10:D25)</f>
        <v>552.5</v>
      </c>
      <c r="E26" s="64">
        <f t="shared" si="5"/>
        <v>553.09</v>
      </c>
      <c r="F26" s="64"/>
      <c r="G26" s="64">
        <f>SUM(G10:G25)</f>
        <v>1105.5899999999999</v>
      </c>
      <c r="H26" s="65"/>
      <c r="I26" s="65"/>
      <c r="J26" s="66"/>
      <c r="K26" s="67">
        <f>SUM(K10:K25)</f>
        <v>1112.7166999999999</v>
      </c>
      <c r="L26" s="68">
        <f>SUM(L10:L25)</f>
        <v>4616318</v>
      </c>
      <c r="N26" s="56"/>
      <c r="O26" s="69"/>
      <c r="P26" s="56"/>
      <c r="Q26" s="56"/>
      <c r="V26" s="404" t="s">
        <v>61</v>
      </c>
      <c r="W26" s="404"/>
      <c r="X26" s="405">
        <f>SUM(X10:X25)</f>
        <v>0</v>
      </c>
      <c r="Y26" s="405"/>
      <c r="Z26" s="406"/>
      <c r="AA26" s="407"/>
      <c r="AB26" s="70">
        <f>SUM(AB10:AB25)</f>
        <v>0</v>
      </c>
      <c r="AC26" s="71">
        <f>SUM(AC10:AC25)</f>
        <v>0</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60.37</v>
      </c>
      <c r="E34" s="14">
        <v>56.4</v>
      </c>
      <c r="F34" s="90">
        <v>0</v>
      </c>
      <c r="G34" s="49">
        <f t="shared" si="6"/>
        <v>116.77</v>
      </c>
      <c r="H34" s="80"/>
      <c r="I34" s="91" t="s">
        <v>77</v>
      </c>
      <c r="J34" s="54">
        <v>251</v>
      </c>
      <c r="K34" s="82">
        <v>835</v>
      </c>
      <c r="L34" s="83">
        <f t="shared" si="8"/>
        <v>97503</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61.39</v>
      </c>
      <c r="E35" s="14">
        <v>65.569999999999993</v>
      </c>
      <c r="F35" s="90">
        <v>0</v>
      </c>
      <c r="G35" s="49">
        <f t="shared" si="6"/>
        <v>126.96</v>
      </c>
      <c r="H35" s="80"/>
      <c r="I35" s="91" t="s">
        <v>77</v>
      </c>
      <c r="J35" s="54">
        <v>252</v>
      </c>
      <c r="K35" s="82">
        <v>3168</v>
      </c>
      <c r="L35" s="83">
        <f t="shared" si="8"/>
        <v>402209</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0</v>
      </c>
      <c r="E36" s="14">
        <v>0</v>
      </c>
      <c r="F36" s="90">
        <v>0</v>
      </c>
      <c r="G36" s="49">
        <f t="shared" si="6"/>
        <v>0</v>
      </c>
      <c r="H36" s="80"/>
      <c r="I36" s="91" t="s">
        <v>77</v>
      </c>
      <c r="J36" s="54">
        <v>253</v>
      </c>
      <c r="K36" s="82">
        <v>6685</v>
      </c>
      <c r="L36" s="94">
        <f t="shared" si="8"/>
        <v>0</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121.75999999999999</v>
      </c>
      <c r="E37" s="64">
        <f t="shared" si="10"/>
        <v>121.97</v>
      </c>
      <c r="F37" s="64"/>
      <c r="G37" s="64">
        <f>SUM(G28:G36)</f>
        <v>243.73</v>
      </c>
      <c r="H37" s="65"/>
      <c r="I37" s="14" t="s">
        <v>81</v>
      </c>
      <c r="J37" s="14"/>
      <c r="K37" s="14"/>
      <c r="L37" s="53">
        <f>SUM(L28:L36)</f>
        <v>499712</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211168</v>
      </c>
      <c r="N40" s="104"/>
      <c r="O40" s="104"/>
      <c r="P40" s="104"/>
      <c r="Q40" s="104"/>
      <c r="V40" s="422" t="s">
        <v>85</v>
      </c>
      <c r="W40" s="422"/>
      <c r="X40" s="423">
        <f>+G40</f>
        <v>181379.8</v>
      </c>
      <c r="Y40" s="423"/>
      <c r="Z40" s="423"/>
      <c r="AA40" s="423"/>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5327198</v>
      </c>
      <c r="O44" s="1"/>
      <c r="V44" s="433" t="s">
        <v>89</v>
      </c>
      <c r="W44" s="433"/>
      <c r="X44" s="433"/>
      <c r="Y44" s="433"/>
      <c r="Z44" s="433"/>
      <c r="AA44" s="433"/>
      <c r="AB44" s="433"/>
      <c r="AC44" s="112">
        <f>SUM(AC26,AC37,AC40)</f>
        <v>0</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1112.7166999999999</v>
      </c>
      <c r="D49" s="123"/>
      <c r="E49" s="123"/>
      <c r="F49" s="123"/>
      <c r="G49" s="124">
        <f>K7</f>
        <v>1.0289999999999999</v>
      </c>
      <c r="H49" s="124"/>
      <c r="I49" s="125">
        <v>905.98</v>
      </c>
      <c r="J49" s="126" t="s">
        <v>96</v>
      </c>
      <c r="K49" s="127">
        <f>ROUND(C49*G49*I49,0)</f>
        <v>1037334</v>
      </c>
      <c r="L49" s="63"/>
      <c r="M49" s="109"/>
      <c r="N49" s="139"/>
      <c r="O49" s="140"/>
      <c r="P49" s="69"/>
      <c r="Q49" s="141"/>
      <c r="V49" s="142" t="s">
        <v>77</v>
      </c>
      <c r="W49" s="143">
        <f>AB14+AB15+AB18+AB21+AB24+AB25</f>
        <v>0</v>
      </c>
      <c r="X49" s="426">
        <f>AB7</f>
        <v>1.0289999999999999</v>
      </c>
      <c r="Y49" s="426"/>
      <c r="Z49" s="130">
        <f>+I49</f>
        <v>905.98</v>
      </c>
      <c r="AA49" s="131" t="s">
        <v>96</v>
      </c>
      <c r="AB49" s="132">
        <f>ROUND(W49*X49*Z49,0)</f>
        <v>0</v>
      </c>
      <c r="AC49" s="136"/>
      <c r="AD49" s="110"/>
    </row>
    <row r="50" spans="2:30" ht="24" customHeight="1" thickBot="1" x14ac:dyDescent="0.35">
      <c r="B50" s="144" t="s">
        <v>97</v>
      </c>
      <c r="C50" s="145">
        <f>SUM(C47:C49)</f>
        <v>1112.7166999999999</v>
      </c>
      <c r="D50" s="146"/>
      <c r="E50" s="147"/>
      <c r="F50" s="147"/>
      <c r="G50" s="148" t="s">
        <v>98</v>
      </c>
      <c r="H50" s="148"/>
      <c r="I50" s="148"/>
      <c r="J50" s="148"/>
      <c r="K50" s="148"/>
      <c r="L50" s="53">
        <f>IF(B2=75,0,K49+K48+K47)</f>
        <v>1037334</v>
      </c>
      <c r="N50" s="3"/>
      <c r="O50" s="1"/>
      <c r="V50" s="149" t="s">
        <v>97</v>
      </c>
      <c r="W50" s="150">
        <f>SUM(W47:W49)</f>
        <v>0</v>
      </c>
      <c r="X50" s="427" t="s">
        <v>98</v>
      </c>
      <c r="Y50" s="428"/>
      <c r="Z50" s="428"/>
      <c r="AA50" s="428"/>
      <c r="AB50" s="428"/>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1112.7166999999999</v>
      </c>
      <c r="H53" s="59" t="s">
        <v>102</v>
      </c>
      <c r="I53" s="59"/>
      <c r="J53" s="155">
        <v>198050.23</v>
      </c>
      <c r="K53" s="155"/>
      <c r="L53" s="155"/>
      <c r="N53" s="3"/>
      <c r="O53" s="1"/>
      <c r="V53" s="436" t="s">
        <v>101</v>
      </c>
      <c r="W53" s="436"/>
      <c r="X53" s="156">
        <f>AB26</f>
        <v>0</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5.6179999999999997E-3</v>
      </c>
      <c r="L54" s="157"/>
      <c r="N54" s="69"/>
      <c r="O54" s="1"/>
      <c r="V54" s="436" t="s">
        <v>103</v>
      </c>
      <c r="W54" s="436"/>
      <c r="X54" s="436"/>
      <c r="Y54" s="436"/>
      <c r="Z54" s="436"/>
      <c r="AA54" s="436"/>
      <c r="AB54" s="439">
        <f>ROUND(X53/AA53,6)</f>
        <v>0</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1105.5899999999999</v>
      </c>
      <c r="H56" s="59" t="s">
        <v>106</v>
      </c>
      <c r="I56" s="59"/>
      <c r="J56" s="155">
        <f>+G40</f>
        <v>181379.8</v>
      </c>
      <c r="K56" s="155"/>
      <c r="L56" s="155"/>
      <c r="O56" s="1"/>
      <c r="V56" s="436" t="s">
        <v>105</v>
      </c>
      <c r="W56" s="436"/>
      <c r="X56" s="159">
        <f>X26</f>
        <v>0</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6.0949999999999997E-3</v>
      </c>
      <c r="L57" s="157"/>
      <c r="O57" s="1"/>
      <c r="V57" s="436" t="s">
        <v>107</v>
      </c>
      <c r="W57" s="436"/>
      <c r="X57" s="436"/>
      <c r="Y57" s="436"/>
      <c r="Z57" s="436"/>
      <c r="AA57" s="436"/>
      <c r="AB57" s="439">
        <f>ROUND(X56/AA56,6)</f>
        <v>0</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5.6179999999999997E-3</v>
      </c>
      <c r="L59" s="53">
        <f>ROUND(I59*K59,0)</f>
        <v>23769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5.6179999999999997E-3</v>
      </c>
      <c r="L67" s="53">
        <f>ROUND(I67*K67,0)</f>
        <v>582579</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6.0949999999999997E-3</v>
      </c>
      <c r="L69" s="53">
        <f>ROUND(I69*K69,0)</f>
        <v>0</v>
      </c>
      <c r="O69" s="1"/>
      <c r="V69" s="430" t="s">
        <v>121</v>
      </c>
      <c r="W69" s="430"/>
      <c r="X69" s="430"/>
      <c r="Y69" s="447">
        <f>+I70</f>
        <v>0</v>
      </c>
      <c r="Z69" s="447"/>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5.6179999999999997E-3</v>
      </c>
      <c r="L70" s="53">
        <f>ROUND(I70*K70,0)</f>
        <v>0</v>
      </c>
      <c r="O70" s="1"/>
      <c r="V70" s="430" t="s">
        <v>122</v>
      </c>
      <c r="W70" s="430"/>
      <c r="X70" s="430"/>
      <c r="Y70" s="444">
        <f>+I71</f>
        <v>1865769</v>
      </c>
      <c r="Z70" s="444"/>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5.6179999999999997E-3</v>
      </c>
      <c r="L71" s="53">
        <f>ROUND(I71*K71,0)</f>
        <v>10482</v>
      </c>
      <c r="O71" s="1"/>
      <c r="V71" s="430" t="s">
        <v>123</v>
      </c>
      <c r="W71" s="430"/>
      <c r="X71" s="430"/>
      <c r="Y71" s="444">
        <f>+I72</f>
        <v>13963927</v>
      </c>
      <c r="Z71" s="444"/>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6.0949999999999997E-3</v>
      </c>
      <c r="L72" s="53">
        <f>ROUND(I72*K72,0)</f>
        <v>85110</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875</v>
      </c>
      <c r="AA74" s="173" t="s">
        <v>130</v>
      </c>
      <c r="AB74" s="174">
        <f>+K75</f>
        <v>361</v>
      </c>
      <c r="AC74" s="58">
        <f>ROUND(AB74*Z74,0)</f>
        <v>315875</v>
      </c>
      <c r="AD74" s="9"/>
    </row>
    <row r="75" spans="1:30" ht="19.5" customHeight="1" x14ac:dyDescent="0.3">
      <c r="A75" s="1" t="s">
        <v>131</v>
      </c>
      <c r="B75" s="175" t="s">
        <v>128</v>
      </c>
      <c r="C75" s="176" t="s">
        <v>129</v>
      </c>
      <c r="D75" s="175">
        <v>881</v>
      </c>
      <c r="E75" s="175">
        <v>869</v>
      </c>
      <c r="F75" s="175">
        <v>0</v>
      </c>
      <c r="G75" s="177">
        <f>IF($B$154&lt;8,D75,E75)</f>
        <v>869</v>
      </c>
      <c r="H75" s="178"/>
      <c r="I75" s="179">
        <f>AVERAGE(G75,D75)</f>
        <v>875</v>
      </c>
      <c r="J75" s="180" t="s">
        <v>130</v>
      </c>
      <c r="K75" s="181">
        <v>361</v>
      </c>
      <c r="L75" s="53">
        <f>ROUND(K75*I75,0)</f>
        <v>315875</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6.0949999999999997E-3</v>
      </c>
      <c r="L77" s="53">
        <f>ROUND(I77*K77,0)</f>
        <v>10465</v>
      </c>
      <c r="O77" s="1"/>
      <c r="V77" s="430" t="str">
        <f>+B78</f>
        <v>15.  Florida Teachers Classroom Supply Assistance Program</v>
      </c>
      <c r="W77" s="430"/>
      <c r="X77" s="430"/>
      <c r="Y77" s="440">
        <f>+I78</f>
        <v>0</v>
      </c>
      <c r="Z77" s="440"/>
      <c r="AA77" s="173" t="s">
        <v>130</v>
      </c>
      <c r="AB77" s="162">
        <f>AB54</f>
        <v>0</v>
      </c>
      <c r="AC77" s="58">
        <f>ROUND(Y77*AB77,0)</f>
        <v>0</v>
      </c>
      <c r="AD77" s="9"/>
    </row>
    <row r="78" spans="1:30" ht="26.25" customHeight="1" x14ac:dyDescent="0.3">
      <c r="B78" s="384" t="s">
        <v>135</v>
      </c>
      <c r="C78" s="384"/>
      <c r="D78" s="384"/>
      <c r="E78" s="14"/>
      <c r="F78" s="14"/>
      <c r="H78" s="163" t="s">
        <v>136</v>
      </c>
      <c r="I78" s="187">
        <v>0</v>
      </c>
      <c r="J78" s="164" t="s">
        <v>110</v>
      </c>
      <c r="K78" s="165">
        <f>K54</f>
        <v>5.6179999999999997E-3</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315875</v>
      </c>
      <c r="AD81" s="197"/>
    </row>
    <row r="82" spans="1:30" ht="22.5" customHeight="1" thickTop="1" thickBot="1" x14ac:dyDescent="0.35">
      <c r="B82" s="14" t="s">
        <v>140</v>
      </c>
      <c r="C82" s="14"/>
      <c r="D82" s="14"/>
      <c r="E82" s="14"/>
      <c r="F82" s="14"/>
      <c r="G82" s="14"/>
      <c r="H82" s="14"/>
      <c r="I82" s="14"/>
      <c r="J82" s="14"/>
      <c r="K82" s="14"/>
      <c r="L82" s="198">
        <f>SUM(L44:L81)</f>
        <v>7392812</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'1571'!AC81</f>
        <v>315875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7392812</v>
      </c>
      <c r="L86" s="83">
        <f>IF(G26=0,0,IF(G26&gt;250,-(((250/G26)*K86)*IF(M86="H",0.02,0.05)),IF(M86="H",-0.02*K86,-0.05*K86)))</f>
        <v>-83584.466212610481</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7309227.5337873893</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-609102</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6700125.5337873893</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609102.32125339902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286056.13378738955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271</v>
      </c>
      <c r="C123" s="221" t="s">
        <v>199</v>
      </c>
    </row>
    <row r="124" spans="2:3" hidden="1" x14ac:dyDescent="0.3">
      <c r="B124" s="225" t="s">
        <v>272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41808.602337962999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271</v>
      </c>
      <c r="C164" s="235" t="s">
        <v>244</v>
      </c>
      <c r="D164" s="231"/>
    </row>
    <row r="165" spans="1:4" hidden="1" x14ac:dyDescent="0.3">
      <c r="A165" s="230" t="s">
        <v>245</v>
      </c>
      <c r="B165" s="234" t="s">
        <v>272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41808.602337962999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'2521'!B2</f>
        <v>50</v>
      </c>
      <c r="W2" s="380" t="s">
        <v>4</v>
      </c>
      <c r="X2" s="381"/>
      <c r="Y2" s="382"/>
      <c r="Z2" s="382"/>
      <c r="AA2" s="382"/>
      <c r="AB2" s="382"/>
      <c r="AC2" s="382"/>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399999999999999" x14ac:dyDescent="0.3">
      <c r="B4" s="384" t="s">
        <v>6</v>
      </c>
      <c r="C4" s="384"/>
      <c r="D4" s="384"/>
      <c r="E4" s="384"/>
      <c r="F4" s="384"/>
      <c r="G4" s="384"/>
      <c r="H4" s="384"/>
      <c r="I4" s="384"/>
      <c r="J4" s="14"/>
      <c r="K4" s="14"/>
      <c r="L4" s="14"/>
      <c r="M4" s="15"/>
      <c r="N4" s="15"/>
      <c r="O4" s="15"/>
      <c r="P4" s="15"/>
      <c r="Q4" s="15"/>
      <c r="V4" s="385" t="str">
        <f>+Based_on_the_Second_Calculation_of_the_FEFP_2010_11</f>
        <v>Based on the Final Conference Calculation of the FEFP 2014-15</v>
      </c>
      <c r="W4" s="385"/>
      <c r="X4" s="385"/>
      <c r="Y4" s="385"/>
      <c r="Z4" s="385"/>
      <c r="AA4" s="385"/>
      <c r="AB4" s="385"/>
      <c r="AC4" s="385"/>
      <c r="AD4" s="16"/>
    </row>
    <row r="5" spans="1:30" ht="18.75" customHeight="1" x14ac:dyDescent="0.3">
      <c r="B5" s="17" t="s">
        <v>7</v>
      </c>
      <c r="C5" s="17"/>
      <c r="D5" s="18"/>
      <c r="E5" s="17"/>
      <c r="F5" s="17"/>
      <c r="G5" s="19" t="s">
        <v>8</v>
      </c>
      <c r="H5" s="19"/>
      <c r="I5" s="19"/>
      <c r="J5" s="19"/>
      <c r="K5" s="19"/>
      <c r="L5" s="19"/>
      <c r="M5" s="20"/>
      <c r="N5" s="20"/>
      <c r="O5" s="20"/>
      <c r="P5" s="20"/>
      <c r="Q5" s="20"/>
      <c r="V5" s="386" t="s">
        <v>7</v>
      </c>
      <c r="W5" s="386"/>
      <c r="X5" s="387" t="s">
        <v>8</v>
      </c>
      <c r="Y5" s="387"/>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94" t="s">
        <v>10</v>
      </c>
      <c r="W6" s="394"/>
      <c r="X6" s="394"/>
      <c r="Y6" s="394"/>
      <c r="Z6" s="394"/>
      <c r="AA6" s="394"/>
      <c r="AB6" s="394"/>
      <c r="AC6" s="394"/>
      <c r="AD6" s="24"/>
    </row>
    <row r="7" spans="1:30" ht="18" customHeight="1" x14ac:dyDescent="0.3">
      <c r="B7" s="25" t="s">
        <v>11</v>
      </c>
      <c r="C7" s="25"/>
      <c r="D7" s="25"/>
      <c r="E7" s="25"/>
      <c r="F7" s="25"/>
      <c r="G7" s="26">
        <v>4031.77</v>
      </c>
      <c r="H7" s="26"/>
      <c r="I7" s="25" t="s">
        <v>12</v>
      </c>
      <c r="J7" s="25"/>
      <c r="K7" s="27">
        <v>1.0289999999999999</v>
      </c>
      <c r="L7" s="27"/>
      <c r="O7" s="1"/>
      <c r="V7" s="395" t="s">
        <v>11</v>
      </c>
      <c r="W7" s="395"/>
      <c r="X7" s="396">
        <f>'2521'!G7</f>
        <v>4031.77</v>
      </c>
      <c r="Y7" s="396"/>
      <c r="Z7" s="397" t="s">
        <v>12</v>
      </c>
      <c r="AA7" s="397"/>
      <c r="AB7" s="398">
        <f>+K7</f>
        <v>1.0289999999999999</v>
      </c>
      <c r="AC7" s="398"/>
      <c r="AD7" s="9"/>
    </row>
    <row r="8" spans="1:30" ht="51" customHeight="1" x14ac:dyDescent="0.3">
      <c r="B8" s="28" t="s">
        <v>13</v>
      </c>
      <c r="C8" s="28"/>
      <c r="D8" s="29" t="s">
        <v>514</v>
      </c>
      <c r="E8" s="29" t="s">
        <v>515</v>
      </c>
      <c r="F8" s="30"/>
      <c r="G8" s="31" t="s">
        <v>14</v>
      </c>
      <c r="H8" s="32"/>
      <c r="I8" s="33" t="s">
        <v>15</v>
      </c>
      <c r="J8" s="34"/>
      <c r="K8" s="35" t="s">
        <v>16</v>
      </c>
      <c r="L8" s="36" t="s">
        <v>17</v>
      </c>
      <c r="N8" s="1" t="s">
        <v>18</v>
      </c>
      <c r="O8" s="1" t="s">
        <v>19</v>
      </c>
      <c r="V8" s="399" t="s">
        <v>13</v>
      </c>
      <c r="W8" s="399"/>
      <c r="X8" s="400" t="s">
        <v>14</v>
      </c>
      <c r="Y8" s="400"/>
      <c r="Z8" s="401" t="s">
        <v>15</v>
      </c>
      <c r="AA8" s="401"/>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88" t="s">
        <v>21</v>
      </c>
      <c r="W9" s="388"/>
      <c r="X9" s="389" t="s">
        <v>22</v>
      </c>
      <c r="Y9" s="389"/>
      <c r="Z9" s="390" t="s">
        <v>23</v>
      </c>
      <c r="AA9" s="390"/>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91" t="s">
        <v>27</v>
      </c>
      <c r="W10" s="391"/>
      <c r="X10" s="392">
        <f>IF('2521'!K$84=1,'2521'!G10,0)</f>
        <v>0</v>
      </c>
      <c r="Y10" s="392"/>
      <c r="Z10" s="393">
        <v>1</v>
      </c>
      <c r="AA10" s="393"/>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402" t="s">
        <v>29</v>
      </c>
      <c r="W11" s="402"/>
      <c r="X11" s="392">
        <f>IF('2521'!K$84=1,'2521'!G11,0)</f>
        <v>0</v>
      </c>
      <c r="Y11" s="392"/>
      <c r="Z11" s="403">
        <v>1</v>
      </c>
      <c r="AA11" s="403"/>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402" t="s">
        <v>32</v>
      </c>
      <c r="W12" s="402"/>
      <c r="X12" s="392">
        <f>IF('2521'!K$84=1,'2521'!G12,0)</f>
        <v>0</v>
      </c>
      <c r="Y12" s="392"/>
      <c r="Z12" s="403">
        <v>1</v>
      </c>
      <c r="AA12" s="403"/>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402" t="s">
        <v>34</v>
      </c>
      <c r="W13" s="402"/>
      <c r="X13" s="392">
        <f>IF('2521'!K$84=1,'2521'!G13,0)</f>
        <v>0</v>
      </c>
      <c r="Y13" s="392"/>
      <c r="Z13" s="403">
        <v>1</v>
      </c>
      <c r="AA13" s="403"/>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402" t="s">
        <v>37</v>
      </c>
      <c r="W14" s="402"/>
      <c r="X14" s="392">
        <f>IF('2521'!K$84=1,'2521'!G14,0)</f>
        <v>0</v>
      </c>
      <c r="Y14" s="392"/>
      <c r="Z14" s="403">
        <v>1</v>
      </c>
      <c r="AA14" s="403"/>
      <c r="AB14" s="57">
        <f t="shared" si="0"/>
        <v>0</v>
      </c>
      <c r="AC14" s="58">
        <f t="shared" si="1"/>
        <v>0</v>
      </c>
      <c r="AD14" s="9"/>
    </row>
    <row r="15" spans="1:30" x14ac:dyDescent="0.3">
      <c r="A15" s="1" t="s">
        <v>38</v>
      </c>
      <c r="B15" s="14" t="s">
        <v>39</v>
      </c>
      <c r="C15" s="14"/>
      <c r="D15" s="14">
        <v>45.16</v>
      </c>
      <c r="E15" s="14">
        <v>48.46</v>
      </c>
      <c r="F15" s="14">
        <v>0</v>
      </c>
      <c r="G15" s="49">
        <f t="shared" si="2"/>
        <v>93.62</v>
      </c>
      <c r="H15" s="50"/>
      <c r="I15" s="59">
        <f>I14</f>
        <v>1.004</v>
      </c>
      <c r="J15" s="59"/>
      <c r="K15" s="52">
        <f t="shared" si="3"/>
        <v>93.994500000000002</v>
      </c>
      <c r="L15" s="61">
        <f t="shared" si="4"/>
        <v>389954</v>
      </c>
      <c r="M15" s="1" t="str">
        <f>IF(ROUND(G15,2)=ROUND(SUM(G34:G36),2)," ","CHECK 2. 9-12 Lines Below")</f>
        <v xml:space="preserve"> </v>
      </c>
      <c r="N15" s="54">
        <v>5103</v>
      </c>
      <c r="O15" s="60" t="s">
        <v>40</v>
      </c>
      <c r="Q15" s="56"/>
      <c r="V15" s="402" t="s">
        <v>39</v>
      </c>
      <c r="W15" s="402"/>
      <c r="X15" s="392">
        <f>IF('2521'!K$84=1,'2521'!G15,0)</f>
        <v>93.62</v>
      </c>
      <c r="Y15" s="392"/>
      <c r="Z15" s="403">
        <v>1</v>
      </c>
      <c r="AA15" s="403"/>
      <c r="AB15" s="57">
        <f t="shared" si="0"/>
        <v>93.62</v>
      </c>
      <c r="AC15" s="62">
        <f t="shared" si="1"/>
        <v>388400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402" t="s">
        <v>42</v>
      </c>
      <c r="W16" s="402"/>
      <c r="X16" s="392">
        <f>IF('2521'!K$84=1,'2521'!G16,0)</f>
        <v>0</v>
      </c>
      <c r="Y16" s="392"/>
      <c r="Z16" s="403">
        <v>1</v>
      </c>
      <c r="AA16" s="403"/>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402" t="s">
        <v>44</v>
      </c>
      <c r="W17" s="402"/>
      <c r="X17" s="392">
        <f>IF('2521'!K$84=1,'2521'!G17,0)</f>
        <v>0</v>
      </c>
      <c r="Y17" s="392"/>
      <c r="Z17" s="403">
        <v>1</v>
      </c>
      <c r="AA17" s="403"/>
      <c r="AB17" s="57">
        <f t="shared" si="0"/>
        <v>0</v>
      </c>
      <c r="AC17" s="58">
        <f t="shared" si="1"/>
        <v>0</v>
      </c>
      <c r="AD17" s="9"/>
    </row>
    <row r="18" spans="1:30" ht="16.2" x14ac:dyDescent="0.35">
      <c r="A18" s="1" t="s">
        <v>45</v>
      </c>
      <c r="B18" s="14" t="s">
        <v>46</v>
      </c>
      <c r="C18" s="14"/>
      <c r="D18" s="14">
        <v>11.29</v>
      </c>
      <c r="E18" s="14">
        <v>10.89</v>
      </c>
      <c r="F18" s="14">
        <v>0</v>
      </c>
      <c r="G18" s="49">
        <f t="shared" si="2"/>
        <v>22.18</v>
      </c>
      <c r="H18" s="50"/>
      <c r="I18" s="59">
        <f>I17</f>
        <v>3.548</v>
      </c>
      <c r="J18" s="59"/>
      <c r="K18" s="52">
        <f t="shared" si="3"/>
        <v>78.694599999999994</v>
      </c>
      <c r="L18" s="53">
        <f t="shared" si="4"/>
        <v>326480</v>
      </c>
      <c r="N18" s="54">
        <v>5103</v>
      </c>
      <c r="O18" s="56">
        <v>254</v>
      </c>
      <c r="Q18" s="56"/>
      <c r="V18" s="402" t="s">
        <v>46</v>
      </c>
      <c r="W18" s="402"/>
      <c r="X18" s="392">
        <f>IF('2521'!K$84=1,'2521'!G18,0)</f>
        <v>22.18</v>
      </c>
      <c r="Y18" s="392"/>
      <c r="Z18" s="403">
        <v>1</v>
      </c>
      <c r="AA18" s="403"/>
      <c r="AB18" s="57">
        <f t="shared" si="0"/>
        <v>22.18</v>
      </c>
      <c r="AC18" s="58">
        <f t="shared" si="1"/>
        <v>92018</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402" t="s">
        <v>48</v>
      </c>
      <c r="W19" s="402"/>
      <c r="X19" s="392">
        <f>IF('2521'!K$84=1,'2521'!G19,0)</f>
        <v>0</v>
      </c>
      <c r="Y19" s="392"/>
      <c r="Z19" s="403">
        <v>1</v>
      </c>
      <c r="AA19" s="403"/>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402" t="s">
        <v>50</v>
      </c>
      <c r="W20" s="402"/>
      <c r="X20" s="392">
        <f>IF('2521'!K$84=1,'2521'!G20,0)</f>
        <v>0</v>
      </c>
      <c r="Y20" s="392"/>
      <c r="Z20" s="403">
        <v>1</v>
      </c>
      <c r="AA20" s="403"/>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402" t="s">
        <v>52</v>
      </c>
      <c r="W21" s="402"/>
      <c r="X21" s="392">
        <f>IF('2521'!K$84=1,'2521'!G21,0)</f>
        <v>0</v>
      </c>
      <c r="Y21" s="392"/>
      <c r="Z21" s="403">
        <v>1</v>
      </c>
      <c r="AA21" s="403"/>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402" t="s">
        <v>54</v>
      </c>
      <c r="W22" s="402"/>
      <c r="X22" s="392">
        <f>IF('2521'!K$84=1,'2521'!G22,0)</f>
        <v>0</v>
      </c>
      <c r="Y22" s="392"/>
      <c r="Z22" s="403">
        <v>1</v>
      </c>
      <c r="AA22" s="403"/>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402" t="s">
        <v>56</v>
      </c>
      <c r="W23" s="402"/>
      <c r="X23" s="392">
        <f>IF('2521'!K$84=1,'2521'!G23,0)</f>
        <v>0</v>
      </c>
      <c r="Y23" s="392"/>
      <c r="Z23" s="403">
        <v>1</v>
      </c>
      <c r="AA23" s="403"/>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402" t="s">
        <v>58</v>
      </c>
      <c r="W24" s="402"/>
      <c r="X24" s="392">
        <f>IF('2521'!K$84=1,'2521'!G24,0)</f>
        <v>0</v>
      </c>
      <c r="Y24" s="392"/>
      <c r="Z24" s="403">
        <v>1</v>
      </c>
      <c r="AA24" s="403"/>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402" t="s">
        <v>60</v>
      </c>
      <c r="W25" s="402"/>
      <c r="X25" s="392">
        <f>IF('2521'!K$84=1,'2521'!G25,0)</f>
        <v>0</v>
      </c>
      <c r="Y25" s="392"/>
      <c r="Z25" s="403">
        <v>1</v>
      </c>
      <c r="AA25" s="403"/>
      <c r="AB25" s="57">
        <f t="shared" si="0"/>
        <v>0</v>
      </c>
      <c r="AC25" s="58">
        <f t="shared" si="1"/>
        <v>0</v>
      </c>
      <c r="AD25" s="9"/>
    </row>
    <row r="26" spans="1:30" ht="20.25" customHeight="1" thickBot="1" x14ac:dyDescent="0.35">
      <c r="B26" s="63" t="s">
        <v>61</v>
      </c>
      <c r="C26" s="63"/>
      <c r="D26" s="64">
        <f t="shared" ref="D26:E26" si="5">SUM(D10:D25)</f>
        <v>56.449999999999996</v>
      </c>
      <c r="E26" s="64">
        <f t="shared" si="5"/>
        <v>59.35</v>
      </c>
      <c r="F26" s="64"/>
      <c r="G26" s="64">
        <f>SUM(G10:G25)</f>
        <v>115.80000000000001</v>
      </c>
      <c r="H26" s="65"/>
      <c r="I26" s="65"/>
      <c r="J26" s="66"/>
      <c r="K26" s="67">
        <f>SUM(K10:K25)</f>
        <v>172.6891</v>
      </c>
      <c r="L26" s="68">
        <f>SUM(L10:L25)</f>
        <v>716434</v>
      </c>
      <c r="N26" s="56"/>
      <c r="O26" s="69"/>
      <c r="P26" s="56"/>
      <c r="Q26" s="56"/>
      <c r="V26" s="404" t="s">
        <v>61</v>
      </c>
      <c r="W26" s="404"/>
      <c r="X26" s="405">
        <f>SUM(X10:X25)</f>
        <v>115.80000000000001</v>
      </c>
      <c r="Y26" s="405"/>
      <c r="Z26" s="406"/>
      <c r="AA26" s="407"/>
      <c r="AB26" s="70">
        <f>SUM(AB10:AB25)</f>
        <v>115.80000000000001</v>
      </c>
      <c r="AC26" s="71">
        <f>SUM(AC10:AC25)</f>
        <v>480418</v>
      </c>
      <c r="AD26" s="9"/>
    </row>
    <row r="27" spans="1:30" ht="51.75" customHeight="1" x14ac:dyDescent="0.3">
      <c r="B27" s="63" t="s">
        <v>62</v>
      </c>
      <c r="C27" s="63"/>
      <c r="D27" s="29" t="s">
        <v>514</v>
      </c>
      <c r="E27" s="29" t="s">
        <v>515</v>
      </c>
      <c r="F27" s="30"/>
      <c r="G27" s="72" t="s">
        <v>63</v>
      </c>
      <c r="H27" s="73"/>
      <c r="I27" s="74" t="s">
        <v>64</v>
      </c>
      <c r="J27" s="74" t="s">
        <v>65</v>
      </c>
      <c r="K27" s="75" t="s">
        <v>66</v>
      </c>
      <c r="N27" s="56"/>
      <c r="O27" s="69"/>
      <c r="P27" s="56"/>
      <c r="Q27" s="56"/>
      <c r="V27" s="408" t="s">
        <v>62</v>
      </c>
      <c r="W27" s="408"/>
      <c r="X27" s="409" t="s">
        <v>63</v>
      </c>
      <c r="Y27" s="409"/>
      <c r="Z27" s="76" t="s">
        <v>64</v>
      </c>
      <c r="AA27" s="77" t="s">
        <v>65</v>
      </c>
      <c r="AB27" s="78" t="s">
        <v>66</v>
      </c>
      <c r="AC27" s="9"/>
      <c r="AD27" s="9"/>
    </row>
    <row r="28" spans="1:30" ht="15.75" customHeight="1" x14ac:dyDescent="0.3">
      <c r="A28" s="1" t="s">
        <v>67</v>
      </c>
      <c r="B28" s="410" t="s">
        <v>68</v>
      </c>
      <c r="C28" s="411"/>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416" t="s">
        <v>68</v>
      </c>
      <c r="W28" s="416"/>
      <c r="X28" s="417"/>
      <c r="Y28" s="417"/>
      <c r="Z28" s="86" t="s">
        <v>69</v>
      </c>
      <c r="AA28" s="87">
        <v>251</v>
      </c>
      <c r="AB28" s="88">
        <f>+K28</f>
        <v>1047</v>
      </c>
      <c r="AC28" s="89">
        <f t="shared" ref="AC28:AC36" si="7">ROUND(X28*AB28,0)</f>
        <v>0</v>
      </c>
      <c r="AD28" s="9"/>
    </row>
    <row r="29" spans="1:30" x14ac:dyDescent="0.3">
      <c r="A29" s="1" t="s">
        <v>70</v>
      </c>
      <c r="B29" s="412"/>
      <c r="C29" s="413"/>
      <c r="D29" s="14">
        <v>0</v>
      </c>
      <c r="E29" s="14">
        <v>0</v>
      </c>
      <c r="F29" s="90">
        <v>0</v>
      </c>
      <c r="G29" s="49">
        <f t="shared" si="6"/>
        <v>0</v>
      </c>
      <c r="H29" s="80"/>
      <c r="I29" s="54" t="s">
        <v>69</v>
      </c>
      <c r="J29" s="54">
        <v>252</v>
      </c>
      <c r="K29" s="82">
        <v>3380</v>
      </c>
      <c r="L29" s="83">
        <f t="shared" ref="L29:L36" si="8">ROUND(G29*K29,0)</f>
        <v>0</v>
      </c>
      <c r="N29" s="2">
        <v>5101</v>
      </c>
      <c r="O29" s="56">
        <v>252</v>
      </c>
      <c r="P29" s="84"/>
      <c r="Q29" s="85"/>
      <c r="V29" s="416"/>
      <c r="W29" s="416"/>
      <c r="X29" s="417"/>
      <c r="Y29" s="417"/>
      <c r="Z29" s="87" t="s">
        <v>69</v>
      </c>
      <c r="AA29" s="87">
        <v>252</v>
      </c>
      <c r="AB29" s="88">
        <f t="shared" ref="AB29:AB36" si="9">+K29</f>
        <v>3380</v>
      </c>
      <c r="AC29" s="89">
        <f t="shared" si="7"/>
        <v>0</v>
      </c>
      <c r="AD29" s="9"/>
    </row>
    <row r="30" spans="1:30" x14ac:dyDescent="0.3">
      <c r="A30" s="1" t="s">
        <v>71</v>
      </c>
      <c r="B30" s="412"/>
      <c r="C30" s="413"/>
      <c r="D30" s="14">
        <v>0</v>
      </c>
      <c r="E30" s="14">
        <v>0</v>
      </c>
      <c r="F30" s="90">
        <v>0</v>
      </c>
      <c r="G30" s="49">
        <f t="shared" si="6"/>
        <v>0</v>
      </c>
      <c r="H30" s="80"/>
      <c r="I30" s="54" t="s">
        <v>69</v>
      </c>
      <c r="J30" s="54">
        <v>253</v>
      </c>
      <c r="K30" s="82">
        <v>6896</v>
      </c>
      <c r="L30" s="83">
        <f t="shared" si="8"/>
        <v>0</v>
      </c>
      <c r="N30" s="2">
        <v>5101</v>
      </c>
      <c r="O30" s="56">
        <v>253</v>
      </c>
      <c r="P30" s="84"/>
      <c r="Q30" s="69"/>
      <c r="V30" s="416"/>
      <c r="W30" s="416"/>
      <c r="X30" s="417"/>
      <c r="Y30" s="417"/>
      <c r="Z30" s="87" t="s">
        <v>69</v>
      </c>
      <c r="AA30" s="87">
        <v>253</v>
      </c>
      <c r="AB30" s="88">
        <f t="shared" si="9"/>
        <v>6896</v>
      </c>
      <c r="AC30" s="89">
        <f t="shared" si="7"/>
        <v>0</v>
      </c>
      <c r="AD30" s="9"/>
    </row>
    <row r="31" spans="1:30" x14ac:dyDescent="0.3">
      <c r="A31" s="1" t="s">
        <v>72</v>
      </c>
      <c r="B31" s="412"/>
      <c r="C31" s="413"/>
      <c r="D31" s="14">
        <v>0</v>
      </c>
      <c r="E31" s="14">
        <v>0</v>
      </c>
      <c r="F31" s="90">
        <v>0</v>
      </c>
      <c r="G31" s="49">
        <f t="shared" si="6"/>
        <v>0</v>
      </c>
      <c r="H31" s="80"/>
      <c r="I31" s="91" t="s">
        <v>73</v>
      </c>
      <c r="J31" s="54">
        <v>251</v>
      </c>
      <c r="K31" s="82">
        <v>1173</v>
      </c>
      <c r="L31" s="83">
        <f t="shared" si="8"/>
        <v>0</v>
      </c>
      <c r="N31" s="2">
        <v>5102</v>
      </c>
      <c r="O31" s="56">
        <v>251</v>
      </c>
      <c r="P31" s="84"/>
      <c r="Q31" s="69"/>
      <c r="V31" s="416"/>
      <c r="W31" s="416"/>
      <c r="X31" s="417"/>
      <c r="Y31" s="417"/>
      <c r="Z31" s="92" t="s">
        <v>73</v>
      </c>
      <c r="AA31" s="87">
        <v>251</v>
      </c>
      <c r="AB31" s="88">
        <f t="shared" si="9"/>
        <v>1173</v>
      </c>
      <c r="AC31" s="89">
        <f t="shared" si="7"/>
        <v>0</v>
      </c>
      <c r="AD31" s="9"/>
    </row>
    <row r="32" spans="1:30" x14ac:dyDescent="0.3">
      <c r="A32" s="1" t="s">
        <v>74</v>
      </c>
      <c r="B32" s="412"/>
      <c r="C32" s="413"/>
      <c r="D32" s="14">
        <v>0</v>
      </c>
      <c r="E32" s="14">
        <v>0</v>
      </c>
      <c r="F32" s="90">
        <v>0</v>
      </c>
      <c r="G32" s="49">
        <f t="shared" si="6"/>
        <v>0</v>
      </c>
      <c r="H32" s="80"/>
      <c r="I32" s="91" t="s">
        <v>73</v>
      </c>
      <c r="J32" s="54">
        <v>252</v>
      </c>
      <c r="K32" s="82">
        <v>3506</v>
      </c>
      <c r="L32" s="83">
        <f t="shared" si="8"/>
        <v>0</v>
      </c>
      <c r="N32" s="2">
        <v>5102</v>
      </c>
      <c r="O32" s="56">
        <v>252</v>
      </c>
      <c r="P32" s="84"/>
      <c r="Q32" s="56"/>
      <c r="V32" s="416"/>
      <c r="W32" s="416"/>
      <c r="X32" s="417"/>
      <c r="Y32" s="417"/>
      <c r="Z32" s="92" t="s">
        <v>73</v>
      </c>
      <c r="AA32" s="87">
        <v>252</v>
      </c>
      <c r="AB32" s="88">
        <f t="shared" si="9"/>
        <v>3506</v>
      </c>
      <c r="AC32" s="89">
        <f t="shared" si="7"/>
        <v>0</v>
      </c>
      <c r="AD32" s="9"/>
    </row>
    <row r="33" spans="1:30" x14ac:dyDescent="0.3">
      <c r="A33" s="1" t="s">
        <v>75</v>
      </c>
      <c r="B33" s="412"/>
      <c r="C33" s="413"/>
      <c r="D33" s="14">
        <v>0</v>
      </c>
      <c r="E33" s="14">
        <v>0</v>
      </c>
      <c r="F33" s="90">
        <v>0</v>
      </c>
      <c r="G33" s="49">
        <f t="shared" si="6"/>
        <v>0</v>
      </c>
      <c r="H33" s="80"/>
      <c r="I33" s="91" t="s">
        <v>73</v>
      </c>
      <c r="J33" s="54">
        <v>253</v>
      </c>
      <c r="K33" s="82">
        <v>7023</v>
      </c>
      <c r="L33" s="83">
        <f t="shared" si="8"/>
        <v>0</v>
      </c>
      <c r="N33" s="2">
        <v>5102</v>
      </c>
      <c r="O33" s="56">
        <v>253</v>
      </c>
      <c r="P33" s="84"/>
      <c r="Q33" s="85"/>
      <c r="V33" s="416"/>
      <c r="W33" s="416"/>
      <c r="X33" s="417"/>
      <c r="Y33" s="417"/>
      <c r="Z33" s="92" t="s">
        <v>73</v>
      </c>
      <c r="AA33" s="87">
        <v>253</v>
      </c>
      <c r="AB33" s="88">
        <f t="shared" si="9"/>
        <v>7023</v>
      </c>
      <c r="AC33" s="89">
        <f t="shared" si="7"/>
        <v>0</v>
      </c>
      <c r="AD33" s="9"/>
    </row>
    <row r="34" spans="1:30" x14ac:dyDescent="0.3">
      <c r="A34" s="1" t="s">
        <v>76</v>
      </c>
      <c r="B34" s="412"/>
      <c r="C34" s="413"/>
      <c r="D34" s="14">
        <v>0.98</v>
      </c>
      <c r="E34" s="14">
        <v>1.02</v>
      </c>
      <c r="F34" s="90">
        <v>0</v>
      </c>
      <c r="G34" s="49">
        <f t="shared" si="6"/>
        <v>2</v>
      </c>
      <c r="H34" s="80"/>
      <c r="I34" s="91" t="s">
        <v>77</v>
      </c>
      <c r="J34" s="54">
        <v>251</v>
      </c>
      <c r="K34" s="82">
        <v>835</v>
      </c>
      <c r="L34" s="83">
        <f t="shared" si="8"/>
        <v>1670</v>
      </c>
      <c r="N34" s="2">
        <v>5103</v>
      </c>
      <c r="O34" s="56">
        <v>251</v>
      </c>
      <c r="P34" s="84"/>
      <c r="Q34" s="85"/>
      <c r="V34" s="416"/>
      <c r="W34" s="416"/>
      <c r="X34" s="417"/>
      <c r="Y34" s="417"/>
      <c r="Z34" s="92" t="s">
        <v>77</v>
      </c>
      <c r="AA34" s="87">
        <v>251</v>
      </c>
      <c r="AB34" s="88">
        <f t="shared" si="9"/>
        <v>835</v>
      </c>
      <c r="AC34" s="89">
        <f t="shared" si="7"/>
        <v>0</v>
      </c>
      <c r="AD34" s="9"/>
    </row>
    <row r="35" spans="1:30" x14ac:dyDescent="0.3">
      <c r="A35" s="1" t="s">
        <v>78</v>
      </c>
      <c r="B35" s="412"/>
      <c r="C35" s="413"/>
      <c r="D35" s="14">
        <v>4.9000000000000004</v>
      </c>
      <c r="E35" s="14">
        <v>8.84</v>
      </c>
      <c r="F35" s="90">
        <v>0</v>
      </c>
      <c r="G35" s="49">
        <f t="shared" si="6"/>
        <v>13.74</v>
      </c>
      <c r="H35" s="80"/>
      <c r="I35" s="91" t="s">
        <v>77</v>
      </c>
      <c r="J35" s="54">
        <v>252</v>
      </c>
      <c r="K35" s="82">
        <v>3168</v>
      </c>
      <c r="L35" s="83">
        <f t="shared" si="8"/>
        <v>43528</v>
      </c>
      <c r="N35" s="2">
        <v>5103</v>
      </c>
      <c r="O35" s="56">
        <v>252</v>
      </c>
      <c r="P35" s="84"/>
      <c r="Q35" s="93"/>
      <c r="V35" s="416"/>
      <c r="W35" s="416"/>
      <c r="X35" s="417"/>
      <c r="Y35" s="417"/>
      <c r="Z35" s="92" t="s">
        <v>77</v>
      </c>
      <c r="AA35" s="87">
        <v>252</v>
      </c>
      <c r="AB35" s="88">
        <f t="shared" si="9"/>
        <v>3168</v>
      </c>
      <c r="AC35" s="89">
        <f t="shared" si="7"/>
        <v>0</v>
      </c>
      <c r="AD35" s="9"/>
    </row>
    <row r="36" spans="1:30" ht="16.2" thickBot="1" x14ac:dyDescent="0.35">
      <c r="A36" s="1" t="s">
        <v>79</v>
      </c>
      <c r="B36" s="414"/>
      <c r="C36" s="415"/>
      <c r="D36" s="14">
        <v>39.28</v>
      </c>
      <c r="E36" s="14">
        <v>38.6</v>
      </c>
      <c r="F36" s="90">
        <v>0</v>
      </c>
      <c r="G36" s="49">
        <f t="shared" si="6"/>
        <v>77.88</v>
      </c>
      <c r="H36" s="80"/>
      <c r="I36" s="91" t="s">
        <v>77</v>
      </c>
      <c r="J36" s="54">
        <v>253</v>
      </c>
      <c r="K36" s="82">
        <v>6685</v>
      </c>
      <c r="L36" s="94">
        <f t="shared" si="8"/>
        <v>520628</v>
      </c>
      <c r="N36" s="2">
        <v>5103</v>
      </c>
      <c r="O36" s="56">
        <v>253</v>
      </c>
      <c r="P36" s="84"/>
      <c r="Q36" s="95"/>
      <c r="V36" s="416"/>
      <c r="W36" s="416"/>
      <c r="X36" s="424"/>
      <c r="Y36" s="424"/>
      <c r="Z36" s="92" t="s">
        <v>77</v>
      </c>
      <c r="AA36" s="87">
        <v>253</v>
      </c>
      <c r="AB36" s="88">
        <f t="shared" si="9"/>
        <v>6685</v>
      </c>
      <c r="AC36" s="96">
        <f t="shared" si="7"/>
        <v>0</v>
      </c>
      <c r="AD36" s="9"/>
    </row>
    <row r="37" spans="1:30" ht="18.75" customHeight="1" x14ac:dyDescent="0.3">
      <c r="B37" s="14" t="s">
        <v>80</v>
      </c>
      <c r="C37" s="14"/>
      <c r="D37" s="64">
        <f t="shared" ref="D37:E37" si="10">SUM(D28:D36)</f>
        <v>45.160000000000004</v>
      </c>
      <c r="E37" s="64">
        <f t="shared" si="10"/>
        <v>48.46</v>
      </c>
      <c r="F37" s="64"/>
      <c r="G37" s="64">
        <f>SUM(G28:G36)</f>
        <v>93.61999999999999</v>
      </c>
      <c r="H37" s="65"/>
      <c r="I37" s="14" t="s">
        <v>81</v>
      </c>
      <c r="J37" s="14"/>
      <c r="K37" s="14"/>
      <c r="L37" s="53">
        <f>SUM(L28:L36)</f>
        <v>565826</v>
      </c>
      <c r="N37" s="56"/>
      <c r="O37" s="69"/>
      <c r="P37" s="56"/>
      <c r="Q37" s="56"/>
      <c r="V37" s="425" t="s">
        <v>80</v>
      </c>
      <c r="W37" s="425"/>
      <c r="X37" s="405">
        <f>SUM(X28:X36)</f>
        <v>0</v>
      </c>
      <c r="Y37" s="405"/>
      <c r="Z37" s="425" t="s">
        <v>81</v>
      </c>
      <c r="AA37" s="425"/>
      <c r="AB37" s="425"/>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418" t="s">
        <v>82</v>
      </c>
      <c r="W38" s="418"/>
      <c r="X38" s="418"/>
      <c r="Y38" s="418"/>
      <c r="Z38" s="418"/>
      <c r="AA38" s="418"/>
      <c r="AB38" s="418"/>
      <c r="AC38" s="418"/>
      <c r="AD38" s="99"/>
    </row>
    <row r="39" spans="1:30" ht="15.75" customHeight="1" x14ac:dyDescent="0.3">
      <c r="B39" s="100" t="s">
        <v>83</v>
      </c>
      <c r="C39" s="100"/>
      <c r="D39" s="100"/>
      <c r="E39" s="100"/>
      <c r="F39" s="100"/>
      <c r="G39" s="101">
        <v>34651002</v>
      </c>
      <c r="H39" s="101"/>
      <c r="I39" s="14" t="s">
        <v>84</v>
      </c>
      <c r="J39" s="14"/>
      <c r="K39" s="14"/>
      <c r="L39" s="14"/>
      <c r="O39" s="1"/>
      <c r="V39" s="419" t="s">
        <v>83</v>
      </c>
      <c r="W39" s="419"/>
      <c r="X39" s="420">
        <f>+G39</f>
        <v>34651002</v>
      </c>
      <c r="Y39" s="420"/>
      <c r="Z39" s="421" t="s">
        <v>84</v>
      </c>
      <c r="AA39" s="421"/>
      <c r="AB39" s="421"/>
      <c r="AC39" s="421"/>
      <c r="AD39" s="9"/>
    </row>
    <row r="40" spans="1:30" ht="15.75" customHeight="1" x14ac:dyDescent="0.3">
      <c r="B40" s="102" t="s">
        <v>85</v>
      </c>
      <c r="C40" s="102"/>
      <c r="D40" s="102"/>
      <c r="E40" s="102"/>
      <c r="F40" s="102"/>
      <c r="G40" s="103">
        <v>181379.8</v>
      </c>
      <c r="H40" s="103"/>
      <c r="I40" s="103"/>
      <c r="J40" s="103"/>
      <c r="K40" s="53">
        <f>ROUND(+G39/G40,0)</f>
        <v>191</v>
      </c>
      <c r="L40" s="53">
        <f>ROUND(K40*$G$26,0)</f>
        <v>22118</v>
      </c>
      <c r="N40" s="104"/>
      <c r="O40" s="104"/>
      <c r="P40" s="104"/>
      <c r="Q40" s="104"/>
      <c r="V40" s="422" t="s">
        <v>85</v>
      </c>
      <c r="W40" s="422"/>
      <c r="X40" s="423">
        <f>+G40</f>
        <v>181379.8</v>
      </c>
      <c r="Y40" s="423"/>
      <c r="Z40" s="423"/>
      <c r="AA40" s="423"/>
      <c r="AB40" s="58">
        <f>ROUND(X39/X40,0)</f>
        <v>191</v>
      </c>
      <c r="AC40" s="58">
        <f>ROUND(AB40*$X$26,0)</f>
        <v>22118</v>
      </c>
      <c r="AD40" s="9"/>
    </row>
    <row r="41" spans="1:30" ht="15.75" customHeight="1" x14ac:dyDescent="0.3">
      <c r="B41" s="105" t="s">
        <v>86</v>
      </c>
      <c r="C41" s="105"/>
      <c r="D41" s="105"/>
      <c r="E41" s="105"/>
      <c r="F41" s="105"/>
      <c r="G41" s="105"/>
      <c r="H41" s="105"/>
      <c r="I41" s="105"/>
      <c r="J41" s="105"/>
      <c r="K41" s="105"/>
      <c r="L41" s="105"/>
      <c r="N41" s="69"/>
      <c r="O41" s="106"/>
      <c r="P41" s="69"/>
      <c r="Q41" s="69"/>
      <c r="V41" s="431" t="s">
        <v>86</v>
      </c>
      <c r="W41" s="431"/>
      <c r="X41" s="431"/>
      <c r="Y41" s="431"/>
      <c r="Z41" s="431"/>
      <c r="AA41" s="431"/>
      <c r="AB41" s="431"/>
      <c r="AC41" s="431"/>
      <c r="AD41" s="9"/>
    </row>
    <row r="42" spans="1:30" ht="28.5" customHeight="1" x14ac:dyDescent="0.3">
      <c r="B42" s="97" t="s">
        <v>87</v>
      </c>
      <c r="C42" s="97"/>
      <c r="D42" s="97"/>
      <c r="E42" s="97"/>
      <c r="F42" s="97"/>
      <c r="G42" s="97"/>
      <c r="H42" s="97"/>
      <c r="I42" s="97"/>
      <c r="J42" s="97"/>
      <c r="K42" s="97"/>
      <c r="L42" s="97"/>
      <c r="M42" s="104"/>
      <c r="O42" s="1"/>
      <c r="V42" s="418" t="s">
        <v>87</v>
      </c>
      <c r="W42" s="418"/>
      <c r="X42" s="418"/>
      <c r="Y42" s="418"/>
      <c r="Z42" s="418"/>
      <c r="AA42" s="418"/>
      <c r="AB42" s="418"/>
      <c r="AC42" s="418"/>
      <c r="AD42" s="107"/>
    </row>
    <row r="43" spans="1:30" x14ac:dyDescent="0.3">
      <c r="B43" s="108" t="s">
        <v>88</v>
      </c>
      <c r="C43" s="108"/>
      <c r="D43" s="108"/>
      <c r="E43" s="108"/>
      <c r="F43" s="108"/>
      <c r="G43" s="108"/>
      <c r="H43" s="108"/>
      <c r="I43" s="108"/>
      <c r="J43" s="108"/>
      <c r="K43" s="108"/>
      <c r="L43" s="108"/>
      <c r="M43" s="109"/>
      <c r="N43" s="69"/>
      <c r="O43" s="69"/>
      <c r="P43" s="69"/>
      <c r="Q43" s="69"/>
      <c r="V43" s="432" t="s">
        <v>88</v>
      </c>
      <c r="W43" s="432"/>
      <c r="X43" s="432"/>
      <c r="Y43" s="432"/>
      <c r="Z43" s="432"/>
      <c r="AA43" s="432"/>
      <c r="AB43" s="432"/>
      <c r="AC43" s="432"/>
      <c r="AD43" s="110"/>
    </row>
    <row r="44" spans="1:30" ht="24" customHeight="1" x14ac:dyDescent="0.3">
      <c r="B44" s="63" t="s">
        <v>89</v>
      </c>
      <c r="C44" s="63"/>
      <c r="D44" s="63"/>
      <c r="E44" s="63"/>
      <c r="F44" s="63"/>
      <c r="G44" s="63"/>
      <c r="H44" s="63"/>
      <c r="I44" s="63"/>
      <c r="J44" s="63"/>
      <c r="K44" s="63"/>
      <c r="L44" s="111">
        <f>SUM(L26,L37,L40)</f>
        <v>1304378</v>
      </c>
      <c r="O44" s="1"/>
      <c r="V44" s="433" t="s">
        <v>89</v>
      </c>
      <c r="W44" s="433"/>
      <c r="X44" s="433"/>
      <c r="Y44" s="433"/>
      <c r="Z44" s="433"/>
      <c r="AA44" s="433"/>
      <c r="AB44" s="433"/>
      <c r="AC44" s="112">
        <f>SUM(AC26,AC37,AC40)</f>
        <v>502536</v>
      </c>
      <c r="AD44" s="9"/>
    </row>
    <row r="45" spans="1:30" ht="30.75" customHeight="1" x14ac:dyDescent="0.3">
      <c r="B45" s="97" t="s">
        <v>90</v>
      </c>
      <c r="C45" s="97"/>
      <c r="D45" s="97"/>
      <c r="E45" s="97"/>
      <c r="F45" s="97"/>
      <c r="G45" s="97"/>
      <c r="H45" s="97"/>
      <c r="I45" s="97"/>
      <c r="J45" s="97"/>
      <c r="K45" s="97"/>
      <c r="L45" s="97"/>
      <c r="M45" s="113"/>
      <c r="O45" s="1"/>
      <c r="V45" s="418" t="s">
        <v>90</v>
      </c>
      <c r="W45" s="418"/>
      <c r="X45" s="418"/>
      <c r="Y45" s="418"/>
      <c r="Z45" s="418"/>
      <c r="AA45" s="418"/>
      <c r="AB45" s="418"/>
      <c r="AC45" s="418"/>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34" t="s">
        <v>94</v>
      </c>
      <c r="Y46" s="434"/>
      <c r="Z46" s="435" t="s">
        <v>93</v>
      </c>
      <c r="AA46" s="435"/>
      <c r="AB46" s="435"/>
      <c r="AC46" s="435"/>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426">
        <f>AB7</f>
        <v>1.0289999999999999</v>
      </c>
      <c r="Y47" s="426"/>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426">
        <f>AB7</f>
        <v>1.0289999999999999</v>
      </c>
      <c r="Y48" s="426"/>
      <c r="Z48" s="130">
        <f>+I48</f>
        <v>903.8</v>
      </c>
      <c r="AA48" s="131" t="s">
        <v>96</v>
      </c>
      <c r="AB48" s="132">
        <f>ROUND(W48*X48*Z48,0)</f>
        <v>0</v>
      </c>
      <c r="AC48" s="136"/>
      <c r="AD48" s="9"/>
    </row>
    <row r="49" spans="2:30" ht="19.5" customHeight="1" thickBot="1" x14ac:dyDescent="0.4">
      <c r="B49" s="137" t="s">
        <v>77</v>
      </c>
      <c r="C49" s="138">
        <f>K14+K15+K18+K21+K24+K25</f>
        <v>172.6891</v>
      </c>
      <c r="D49" s="123"/>
      <c r="E49" s="123"/>
      <c r="F49" s="123"/>
      <c r="G49" s="124">
        <f>K7</f>
        <v>1.0289999999999999</v>
      </c>
      <c r="H49" s="124"/>
      <c r="I49" s="125">
        <v>905.98</v>
      </c>
      <c r="J49" s="126" t="s">
        <v>96</v>
      </c>
      <c r="K49" s="127">
        <f>ROUND(C49*G49*I49,0)</f>
        <v>160990</v>
      </c>
      <c r="L49" s="63"/>
      <c r="M49" s="109"/>
      <c r="N49" s="139"/>
      <c r="O49" s="140"/>
      <c r="P49" s="69"/>
      <c r="Q49" s="141"/>
      <c r="V49" s="142" t="s">
        <v>77</v>
      </c>
      <c r="W49" s="143">
        <f>AB14+AB15+AB18+AB21+AB24+AB25</f>
        <v>115.80000000000001</v>
      </c>
      <c r="X49" s="426">
        <f>AB7</f>
        <v>1.0289999999999999</v>
      </c>
      <c r="Y49" s="426"/>
      <c r="Z49" s="130">
        <f>+I49</f>
        <v>905.98</v>
      </c>
      <c r="AA49" s="131" t="s">
        <v>96</v>
      </c>
      <c r="AB49" s="132">
        <f>ROUND(W49*X49*Z49,0)</f>
        <v>107955</v>
      </c>
      <c r="AC49" s="136"/>
      <c r="AD49" s="110"/>
    </row>
    <row r="50" spans="2:30" ht="24" customHeight="1" thickBot="1" x14ac:dyDescent="0.35">
      <c r="B50" s="144" t="s">
        <v>97</v>
      </c>
      <c r="C50" s="145">
        <f>SUM(C47:C49)</f>
        <v>172.6891</v>
      </c>
      <c r="D50" s="146"/>
      <c r="E50" s="147"/>
      <c r="F50" s="147"/>
      <c r="G50" s="148" t="s">
        <v>98</v>
      </c>
      <c r="H50" s="148"/>
      <c r="I50" s="148"/>
      <c r="J50" s="148"/>
      <c r="K50" s="148"/>
      <c r="L50" s="53">
        <f>IF(B2=75,0,K49+K48+K47)</f>
        <v>160990</v>
      </c>
      <c r="N50" s="3"/>
      <c r="O50" s="1"/>
      <c r="V50" s="149" t="s">
        <v>97</v>
      </c>
      <c r="W50" s="150">
        <f>SUM(W47:W49)</f>
        <v>115.80000000000001</v>
      </c>
      <c r="X50" s="427" t="s">
        <v>98</v>
      </c>
      <c r="Y50" s="428"/>
      <c r="Z50" s="428"/>
      <c r="AA50" s="428"/>
      <c r="AB50" s="428"/>
      <c r="AC50" s="58">
        <f>IF(V2=75,0,AB49+AB48+AB47)</f>
        <v>107955</v>
      </c>
      <c r="AD50" s="9"/>
    </row>
    <row r="51" spans="2:30" ht="19.5" customHeight="1" x14ac:dyDescent="0.35">
      <c r="B51" s="152" t="s">
        <v>99</v>
      </c>
      <c r="C51" s="152"/>
      <c r="D51" s="152"/>
      <c r="E51" s="152"/>
      <c r="F51" s="152"/>
      <c r="G51" s="152"/>
      <c r="H51" s="152"/>
      <c r="I51" s="152"/>
      <c r="J51" s="152"/>
      <c r="K51" s="152"/>
      <c r="L51" s="152"/>
      <c r="M51" s="139"/>
      <c r="N51" s="69"/>
      <c r="O51" s="1"/>
      <c r="V51" s="429" t="s">
        <v>99</v>
      </c>
      <c r="W51" s="429"/>
      <c r="X51" s="429"/>
      <c r="Y51" s="429"/>
      <c r="Z51" s="429"/>
      <c r="AA51" s="429"/>
      <c r="AB51" s="429"/>
      <c r="AC51" s="429"/>
      <c r="AD51" s="153"/>
    </row>
    <row r="52" spans="2:30" ht="27.75" customHeight="1" x14ac:dyDescent="0.3">
      <c r="B52" s="14" t="s">
        <v>100</v>
      </c>
      <c r="C52" s="14"/>
      <c r="D52" s="14"/>
      <c r="E52" s="14"/>
      <c r="F52" s="14"/>
      <c r="G52" s="14"/>
      <c r="H52" s="14"/>
      <c r="I52" s="14"/>
      <c r="J52" s="14"/>
      <c r="K52" s="14"/>
      <c r="L52" s="14"/>
      <c r="O52" s="1"/>
      <c r="V52" s="430" t="s">
        <v>100</v>
      </c>
      <c r="W52" s="430"/>
      <c r="X52" s="430"/>
      <c r="Y52" s="430"/>
      <c r="Z52" s="430"/>
      <c r="AA52" s="430"/>
      <c r="AB52" s="430"/>
      <c r="AC52" s="430"/>
      <c r="AD52" s="9"/>
    </row>
    <row r="53" spans="2:30" x14ac:dyDescent="0.3">
      <c r="B53" s="14" t="s">
        <v>101</v>
      </c>
      <c r="C53" s="14"/>
      <c r="D53" s="14"/>
      <c r="E53" s="14"/>
      <c r="F53" s="14"/>
      <c r="G53" s="154">
        <f>K26</f>
        <v>172.6891</v>
      </c>
      <c r="H53" s="59" t="s">
        <v>102</v>
      </c>
      <c r="I53" s="59"/>
      <c r="J53" s="155">
        <v>198050.23</v>
      </c>
      <c r="K53" s="155"/>
      <c r="L53" s="155"/>
      <c r="N53" s="3"/>
      <c r="O53" s="1"/>
      <c r="V53" s="436" t="s">
        <v>101</v>
      </c>
      <c r="W53" s="436"/>
      <c r="X53" s="156">
        <f>AB26</f>
        <v>115.80000000000001</v>
      </c>
      <c r="Y53" s="437" t="s">
        <v>102</v>
      </c>
      <c r="Z53" s="437"/>
      <c r="AA53" s="438">
        <f>+J53</f>
        <v>198050.23</v>
      </c>
      <c r="AB53" s="438"/>
      <c r="AC53" s="438"/>
      <c r="AD53" s="9"/>
    </row>
    <row r="54" spans="2:30" x14ac:dyDescent="0.3">
      <c r="B54" s="14" t="s">
        <v>103</v>
      </c>
      <c r="C54" s="14"/>
      <c r="D54" s="14"/>
      <c r="E54" s="14"/>
      <c r="F54" s="14"/>
      <c r="G54" s="14"/>
      <c r="H54" s="14"/>
      <c r="I54" s="14"/>
      <c r="J54" s="14"/>
      <c r="K54" s="157">
        <f>ROUND(G53/J53,6)</f>
        <v>8.7200000000000005E-4</v>
      </c>
      <c r="L54" s="157"/>
      <c r="N54" s="69"/>
      <c r="O54" s="1"/>
      <c r="V54" s="436" t="s">
        <v>103</v>
      </c>
      <c r="W54" s="436"/>
      <c r="X54" s="436"/>
      <c r="Y54" s="436"/>
      <c r="Z54" s="436"/>
      <c r="AA54" s="436"/>
      <c r="AB54" s="439">
        <f>ROUND(X53/AA53,6)</f>
        <v>5.8500000000000002E-4</v>
      </c>
      <c r="AC54" s="439"/>
      <c r="AD54" s="9"/>
    </row>
    <row r="55" spans="2:30" ht="24" customHeight="1" x14ac:dyDescent="0.3">
      <c r="B55" s="14" t="s">
        <v>104</v>
      </c>
      <c r="C55" s="14"/>
      <c r="D55" s="14"/>
      <c r="E55" s="14"/>
      <c r="F55" s="14"/>
      <c r="G55" s="14"/>
      <c r="H55" s="14"/>
      <c r="I55" s="14"/>
      <c r="J55" s="14"/>
      <c r="K55" s="14"/>
      <c r="L55" s="14"/>
      <c r="O55" s="1"/>
      <c r="V55" s="430" t="s">
        <v>104</v>
      </c>
      <c r="W55" s="430"/>
      <c r="X55" s="430"/>
      <c r="Y55" s="430"/>
      <c r="Z55" s="430"/>
      <c r="AA55" s="430"/>
      <c r="AB55" s="430"/>
      <c r="AC55" s="430"/>
      <c r="AD55" s="9"/>
    </row>
    <row r="56" spans="2:30" x14ac:dyDescent="0.3">
      <c r="B56" s="14" t="s">
        <v>105</v>
      </c>
      <c r="C56" s="14"/>
      <c r="D56" s="14"/>
      <c r="E56" s="14"/>
      <c r="F56" s="14"/>
      <c r="G56" s="158">
        <f>G26</f>
        <v>115.80000000000001</v>
      </c>
      <c r="H56" s="59" t="s">
        <v>106</v>
      </c>
      <c r="I56" s="59"/>
      <c r="J56" s="155">
        <f>+G40</f>
        <v>181379.8</v>
      </c>
      <c r="K56" s="155"/>
      <c r="L56" s="155"/>
      <c r="O56" s="1"/>
      <c r="V56" s="436" t="s">
        <v>105</v>
      </c>
      <c r="W56" s="436"/>
      <c r="X56" s="159">
        <f>X26</f>
        <v>115.80000000000001</v>
      </c>
      <c r="Y56" s="437" t="s">
        <v>106</v>
      </c>
      <c r="Z56" s="437"/>
      <c r="AA56" s="438">
        <f>+J56</f>
        <v>181379.8</v>
      </c>
      <c r="AB56" s="438"/>
      <c r="AC56" s="438"/>
      <c r="AD56" s="9"/>
    </row>
    <row r="57" spans="2:30" x14ac:dyDescent="0.3">
      <c r="B57" s="14" t="s">
        <v>107</v>
      </c>
      <c r="C57" s="14"/>
      <c r="D57" s="14"/>
      <c r="E57" s="14"/>
      <c r="F57" s="14"/>
      <c r="G57" s="14"/>
      <c r="H57" s="14"/>
      <c r="I57" s="14"/>
      <c r="J57" s="14"/>
      <c r="K57" s="157">
        <f>ROUND(G56/J56,6)</f>
        <v>6.38E-4</v>
      </c>
      <c r="L57" s="157"/>
      <c r="O57" s="1"/>
      <c r="V57" s="436" t="s">
        <v>107</v>
      </c>
      <c r="W57" s="436"/>
      <c r="X57" s="436"/>
      <c r="Y57" s="436"/>
      <c r="Z57" s="436"/>
      <c r="AA57" s="436"/>
      <c r="AB57" s="439">
        <f>ROUND(X56/AA56,6)</f>
        <v>6.38E-4</v>
      </c>
      <c r="AC57" s="439"/>
      <c r="AD57" s="9"/>
    </row>
    <row r="58" spans="2:30" ht="20.25" customHeight="1" x14ac:dyDescent="0.3">
      <c r="B58" s="160" t="s">
        <v>108</v>
      </c>
      <c r="C58" s="160"/>
      <c r="D58" s="160"/>
      <c r="E58" s="160"/>
      <c r="F58" s="160"/>
      <c r="G58" s="160"/>
      <c r="H58" s="160"/>
      <c r="I58" s="160"/>
      <c r="J58" s="160"/>
      <c r="K58" s="160"/>
      <c r="L58" s="160"/>
      <c r="N58" s="20"/>
      <c r="O58" s="20"/>
      <c r="V58" s="408" t="s">
        <v>109</v>
      </c>
      <c r="W58" s="408"/>
      <c r="X58" s="408"/>
      <c r="Y58" s="440">
        <f>X65+X64+X62+X61+X60</f>
        <v>4230917</v>
      </c>
      <c r="Z58" s="440"/>
      <c r="AA58" s="161" t="s">
        <v>110</v>
      </c>
      <c r="AB58" s="162">
        <f>AB54</f>
        <v>5.8500000000000002E-4</v>
      </c>
      <c r="AC58" s="58">
        <f>ROUND(Y58*AB58,0)</f>
        <v>2475</v>
      </c>
      <c r="AD58" s="9"/>
    </row>
    <row r="59" spans="2:30" x14ac:dyDescent="0.3">
      <c r="B59" s="63" t="s">
        <v>109</v>
      </c>
      <c r="C59" s="63"/>
      <c r="D59" s="63"/>
      <c r="E59" s="63"/>
      <c r="F59" s="63"/>
      <c r="G59" s="63"/>
      <c r="H59" s="163" t="s">
        <v>21</v>
      </c>
      <c r="I59" s="127">
        <v>4230917</v>
      </c>
      <c r="J59" s="164" t="s">
        <v>110</v>
      </c>
      <c r="K59" s="165">
        <f>K54</f>
        <v>8.7200000000000005E-4</v>
      </c>
      <c r="L59" s="53">
        <f>ROUND(I59*K59,0)</f>
        <v>3689</v>
      </c>
      <c r="O59" s="1"/>
      <c r="P59" s="164"/>
      <c r="Q59" s="164"/>
      <c r="V59" s="441" t="s">
        <v>111</v>
      </c>
      <c r="W59" s="441"/>
      <c r="X59" s="441"/>
      <c r="Y59" s="441"/>
      <c r="Z59" s="441"/>
      <c r="AA59" s="441"/>
      <c r="AB59" s="441"/>
      <c r="AC59" s="441"/>
      <c r="AD59" s="9"/>
    </row>
    <row r="60" spans="2:30" x14ac:dyDescent="0.3">
      <c r="B60" s="63" t="s">
        <v>111</v>
      </c>
      <c r="C60" s="63"/>
      <c r="D60" s="63"/>
      <c r="E60" s="63"/>
      <c r="F60" s="63"/>
      <c r="G60" s="63"/>
      <c r="H60" s="63"/>
      <c r="I60" s="63"/>
      <c r="J60" s="63"/>
      <c r="K60" s="63"/>
      <c r="L60" s="63"/>
      <c r="O60" s="1"/>
      <c r="P60" s="164"/>
      <c r="Q60" s="164"/>
      <c r="V60" s="442" t="s">
        <v>112</v>
      </c>
      <c r="W60" s="442"/>
      <c r="X60" s="443">
        <f>+G61</f>
        <v>0</v>
      </c>
      <c r="Y60" s="443"/>
      <c r="Z60" s="443"/>
      <c r="AA60" s="443"/>
      <c r="AB60" s="443"/>
      <c r="AC60" s="443"/>
      <c r="AD60" s="9"/>
    </row>
    <row r="61" spans="2:30" ht="15" customHeight="1" x14ac:dyDescent="0.3">
      <c r="B61" s="166" t="s">
        <v>112</v>
      </c>
      <c r="C61" s="63"/>
      <c r="D61" s="63"/>
      <c r="E61" s="63"/>
      <c r="F61" s="63"/>
      <c r="G61" s="167">
        <v>0</v>
      </c>
      <c r="H61" s="167"/>
      <c r="I61" s="167"/>
      <c r="J61" s="167"/>
      <c r="K61" s="167"/>
      <c r="L61" s="167"/>
      <c r="O61" s="1"/>
      <c r="P61" s="164"/>
      <c r="Q61" s="164"/>
      <c r="V61" s="442" t="s">
        <v>113</v>
      </c>
      <c r="W61" s="442"/>
      <c r="X61" s="443">
        <f>+G62</f>
        <v>0</v>
      </c>
      <c r="Y61" s="443"/>
      <c r="Z61" s="443"/>
      <c r="AA61" s="443"/>
      <c r="AB61" s="443"/>
      <c r="AC61" s="443"/>
      <c r="AD61" s="9"/>
    </row>
    <row r="62" spans="2:30" ht="13.5" customHeight="1" x14ac:dyDescent="0.3">
      <c r="B62" s="166" t="s">
        <v>113</v>
      </c>
      <c r="C62" s="63"/>
      <c r="D62" s="63"/>
      <c r="E62" s="63"/>
      <c r="F62" s="63"/>
      <c r="G62" s="167">
        <v>0</v>
      </c>
      <c r="H62" s="167"/>
      <c r="I62" s="167"/>
      <c r="J62" s="167"/>
      <c r="K62" s="167"/>
      <c r="L62" s="167"/>
      <c r="N62" s="164"/>
      <c r="O62" s="164"/>
      <c r="P62" s="164"/>
      <c r="Q62" s="164"/>
      <c r="V62" s="442" t="s">
        <v>114</v>
      </c>
      <c r="W62" s="442"/>
      <c r="X62" s="443">
        <v>0</v>
      </c>
      <c r="Y62" s="443"/>
      <c r="Z62" s="443"/>
      <c r="AA62" s="443"/>
      <c r="AB62" s="443"/>
      <c r="AC62" s="443"/>
      <c r="AD62" s="9"/>
    </row>
    <row r="63" spans="2:30" ht="13.5" hidden="1" customHeight="1" x14ac:dyDescent="0.3">
      <c r="B63" s="63" t="s">
        <v>114</v>
      </c>
      <c r="C63" s="63"/>
      <c r="D63" s="63"/>
      <c r="E63" s="63"/>
      <c r="F63" s="63"/>
      <c r="G63" s="167">
        <v>0</v>
      </c>
      <c r="H63" s="167"/>
      <c r="I63" s="167"/>
      <c r="J63" s="167"/>
      <c r="K63" s="167"/>
      <c r="L63" s="167"/>
      <c r="O63" s="1"/>
      <c r="P63" s="164"/>
      <c r="Q63" s="164"/>
      <c r="V63" s="441" t="s">
        <v>115</v>
      </c>
      <c r="W63" s="441"/>
      <c r="X63" s="441"/>
      <c r="Y63" s="441"/>
      <c r="Z63" s="441"/>
      <c r="AA63" s="441"/>
      <c r="AB63" s="441"/>
      <c r="AC63" s="441"/>
      <c r="AD63" s="114"/>
    </row>
    <row r="64" spans="2:30" ht="13.5" customHeight="1" x14ac:dyDescent="0.3">
      <c r="B64" s="63" t="s">
        <v>115</v>
      </c>
      <c r="C64" s="63"/>
      <c r="D64" s="63"/>
      <c r="E64" s="63"/>
      <c r="F64" s="63"/>
      <c r="G64" s="63"/>
      <c r="H64" s="63"/>
      <c r="I64" s="63"/>
      <c r="J64" s="63"/>
      <c r="K64" s="63"/>
      <c r="L64" s="63"/>
      <c r="M64" s="113"/>
      <c r="N64" s="20"/>
      <c r="O64" s="1"/>
      <c r="V64" s="442" t="s">
        <v>116</v>
      </c>
      <c r="W64" s="442"/>
      <c r="X64" s="443">
        <f>+G65</f>
        <v>4230917</v>
      </c>
      <c r="Y64" s="443"/>
      <c r="Z64" s="443"/>
      <c r="AA64" s="443"/>
      <c r="AB64" s="443"/>
      <c r="AC64" s="443"/>
      <c r="AD64" s="9"/>
    </row>
    <row r="65" spans="1:30" ht="12.75" customHeight="1" x14ac:dyDescent="0.3">
      <c r="B65" s="166" t="s">
        <v>116</v>
      </c>
      <c r="C65" s="63"/>
      <c r="D65" s="63"/>
      <c r="E65" s="63"/>
      <c r="F65" s="63"/>
      <c r="G65" s="167">
        <f>+I59</f>
        <v>4230917</v>
      </c>
      <c r="H65" s="167"/>
      <c r="I65" s="167"/>
      <c r="J65" s="167"/>
      <c r="K65" s="167"/>
      <c r="L65" s="167"/>
      <c r="O65" s="1"/>
      <c r="V65" s="442" t="s">
        <v>117</v>
      </c>
      <c r="W65" s="442"/>
      <c r="X65" s="443">
        <f>+G66</f>
        <v>0</v>
      </c>
      <c r="Y65" s="443"/>
      <c r="Z65" s="443"/>
      <c r="AA65" s="443"/>
      <c r="AB65" s="443"/>
      <c r="AC65" s="443"/>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430" t="s">
        <v>118</v>
      </c>
      <c r="W66" s="430"/>
      <c r="X66" s="430"/>
      <c r="Y66" s="440">
        <f>+I67</f>
        <v>103698709</v>
      </c>
      <c r="Z66" s="440"/>
      <c r="AA66" s="161" t="s">
        <v>110</v>
      </c>
      <c r="AB66" s="162">
        <f>AB54</f>
        <v>5.8500000000000002E-4</v>
      </c>
      <c r="AC66" s="58">
        <f>ROUND(Y66*AB66,0)</f>
        <v>60664</v>
      </c>
      <c r="AD66" s="9"/>
    </row>
    <row r="67" spans="1:30" ht="20.25" customHeight="1" x14ac:dyDescent="0.3">
      <c r="B67" s="14" t="s">
        <v>118</v>
      </c>
      <c r="C67" s="14"/>
      <c r="D67" s="14"/>
      <c r="E67" s="14"/>
      <c r="F67" s="14"/>
      <c r="H67" s="163" t="s">
        <v>23</v>
      </c>
      <c r="I67" s="127">
        <v>103698709</v>
      </c>
      <c r="J67" s="164" t="s">
        <v>110</v>
      </c>
      <c r="K67" s="165">
        <f>K54</f>
        <v>8.7200000000000005E-4</v>
      </c>
      <c r="L67" s="53">
        <f>ROUND(I67*K67,0)</f>
        <v>90425</v>
      </c>
      <c r="O67" s="1"/>
      <c r="V67" s="430" t="s">
        <v>119</v>
      </c>
      <c r="W67" s="430"/>
      <c r="X67" s="430"/>
      <c r="Y67" s="430"/>
      <c r="Z67" s="430"/>
      <c r="AA67" s="430"/>
      <c r="AB67" s="430"/>
      <c r="AC67" s="430"/>
      <c r="AD67" s="9"/>
    </row>
    <row r="68" spans="1:30" ht="20.25" customHeight="1" x14ac:dyDescent="0.3">
      <c r="B68" s="14" t="s">
        <v>119</v>
      </c>
      <c r="C68" s="14"/>
      <c r="D68" s="14"/>
      <c r="E68" s="14"/>
      <c r="F68" s="14"/>
      <c r="H68" s="14"/>
      <c r="I68" s="14"/>
      <c r="J68" s="54"/>
      <c r="K68" s="14"/>
      <c r="L68" s="14"/>
      <c r="O68" s="1"/>
      <c r="V68" s="446" t="s">
        <v>120</v>
      </c>
      <c r="W68" s="446"/>
      <c r="X68" s="446"/>
      <c r="Y68" s="440">
        <f>+I69</f>
        <v>0</v>
      </c>
      <c r="Z68" s="440"/>
      <c r="AA68" s="161" t="s">
        <v>110</v>
      </c>
      <c r="AB68" s="162">
        <f>AB57</f>
        <v>6.38E-4</v>
      </c>
      <c r="AC68" s="58">
        <f>ROUND(Y68*AB68,0)</f>
        <v>0</v>
      </c>
      <c r="AD68" s="9"/>
    </row>
    <row r="69" spans="1:30" ht="15" customHeight="1" x14ac:dyDescent="0.3">
      <c r="B69" s="169" t="s">
        <v>120</v>
      </c>
      <c r="C69" s="14"/>
      <c r="D69" s="14"/>
      <c r="E69" s="14"/>
      <c r="F69" s="14"/>
      <c r="H69" s="163" t="s">
        <v>22</v>
      </c>
      <c r="I69" s="127">
        <v>0</v>
      </c>
      <c r="J69" s="164" t="s">
        <v>110</v>
      </c>
      <c r="K69" s="165">
        <f>K57</f>
        <v>6.38E-4</v>
      </c>
      <c r="L69" s="53">
        <f>ROUND(I69*K69,0)</f>
        <v>0</v>
      </c>
      <c r="O69" s="1"/>
      <c r="V69" s="430" t="s">
        <v>121</v>
      </c>
      <c r="W69" s="430"/>
      <c r="X69" s="430"/>
      <c r="Y69" s="447">
        <f>+I70</f>
        <v>0</v>
      </c>
      <c r="Z69" s="447"/>
      <c r="AA69" s="161" t="s">
        <v>110</v>
      </c>
      <c r="AB69" s="162">
        <f>AB54</f>
        <v>5.8500000000000002E-4</v>
      </c>
      <c r="AC69" s="58">
        <f>ROUND(Y69*AB69,0)</f>
        <v>0</v>
      </c>
      <c r="AD69" s="9"/>
    </row>
    <row r="70" spans="1:30" ht="20.25" customHeight="1" x14ac:dyDescent="0.3">
      <c r="B70" s="14" t="s">
        <v>121</v>
      </c>
      <c r="C70" s="14"/>
      <c r="D70" s="14"/>
      <c r="E70" s="14"/>
      <c r="F70" s="14"/>
      <c r="H70" s="163" t="s">
        <v>21</v>
      </c>
      <c r="I70" s="127">
        <v>0</v>
      </c>
      <c r="J70" s="164" t="s">
        <v>110</v>
      </c>
      <c r="K70" s="165">
        <f>K54</f>
        <v>8.7200000000000005E-4</v>
      </c>
      <c r="L70" s="53">
        <f>ROUND(I70*K70,0)</f>
        <v>0</v>
      </c>
      <c r="O70" s="1"/>
      <c r="V70" s="430" t="s">
        <v>122</v>
      </c>
      <c r="W70" s="430"/>
      <c r="X70" s="430"/>
      <c r="Y70" s="444">
        <f>+I71</f>
        <v>1865769</v>
      </c>
      <c r="Z70" s="444"/>
      <c r="AA70" s="161" t="s">
        <v>110</v>
      </c>
      <c r="AB70" s="162">
        <f>AB54</f>
        <v>5.8500000000000002E-4</v>
      </c>
      <c r="AC70" s="58">
        <f>ROUND(Y70*AB70,0)</f>
        <v>1091</v>
      </c>
      <c r="AD70" s="9"/>
    </row>
    <row r="71" spans="1:30" ht="20.25" customHeight="1" x14ac:dyDescent="0.3">
      <c r="B71" s="14" t="s">
        <v>122</v>
      </c>
      <c r="C71" s="14"/>
      <c r="D71" s="14"/>
      <c r="E71" s="14"/>
      <c r="F71" s="14"/>
      <c r="H71" s="163" t="s">
        <v>21</v>
      </c>
      <c r="I71" s="127">
        <v>1865769</v>
      </c>
      <c r="J71" s="164" t="s">
        <v>110</v>
      </c>
      <c r="K71" s="165">
        <f>K54</f>
        <v>8.7200000000000005E-4</v>
      </c>
      <c r="L71" s="53">
        <f>ROUND(I71*K71,0)</f>
        <v>1627</v>
      </c>
      <c r="O71" s="1"/>
      <c r="V71" s="430" t="s">
        <v>123</v>
      </c>
      <c r="W71" s="430"/>
      <c r="X71" s="430"/>
      <c r="Y71" s="444">
        <f>+I72</f>
        <v>13963927</v>
      </c>
      <c r="Z71" s="444"/>
      <c r="AA71" s="161" t="s">
        <v>110</v>
      </c>
      <c r="AB71" s="162">
        <f>AB57</f>
        <v>6.38E-4</v>
      </c>
      <c r="AC71" s="58">
        <f>ROUND(Y71*AB71,0)</f>
        <v>8909</v>
      </c>
      <c r="AD71" s="9"/>
    </row>
    <row r="72" spans="1:30" ht="21" customHeight="1" x14ac:dyDescent="0.35">
      <c r="B72" s="14" t="s">
        <v>123</v>
      </c>
      <c r="C72" s="14"/>
      <c r="D72" s="14"/>
      <c r="E72" s="14"/>
      <c r="F72" s="14"/>
      <c r="H72" s="163" t="s">
        <v>22</v>
      </c>
      <c r="I72" s="127">
        <v>13963927</v>
      </c>
      <c r="J72" s="164" t="s">
        <v>110</v>
      </c>
      <c r="K72" s="165">
        <f>K57</f>
        <v>6.38E-4</v>
      </c>
      <c r="L72" s="53">
        <f>ROUND(I72*K72,0)</f>
        <v>8909</v>
      </c>
      <c r="O72" s="1"/>
      <c r="V72" s="402" t="s">
        <v>124</v>
      </c>
      <c r="W72" s="402"/>
      <c r="X72" s="402"/>
      <c r="Y72" s="402"/>
      <c r="Z72" s="402"/>
      <c r="AA72" s="402"/>
      <c r="AB72" s="402"/>
      <c r="AC72" s="62"/>
      <c r="AD72" s="9"/>
    </row>
    <row r="73" spans="1:30" ht="17.25" customHeight="1" x14ac:dyDescent="0.35">
      <c r="B73" s="14" t="s">
        <v>124</v>
      </c>
      <c r="C73" s="14"/>
      <c r="D73" s="14"/>
      <c r="E73" s="14"/>
      <c r="F73" s="14"/>
      <c r="H73" s="14"/>
      <c r="I73" s="14"/>
      <c r="J73" s="54"/>
      <c r="K73" s="14"/>
      <c r="L73" s="61"/>
      <c r="O73" s="1"/>
      <c r="V73" s="430" t="s">
        <v>125</v>
      </c>
      <c r="W73" s="430"/>
      <c r="X73" s="430"/>
      <c r="Y73" s="430"/>
      <c r="Z73" s="430"/>
      <c r="AA73" s="430"/>
      <c r="AB73" s="430"/>
      <c r="AC73" s="430"/>
      <c r="AD73" s="9"/>
    </row>
    <row r="74" spans="1:30" ht="31.2" x14ac:dyDescent="0.3">
      <c r="B74" s="14" t="s">
        <v>125</v>
      </c>
      <c r="C74" s="14"/>
      <c r="D74" s="30" t="s">
        <v>126</v>
      </c>
      <c r="E74" s="30" t="s">
        <v>127</v>
      </c>
      <c r="F74" s="30"/>
      <c r="H74" s="163" t="s">
        <v>24</v>
      </c>
      <c r="I74" s="18"/>
      <c r="J74" s="163"/>
      <c r="K74" s="18"/>
      <c r="L74" s="109"/>
      <c r="O74" s="1"/>
      <c r="V74" s="445" t="s">
        <v>128</v>
      </c>
      <c r="W74" s="445"/>
      <c r="X74" s="170" t="s">
        <v>129</v>
      </c>
      <c r="Y74" s="171"/>
      <c r="Z74" s="172">
        <f>+I75</f>
        <v>91</v>
      </c>
      <c r="AA74" s="173" t="s">
        <v>130</v>
      </c>
      <c r="AB74" s="174">
        <f>+K75</f>
        <v>361</v>
      </c>
      <c r="AC74" s="58">
        <f>ROUND(AB74*Z74,0)</f>
        <v>32851</v>
      </c>
      <c r="AD74" s="9"/>
    </row>
    <row r="75" spans="1:30" ht="19.5" customHeight="1" x14ac:dyDescent="0.3">
      <c r="A75" s="1" t="s">
        <v>131</v>
      </c>
      <c r="B75" s="175" t="s">
        <v>128</v>
      </c>
      <c r="C75" s="176" t="s">
        <v>129</v>
      </c>
      <c r="D75" s="175">
        <v>93</v>
      </c>
      <c r="E75" s="175">
        <v>89</v>
      </c>
      <c r="F75" s="175">
        <v>0</v>
      </c>
      <c r="G75" s="177">
        <f>IF($B$154&lt;8,D75,E75)</f>
        <v>89</v>
      </c>
      <c r="H75" s="178"/>
      <c r="I75" s="179">
        <f>AVERAGE(G75,D75)</f>
        <v>91</v>
      </c>
      <c r="J75" s="180" t="s">
        <v>130</v>
      </c>
      <c r="K75" s="181">
        <v>361</v>
      </c>
      <c r="L75" s="53">
        <f>ROUND(K75*I75,0)</f>
        <v>32851</v>
      </c>
      <c r="N75" s="1">
        <v>7802</v>
      </c>
      <c r="O75" s="1">
        <v>0</v>
      </c>
      <c r="V75" s="445" t="s">
        <v>128</v>
      </c>
      <c r="W75" s="445"/>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430" t="str">
        <f>+B77</f>
        <v>14.  Digital Classrooms Allocation (UFTE share)</v>
      </c>
      <c r="W76" s="430"/>
      <c r="X76" s="430"/>
      <c r="Y76" s="440">
        <f>+I77</f>
        <v>1716988</v>
      </c>
      <c r="Z76" s="440"/>
      <c r="AA76" s="173" t="s">
        <v>130</v>
      </c>
      <c r="AB76" s="162">
        <f>AB57</f>
        <v>6.38E-4</v>
      </c>
      <c r="AC76" s="58">
        <f>ROUND(Y76*AB76,0)</f>
        <v>1095</v>
      </c>
      <c r="AD76" s="9"/>
    </row>
    <row r="77" spans="1:30" ht="26.25" customHeight="1" x14ac:dyDescent="0.3">
      <c r="B77" s="14" t="s">
        <v>134</v>
      </c>
      <c r="C77" s="14"/>
      <c r="D77" s="14"/>
      <c r="E77" s="14"/>
      <c r="F77" s="14"/>
      <c r="H77" s="163" t="s">
        <v>25</v>
      </c>
      <c r="I77" s="186">
        <v>1716988</v>
      </c>
      <c r="J77" s="164" t="s">
        <v>110</v>
      </c>
      <c r="K77" s="165">
        <f>K57</f>
        <v>6.38E-4</v>
      </c>
      <c r="L77" s="53">
        <f>ROUND(I77*K77,0)</f>
        <v>1095</v>
      </c>
      <c r="O77" s="1"/>
      <c r="V77" s="430" t="str">
        <f>+B78</f>
        <v>15.  Florida Teachers Classroom Supply Assistance Program</v>
      </c>
      <c r="W77" s="430"/>
      <c r="X77" s="430"/>
      <c r="Y77" s="440">
        <f>+I78</f>
        <v>0</v>
      </c>
      <c r="Z77" s="440"/>
      <c r="AA77" s="173" t="s">
        <v>130</v>
      </c>
      <c r="AB77" s="162">
        <f>AB54</f>
        <v>5.8500000000000002E-4</v>
      </c>
      <c r="AC77" s="58">
        <f>ROUND(Y77*AB77,0)</f>
        <v>0</v>
      </c>
      <c r="AD77" s="9"/>
    </row>
    <row r="78" spans="1:30" ht="26.25" customHeight="1" x14ac:dyDescent="0.3">
      <c r="B78" s="384" t="s">
        <v>135</v>
      </c>
      <c r="C78" s="384"/>
      <c r="D78" s="384"/>
      <c r="E78" s="14"/>
      <c r="F78" s="14"/>
      <c r="H78" s="163" t="s">
        <v>136</v>
      </c>
      <c r="I78" s="187">
        <v>0</v>
      </c>
      <c r="J78" s="164" t="s">
        <v>110</v>
      </c>
      <c r="K78" s="165">
        <f>K54</f>
        <v>8.7200000000000005E-4</v>
      </c>
      <c r="L78" s="53">
        <f>ROUND(I78*K78,0)</f>
        <v>0</v>
      </c>
      <c r="O78" s="1"/>
      <c r="V78" s="430" t="str">
        <f t="shared" ref="V78" si="11">+B79</f>
        <v>16.  Food Service Allocation</v>
      </c>
      <c r="W78" s="430"/>
      <c r="X78" s="430"/>
      <c r="Y78" s="188"/>
      <c r="Z78" s="188"/>
      <c r="AA78" s="188"/>
      <c r="AB78" s="188"/>
      <c r="AC78" s="132"/>
      <c r="AD78" s="9"/>
    </row>
    <row r="79" spans="1:30" ht="21" customHeight="1" x14ac:dyDescent="0.3">
      <c r="B79" s="384" t="s">
        <v>137</v>
      </c>
      <c r="C79" s="384"/>
      <c r="D79" s="384"/>
      <c r="E79" s="14"/>
      <c r="F79" s="14"/>
      <c r="H79" s="163" t="s">
        <v>138</v>
      </c>
      <c r="I79" s="18"/>
      <c r="J79" s="18"/>
      <c r="K79" s="18"/>
      <c r="L79" s="127"/>
      <c r="N79" s="189"/>
      <c r="O79" s="1"/>
      <c r="Q79" s="163"/>
      <c r="V79" s="430"/>
      <c r="W79" s="430"/>
      <c r="X79" s="430"/>
      <c r="Y79" s="188"/>
      <c r="Z79" s="188"/>
      <c r="AA79" s="188"/>
      <c r="AB79" s="188"/>
      <c r="AC79" s="190"/>
      <c r="AD79" s="9"/>
    </row>
    <row r="80" spans="1:30" ht="21" customHeight="1" x14ac:dyDescent="0.3">
      <c r="B80" s="384"/>
      <c r="C80" s="384"/>
      <c r="D80" s="384"/>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717576</v>
      </c>
      <c r="AD81" s="197"/>
    </row>
    <row r="82" spans="1:30" ht="22.5" customHeight="1" thickTop="1" thickBot="1" x14ac:dyDescent="0.35">
      <c r="B82" s="14" t="s">
        <v>140</v>
      </c>
      <c r="C82" s="14"/>
      <c r="D82" s="14"/>
      <c r="E82" s="14"/>
      <c r="F82" s="14"/>
      <c r="G82" s="14"/>
      <c r="H82" s="14"/>
      <c r="I82" s="14"/>
      <c r="J82" s="14"/>
      <c r="K82" s="14"/>
      <c r="L82" s="198">
        <f>SUM(L44:L81)</f>
        <v>1603964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'2521'!AC81</f>
        <v>717576</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717576</v>
      </c>
      <c r="L86" s="83">
        <f>IF(G26=0,0,IF(G26&gt;250,-(((250/G26)*K86)*IF(M86="H",0.02,0.05)),IF(M86="H",-0.02*K86,-0.05*K86)))</f>
        <v>-35878.800000000003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1568085.2</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v>-130674</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1437411.2</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11</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130673.74545454545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274</v>
      </c>
      <c r="C123" s="221" t="s">
        <v>199</v>
      </c>
    </row>
    <row r="124" spans="2:3" hidden="1" x14ac:dyDescent="0.3">
      <c r="B124" s="225" t="s">
        <v>275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41808.602349537003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274</v>
      </c>
      <c r="C164" s="235" t="s">
        <v>244</v>
      </c>
      <c r="D164" s="231"/>
    </row>
    <row r="165" spans="1:4" hidden="1" x14ac:dyDescent="0.3">
      <c r="A165" s="230" t="s">
        <v>245</v>
      </c>
      <c r="B165" s="234" t="s">
        <v>275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41808.602349537003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2454</vt:i4>
      </vt:variant>
    </vt:vector>
  </HeadingPairs>
  <TitlesOfParts>
    <vt:vector size="250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4070</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'4070'!_1.__2009_10_FEFP_State_and_Local_Funding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'4070'!_1.__2010_11_FEFP_State_and_Local_Funding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'4070'!_101_Basic_K_3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'4070'!_102_Basic_4_8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'4070'!_103_Basic_9_12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'4070'!_111_Basic_K_3_with_ESE_Services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'4070'!_112_Basic_4_8_with_ESE_Services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'4070'!_113_Basic_9_12_with_ESE_Services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'4070'!_130_ESOL__Grade_Level_4_8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'4070'!_130_ESOL__Grade_Level_9_12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'4070'!_130_ESOL__Grade_Level_PK_3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'4070'!_2.__ESE_Guaranteed_Allocation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'4070'!_2010_11_Base_Funding_WFTE_x_BSA_x_DCD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'4070'!_254_ESE_Level_4__Grade_Level_4_8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'4070'!_254_ESE_Level_4__Grade_Level_9_12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'4070'!_254_ESE_Level_4__Grade_Level_PK_3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'4070'!_255_ESE_Level_5__Grade_Level_4_8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'4070'!_255_ESE_Level_5__Grade_Level_9_12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'4070'!_255_ESE_Level_5__Grade_Level_PK_3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'4070'!_3.__Supplemental_Academic_Instruction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'4070'!_300_Career_Education__Grades_9_12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'4070'!_4_8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'4070'!_9_12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'4070'!Allocation_factors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'4070'!Base_Student_Allocation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'4070'!Based_on_the_Second_Calculation_of_the_FEFP_2010_11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'4070'!DCD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'4070'!District_Cost_Differential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'4070'!District_SAI_Allocation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'4070'!divided_by_district_FTE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'4070'!FTE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'4070'!Grade_Level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'4070'!Guarantee_Per_Student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'4070'!Matrix_Level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'4070'!Number_of_FTE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'4070'!Per_Student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'4070'!PK___3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'4070'!Print_Area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'4070'!Program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'4070'!Program______________________________Cost_Factor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'4070'!Revenue_Estimate_Worksheet_for___________Charter_School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'4070'!School_District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'4070'!Total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'4070'!Total_Class_Size_Reduction_Funds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'4070'!Total_from_ESE_Guarantee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'4070'!Total_FTE_with_ESE_Services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'4070'!Totals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'4070'!Weighted_FTE____________b__x__c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'4070'!Weighted_FTE__From_Section_1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2014-08-19T20:28:57Z</cp:lastPrinted>
  <dcterms:created xsi:type="dcterms:W3CDTF">2009-05-22T13:49:02Z</dcterms:created>
  <dcterms:modified xsi:type="dcterms:W3CDTF">2015-01-20T18:28:00Z</dcterms:modified>
</cp:coreProperties>
</file>