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1094548\Desktop\"/>
    </mc:Choice>
  </mc:AlternateContent>
  <bookViews>
    <workbookView xWindow="0" yWindow="0" windowWidth="28800" windowHeight="11820" tabRatio="739" firstSheet="1" activeTab="1"/>
  </bookViews>
  <sheets>
    <sheet name="Consolidated" sheetId="135" state="hidden" r:id="rId1"/>
    <sheet name="#0664 Academy Positive Learning" sheetId="57" r:id="rId2"/>
    <sheet name="#1461 Inlet Grove Comm. HS " sheetId="75" r:id="rId3"/>
    <sheet name="#1571 South Tech Charter Acad" sheetId="95" state="hidden" r:id="rId4"/>
    <sheet name="#1571 South Tech Academy" sheetId="134" r:id="rId5"/>
    <sheet name="#2521 Ed Venture " sheetId="63" r:id="rId6"/>
    <sheet name="#2531 Potentials " sheetId="85" r:id="rId7"/>
    <sheet name="#2791 The Learning Center @ Els" sheetId="92" r:id="rId8"/>
    <sheet name="#2801 Palm Beach Maritime Acad " sheetId="83" r:id="rId9"/>
    <sheet name="#2911 Western Academy" sheetId="98" r:id="rId10"/>
    <sheet name="#2941 Palm Beach School Autism " sheetId="84" r:id="rId11"/>
    <sheet name="#3083 The Learning Acad @ Els " sheetId="91" r:id="rId12"/>
    <sheet name="#3345 Gulfstream Goodwill Life " sheetId="70" r:id="rId13"/>
    <sheet name="#3381 Imagine Schools " sheetId="74" r:id="rId14"/>
    <sheet name="#3382 Glades Academy " sheetId="69" r:id="rId15"/>
    <sheet name="#3385 Bright Futures Academy " sheetId="61" r:id="rId16"/>
    <sheet name="#3386 Toussaint L'Ouverture " sheetId="97" r:id="rId17"/>
    <sheet name="#3391 Seagull Academy Ind. Liv" sheetId="94" r:id="rId18"/>
    <sheet name="#3394 Montessori Acad Early  " sheetId="81" r:id="rId19"/>
    <sheet name="#3395 Somerset Academy JFK " sheetId="76" r:id="rId20"/>
    <sheet name="#3396 G-Star of the Arts " sheetId="67" r:id="rId21"/>
    <sheet name="#3398 Everglades Preparatory " sheetId="64" r:id="rId22"/>
    <sheet name="#3400 Believers Academy " sheetId="58" r:id="rId23"/>
    <sheet name="#3401 Quantum High School " sheetId="86" r:id="rId24"/>
    <sheet name="#3413 Somerset Acad Boca East" sheetId="103" r:id="rId25"/>
    <sheet name="#3421 Worthington High School" sheetId="99" r:id="rId26"/>
    <sheet name=" #3431 Renaissance CS @ WPB" sheetId="90" r:id="rId27"/>
    <sheet name="#3441 South Tech Preparatory A " sheetId="128" r:id="rId28"/>
    <sheet name="#3924 PB Maritime Academy HS " sheetId="119" r:id="rId29"/>
    <sheet name="#3941 Ben Gamla " sheetId="59" r:id="rId30"/>
    <sheet name="#3961 Gardens Schl Tech Arts" sheetId="68" r:id="rId31"/>
    <sheet name="#3971 Palm Beach Preparatory  " sheetId="80" r:id="rId32"/>
    <sheet name="#4000 Palms West Charter School" sheetId="88" r:id="rId33"/>
    <sheet name="#4001 Renaissance CS @ Welling " sheetId="110" r:id="rId34"/>
    <sheet name="#4002 Renaissance CS @ Summit " sheetId="89" r:id="rId35"/>
    <sheet name="#4012 Somerset Canyons Middle  " sheetId="105" r:id="rId36"/>
    <sheet name="#4013 Somerset Acad Canyons HS " sheetId="100" r:id="rId37"/>
    <sheet name="#4020 Franklin Academy &quot;B&quot; " sheetId="66" r:id="rId38"/>
    <sheet name="#4030 Olympus International Aca" sheetId="130" r:id="rId39"/>
    <sheet name="#4031 Somerset Academy Wellingt" sheetId="132" r:id="rId40"/>
    <sheet name="#4041 Somerset Acad Boca Middle" sheetId="104" r:id="rId41"/>
    <sheet name="#4050 Renaissance CS @ Cypress" sheetId="111" r:id="rId42"/>
    <sheet name="#4051 Renaissance CS @ Central " sheetId="106" r:id="rId43"/>
    <sheet name="#4061 Franklin Academy - PBG" sheetId="117" r:id="rId44"/>
    <sheet name="#4080 University Prep Academy" sheetId="120" r:id="rId45"/>
    <sheet name="#4081 Florida Futures Academy N" sheetId="121" r:id="rId46"/>
    <sheet name="#4090 Sprts Leadership Mgmt" sheetId="122" r:id="rId47"/>
    <sheet name="#4091 Somerset Acad Lakes" sheetId="124" r:id="rId48"/>
    <sheet name="#4100 ConnectionsEd.CenterPB" sheetId="123" r:id="rId49"/>
    <sheet name="#4102 Bridge Prep Academy" sheetId="126" r:id="rId50"/>
    <sheet name="#4103 SLAM Boca MiddleHigh" sheetId="127" r:id="rId51"/>
    <sheet name="#4111 SLAM Academy High School" sheetId="131" r:id="rId52"/>
    <sheet name="#4121 South Tech Success" sheetId="133" state="hidden" r:id="rId53"/>
  </sheets>
  <definedNames>
    <definedName name="Indirect_Cost_Plan___2015_16" localSheetId="4">#REF!</definedName>
    <definedName name="Indirect_Cost_Plan___2015_16">#REF!</definedName>
    <definedName name="_xlnm.Print_Area" localSheetId="26">' #3431 Renaissance CS @ WPB'!$B$1:$S$59</definedName>
    <definedName name="_xlnm.Print_Area" localSheetId="1">'#0664 Academy Positive Learning'!$B$1:$S$54</definedName>
    <definedName name="_xlnm.Print_Area" localSheetId="2">'#1461 Inlet Grove Comm. HS '!$B$1:$S$59</definedName>
    <definedName name="_xlnm.Print_Area" localSheetId="4">'#1571 South Tech Academy'!$B$1:$S$41</definedName>
    <definedName name="_xlnm.Print_Area" localSheetId="3">'#1571 South Tech Charter Acad'!$B$1:$S$39</definedName>
    <definedName name="_xlnm.Print_Area" localSheetId="5">'#2521 Ed Venture '!$B$1:$S$59</definedName>
    <definedName name="_xlnm.Print_Area" localSheetId="6">'#2531 Potentials '!$B$1:$S$50</definedName>
    <definedName name="_xlnm.Print_Area" localSheetId="7">'#2791 The Learning Center @ Els'!$B$1:$S$55</definedName>
    <definedName name="_xlnm.Print_Area" localSheetId="8">'#2801 Palm Beach Maritime Acad '!$B$1:$S$56</definedName>
    <definedName name="_xlnm.Print_Area" localSheetId="9">'#2911 Western Academy'!$B$1:$S$54</definedName>
    <definedName name="_xlnm.Print_Area" localSheetId="10">'#2941 Palm Beach School Autism '!$B$1:$S$55</definedName>
    <definedName name="_xlnm.Print_Area" localSheetId="11">'#3083 The Learning Acad @ Els '!$B$1:$S$54</definedName>
    <definedName name="_xlnm.Print_Area" localSheetId="12">'#3345 Gulfstream Goodwill Life '!$B$1:$S$53</definedName>
    <definedName name="_xlnm.Print_Area" localSheetId="13">'#3381 Imagine Schools '!$B$1:$S$55</definedName>
    <definedName name="_xlnm.Print_Area" localSheetId="14">'#3382 Glades Academy '!$B$1:$S$59</definedName>
    <definedName name="_xlnm.Print_Area" localSheetId="15">'#3385 Bright Futures Academy '!$B$1:$S$59</definedName>
    <definedName name="_xlnm.Print_Area" localSheetId="16">'#3386 Toussaint L''Ouverture '!$B$1:$S$54</definedName>
    <definedName name="_xlnm.Print_Area" localSheetId="17">'#3391 Seagull Academy Ind. Liv'!$B$1:$S$55</definedName>
    <definedName name="_xlnm.Print_Area" localSheetId="18">'#3394 Montessori Acad Early  '!$B$1:$S$53</definedName>
    <definedName name="_xlnm.Print_Area" localSheetId="19">'#3395 Somerset Academy JFK '!$B$1:$S$55</definedName>
    <definedName name="_xlnm.Print_Area" localSheetId="20">'#3396 G-Star of the Arts '!$B$1:$S$56</definedName>
    <definedName name="_xlnm.Print_Area" localSheetId="21">'#3398 Everglades Preparatory '!$B$1:$S$57</definedName>
    <definedName name="_xlnm.Print_Area" localSheetId="22">'#3400 Believers Academy '!$B$1:$S$55</definedName>
    <definedName name="_xlnm.Print_Area" localSheetId="23">'#3401 Quantum High School '!$B$1:$S$54</definedName>
    <definedName name="_xlnm.Print_Area" localSheetId="24">'#3413 Somerset Acad Boca East'!$B$1:$S$54</definedName>
    <definedName name="_xlnm.Print_Area" localSheetId="25">'#3421 Worthington High School'!$B$1:$S$50</definedName>
    <definedName name="_xlnm.Print_Area" localSheetId="27">'#3441 South Tech Preparatory A '!$B$1:$S$39</definedName>
    <definedName name="_xlnm.Print_Area" localSheetId="28">'#3924 PB Maritime Academy HS '!$B$1:$S$54</definedName>
    <definedName name="_xlnm.Print_Area" localSheetId="29">'#3941 Ben Gamla '!$B$1:$S$51</definedName>
    <definedName name="_xlnm.Print_Area" localSheetId="30">'#3961 Gardens Schl Tech Arts'!$B$1:$S$55</definedName>
    <definedName name="_xlnm.Print_Area" localSheetId="31">'#3971 Palm Beach Preparatory  '!$B$1:$S$54</definedName>
    <definedName name="_xlnm.Print_Area" localSheetId="32">'#4000 Palms West Charter School'!$B$1:$S$52</definedName>
    <definedName name="_xlnm.Print_Area" localSheetId="33">'#4001 Renaissance CS @ Welling '!$B$1:$S$57</definedName>
    <definedName name="_xlnm.Print_Area" localSheetId="34">'#4002 Renaissance CS @ Summit '!$B$48:$S$50</definedName>
    <definedName name="_xlnm.Print_Area" localSheetId="35">'#4012 Somerset Canyons Middle  '!$B$1:$S$53</definedName>
    <definedName name="_xlnm.Print_Area" localSheetId="36">'#4013 Somerset Acad Canyons HS '!$B$1:$S$54</definedName>
    <definedName name="_xlnm.Print_Area" localSheetId="37">'#4020 Franklin Academy "B" '!$B$1:$S$54</definedName>
    <definedName name="_xlnm.Print_Area" localSheetId="38">'#4030 Olympus International Aca'!$B$1:$S$55</definedName>
    <definedName name="_xlnm.Print_Area" localSheetId="39">'#4031 Somerset Academy Wellingt'!$B$1:$S$54</definedName>
    <definedName name="_xlnm.Print_Area" localSheetId="40">'#4041 Somerset Acad Boca Middle'!$B$1:$S$54</definedName>
    <definedName name="_xlnm.Print_Area" localSheetId="41">'#4050 Renaissance CS @ Cypress'!$B$1:$S$58</definedName>
    <definedName name="_xlnm.Print_Area" localSheetId="42">'#4051 Renaissance CS @ Central '!$B$1:$S$55</definedName>
    <definedName name="_xlnm.Print_Area" localSheetId="43">'#4061 Franklin Academy - PBG'!$B$1:$S$54</definedName>
    <definedName name="_xlnm.Print_Area" localSheetId="44">'#4080 University Prep Academy'!$B$1:$S$58</definedName>
    <definedName name="_xlnm.Print_Area" localSheetId="45">'#4081 Florida Futures Academy N'!$B$1:$S$56</definedName>
    <definedName name="_xlnm.Print_Area" localSheetId="46">'#4090 Sprts Leadership Mgmt'!$B$1:$S$55</definedName>
    <definedName name="_xlnm.Print_Area" localSheetId="47">'#4091 Somerset Acad Lakes'!$B$1:$S$61</definedName>
    <definedName name="_xlnm.Print_Area" localSheetId="48">'#4100 ConnectionsEd.CenterPB'!$B$1:$S$60</definedName>
    <definedName name="_xlnm.Print_Area" localSheetId="49">'#4102 Bridge Prep Academy'!$B$1:$S$54</definedName>
    <definedName name="_xlnm.Print_Area" localSheetId="50">'#4103 SLAM Boca MiddleHigh'!$B$1:$S$58</definedName>
    <definedName name="_xlnm.Print_Area" localSheetId="51">'#4111 SLAM Academy High School'!$B$1:$S$55</definedName>
    <definedName name="_xlnm.Print_Area" localSheetId="52">'#4121 South Tech Success'!$B$1:$S$39</definedName>
  </definedNames>
  <calcPr calcId="162913"/>
</workbook>
</file>

<file path=xl/calcChain.xml><?xml version="1.0" encoding="utf-8"?>
<calcChain xmlns="http://schemas.openxmlformats.org/spreadsheetml/2006/main">
  <c r="Q7" i="68" l="1"/>
  <c r="Q21" i="75" l="1"/>
  <c r="Q12" i="90" l="1"/>
  <c r="Q11" i="57"/>
  <c r="Q13" i="69" l="1"/>
  <c r="Q19" i="69"/>
  <c r="Q8" i="127" l="1"/>
  <c r="Q7" i="131" l="1"/>
  <c r="Q7" i="80"/>
  <c r="Q7" i="61"/>
  <c r="Q7" i="69"/>
  <c r="Q7" i="75"/>
  <c r="Q7" i="123" l="1"/>
  <c r="Q7" i="124"/>
  <c r="Q7" i="122"/>
  <c r="Q7" i="120"/>
  <c r="Q7" i="110"/>
  <c r="Q7" i="119"/>
  <c r="Q7" i="83"/>
  <c r="Q7" i="63"/>
  <c r="Q18" i="98" l="1"/>
  <c r="Q21" i="123" l="1"/>
  <c r="Q7" i="106" l="1"/>
  <c r="S9" i="119" l="1"/>
  <c r="O9" i="119"/>
  <c r="S9" i="63" l="1"/>
  <c r="O9" i="63"/>
  <c r="S11" i="84" l="1"/>
  <c r="S10" i="84"/>
  <c r="O11" i="84"/>
  <c r="O10" i="84"/>
  <c r="S9" i="83" l="1"/>
  <c r="O9" i="83"/>
  <c r="Q7" i="90" l="1"/>
  <c r="S8" i="131" l="1"/>
  <c r="O8" i="131"/>
  <c r="O8" i="124"/>
  <c r="O8" i="122"/>
  <c r="Q7" i="76"/>
  <c r="Q8" i="94" l="1"/>
  <c r="N8" i="94"/>
  <c r="Q8" i="85"/>
  <c r="N8" i="85"/>
  <c r="S9" i="99" l="1"/>
  <c r="S11" i="123" l="1"/>
  <c r="S10" i="123"/>
  <c r="O11" i="123"/>
  <c r="O10" i="123"/>
  <c r="Q7" i="81" l="1"/>
  <c r="N9" i="131"/>
  <c r="S8" i="66"/>
  <c r="O8" i="66"/>
  <c r="Q7" i="89"/>
  <c r="S10" i="61"/>
  <c r="O10" i="61"/>
  <c r="O9" i="61"/>
  <c r="Q7" i="70"/>
  <c r="N7" i="70"/>
  <c r="Q8" i="63"/>
  <c r="N8" i="63"/>
  <c r="Q9" i="86" l="1"/>
  <c r="Q19" i="83"/>
  <c r="Q17" i="68"/>
  <c r="Q18" i="119"/>
  <c r="Q7" i="111"/>
  <c r="Q11" i="100"/>
  <c r="Q10" i="134"/>
  <c r="O24" i="61" l="1"/>
  <c r="L11" i="100" l="1"/>
  <c r="K11" i="100"/>
  <c r="J11" i="100"/>
  <c r="I11" i="100"/>
  <c r="K10" i="100"/>
  <c r="H10" i="100"/>
  <c r="G10" i="100"/>
  <c r="Q7" i="64"/>
  <c r="S8" i="91"/>
  <c r="O8" i="91"/>
  <c r="S10" i="92"/>
  <c r="O10" i="92"/>
  <c r="S9" i="92"/>
  <c r="O9" i="92"/>
  <c r="Q10" i="111" l="1"/>
  <c r="Q8" i="59"/>
  <c r="Q7" i="57" l="1"/>
  <c r="S12" i="69" l="1"/>
  <c r="O12" i="69"/>
  <c r="S24" i="100" l="1"/>
  <c r="S23" i="59"/>
  <c r="S22" i="59"/>
  <c r="R26" i="57"/>
  <c r="Q26" i="57"/>
  <c r="O26" i="57"/>
  <c r="N26" i="57"/>
  <c r="S23" i="57"/>
  <c r="Q14" i="69"/>
  <c r="S10" i="59" l="1"/>
  <c r="O10" i="59"/>
  <c r="S9" i="120" l="1"/>
  <c r="O9" i="120"/>
  <c r="S10" i="90"/>
  <c r="O10" i="90"/>
  <c r="S9" i="76"/>
  <c r="O9" i="76"/>
  <c r="S10" i="74"/>
  <c r="O10" i="74"/>
  <c r="S8" i="57"/>
  <c r="O8" i="57"/>
  <c r="S10" i="57"/>
  <c r="O10" i="57"/>
  <c r="Q11" i="69" l="1"/>
  <c r="Q16" i="57" l="1"/>
  <c r="Q18" i="127"/>
  <c r="Q8" i="119" l="1"/>
  <c r="N8" i="119"/>
  <c r="S9" i="67"/>
  <c r="O9" i="67"/>
  <c r="Q8" i="83"/>
  <c r="N8" i="83"/>
  <c r="Q12" i="117"/>
  <c r="S21" i="110"/>
  <c r="S12" i="90"/>
  <c r="Q17" i="103"/>
  <c r="Q13" i="66"/>
  <c r="S13" i="66" s="1"/>
  <c r="Q18" i="81"/>
  <c r="Q15" i="70"/>
  <c r="Q20" i="84"/>
  <c r="Q19" i="98"/>
  <c r="Q8" i="123"/>
  <c r="N8" i="123"/>
  <c r="S8" i="132"/>
  <c r="O8" i="132"/>
  <c r="S10" i="89"/>
  <c r="O10" i="89"/>
  <c r="S11" i="98"/>
  <c r="S10" i="127"/>
  <c r="S8" i="104"/>
  <c r="O8" i="104"/>
  <c r="S9" i="68"/>
  <c r="O9" i="68"/>
  <c r="S8" i="103"/>
  <c r="Q8" i="64"/>
  <c r="O10" i="127"/>
  <c r="O8" i="103"/>
  <c r="O11" i="98"/>
  <c r="Q13" i="132"/>
  <c r="Q13" i="127"/>
  <c r="Q9" i="103"/>
  <c r="Q17" i="81"/>
  <c r="O23" i="98"/>
  <c r="O23" i="74"/>
  <c r="O22" i="81"/>
  <c r="O22" i="76"/>
  <c r="O21" i="103"/>
  <c r="O23" i="59"/>
  <c r="O21" i="110"/>
  <c r="O23" i="89"/>
  <c r="O21" i="132"/>
  <c r="O24" i="111"/>
  <c r="O21" i="106"/>
  <c r="O20" i="117"/>
  <c r="O25" i="124"/>
  <c r="O20" i="126"/>
  <c r="O23" i="83"/>
  <c r="M26" i="57"/>
  <c r="O24" i="57"/>
  <c r="O23" i="131"/>
  <c r="O23" i="127"/>
  <c r="O19" i="126"/>
  <c r="O24" i="124"/>
  <c r="O20" i="122"/>
  <c r="O19" i="117"/>
  <c r="O23" i="111"/>
  <c r="O19" i="104"/>
  <c r="O20" i="132"/>
  <c r="O24" i="100"/>
  <c r="O20" i="105"/>
  <c r="O22" i="89"/>
  <c r="O20" i="68"/>
  <c r="O22" i="59"/>
  <c r="O21" i="119"/>
  <c r="O20" i="103"/>
  <c r="O21" i="64"/>
  <c r="O21" i="67"/>
  <c r="O21" i="76"/>
  <c r="O21" i="81"/>
  <c r="O22" i="74"/>
  <c r="O22" i="98"/>
  <c r="O22" i="83"/>
  <c r="O25" i="75"/>
  <c r="O23" i="57"/>
  <c r="Q18" i="130"/>
  <c r="S9" i="100"/>
  <c r="O9" i="100"/>
  <c r="S21" i="131"/>
  <c r="S22" i="131"/>
  <c r="S21" i="127"/>
  <c r="S22" i="127"/>
  <c r="S17" i="126"/>
  <c r="S18" i="126"/>
  <c r="S21" i="123"/>
  <c r="S22" i="123"/>
  <c r="S22" i="124"/>
  <c r="S23" i="124"/>
  <c r="S18" i="122"/>
  <c r="S19" i="122"/>
  <c r="S18" i="121"/>
  <c r="S19" i="121"/>
  <c r="S21" i="120"/>
  <c r="S22" i="120"/>
  <c r="S17" i="117"/>
  <c r="S18" i="117"/>
  <c r="S19" i="106"/>
  <c r="S20" i="106"/>
  <c r="S21" i="111"/>
  <c r="S22" i="111"/>
  <c r="S17" i="104"/>
  <c r="S18" i="104"/>
  <c r="S18" i="132"/>
  <c r="S19" i="132"/>
  <c r="S19" i="130"/>
  <c r="S20" i="130"/>
  <c r="S18" i="66"/>
  <c r="S19" i="66"/>
  <c r="S22" i="100"/>
  <c r="S23" i="100"/>
  <c r="S18" i="105"/>
  <c r="S19" i="105"/>
  <c r="S20" i="89"/>
  <c r="S21" i="89"/>
  <c r="S19" i="110"/>
  <c r="S20" i="110"/>
  <c r="S17" i="80"/>
  <c r="S18" i="80"/>
  <c r="S18" i="68"/>
  <c r="S19" i="68"/>
  <c r="S20" i="59"/>
  <c r="S21" i="59"/>
  <c r="S19" i="119"/>
  <c r="S20" i="119"/>
  <c r="S22" i="90"/>
  <c r="S23" i="90"/>
  <c r="S17" i="99"/>
  <c r="S18" i="99"/>
  <c r="S18" i="103"/>
  <c r="S19" i="103"/>
  <c r="S17" i="86"/>
  <c r="S18" i="86"/>
  <c r="S17" i="58"/>
  <c r="S18" i="58"/>
  <c r="S19" i="64"/>
  <c r="S20" i="64"/>
  <c r="S19" i="67"/>
  <c r="S20" i="67"/>
  <c r="S19" i="76"/>
  <c r="S20" i="76"/>
  <c r="S19" i="81"/>
  <c r="S20" i="81"/>
  <c r="S17" i="94"/>
  <c r="S18" i="94"/>
  <c r="S22" i="61"/>
  <c r="S23" i="61"/>
  <c r="S25" i="69"/>
  <c r="S26" i="69"/>
  <c r="S20" i="74"/>
  <c r="S21" i="74"/>
  <c r="S17" i="91"/>
  <c r="S18" i="91"/>
  <c r="S21" i="84"/>
  <c r="S22" i="84"/>
  <c r="S20" i="98"/>
  <c r="S21" i="98"/>
  <c r="S20" i="83"/>
  <c r="S21" i="83"/>
  <c r="S20" i="92"/>
  <c r="S21" i="92"/>
  <c r="S17" i="85"/>
  <c r="S18" i="85"/>
  <c r="S21" i="63"/>
  <c r="S22" i="63"/>
  <c r="S23" i="75"/>
  <c r="S24" i="75"/>
  <c r="S21" i="57"/>
  <c r="S22" i="57"/>
  <c r="O22" i="131"/>
  <c r="O21" i="131"/>
  <c r="O22" i="127"/>
  <c r="O21" i="127"/>
  <c r="O18" i="126"/>
  <c r="O17" i="126"/>
  <c r="O22" i="123"/>
  <c r="O21" i="123"/>
  <c r="O23" i="124"/>
  <c r="O22" i="124"/>
  <c r="O19" i="122"/>
  <c r="O18" i="122"/>
  <c r="O19" i="121"/>
  <c r="O18" i="121"/>
  <c r="O22" i="120"/>
  <c r="O21" i="120"/>
  <c r="O18" i="117"/>
  <c r="O17" i="117"/>
  <c r="O20" i="106"/>
  <c r="O19" i="106"/>
  <c r="O22" i="111"/>
  <c r="O21" i="111"/>
  <c r="O18" i="104"/>
  <c r="O17" i="104"/>
  <c r="O19" i="132"/>
  <c r="O18" i="132"/>
  <c r="O20" i="130"/>
  <c r="O19" i="130"/>
  <c r="O19" i="66"/>
  <c r="O18" i="66"/>
  <c r="O23" i="100"/>
  <c r="O22" i="100"/>
  <c r="O19" i="105"/>
  <c r="O18" i="105"/>
  <c r="O21" i="89"/>
  <c r="O20" i="89"/>
  <c r="O20" i="110"/>
  <c r="O19" i="110"/>
  <c r="O18" i="80"/>
  <c r="O17" i="80"/>
  <c r="O19" i="68"/>
  <c r="O18" i="68"/>
  <c r="O21" i="59"/>
  <c r="O20" i="59"/>
  <c r="O20" i="119"/>
  <c r="O19" i="119"/>
  <c r="O23" i="90"/>
  <c r="O22" i="90"/>
  <c r="O18" i="99"/>
  <c r="O17" i="99"/>
  <c r="O19" i="103"/>
  <c r="O18" i="103"/>
  <c r="O18" i="86"/>
  <c r="O17" i="86"/>
  <c r="O18" i="58"/>
  <c r="O17" i="58"/>
  <c r="O20" i="64"/>
  <c r="O19" i="64"/>
  <c r="O20" i="67"/>
  <c r="O19" i="67"/>
  <c r="O20" i="76"/>
  <c r="O19" i="76"/>
  <c r="O20" i="81"/>
  <c r="O19" i="81"/>
  <c r="O18" i="94"/>
  <c r="O17" i="94"/>
  <c r="O23" i="61"/>
  <c r="O22" i="61"/>
  <c r="O21" i="74"/>
  <c r="O20" i="74"/>
  <c r="O18" i="91"/>
  <c r="O17" i="91"/>
  <c r="O22" i="84"/>
  <c r="O21" i="84"/>
  <c r="O21" i="98"/>
  <c r="O20" i="98"/>
  <c r="O21" i="83"/>
  <c r="O20" i="83"/>
  <c r="O21" i="92"/>
  <c r="O20" i="92"/>
  <c r="O18" i="85"/>
  <c r="O17" i="85"/>
  <c r="O22" i="63"/>
  <c r="O21" i="63"/>
  <c r="O24" i="75"/>
  <c r="O23" i="75"/>
  <c r="O22" i="57"/>
  <c r="O21" i="57"/>
  <c r="O26" i="69"/>
  <c r="O25" i="69"/>
  <c r="S8" i="59"/>
  <c r="R25" i="59"/>
  <c r="Q25" i="59"/>
  <c r="N25" i="59"/>
  <c r="M25" i="59"/>
  <c r="O8" i="59"/>
  <c r="Q21" i="100"/>
  <c r="Q17" i="105"/>
  <c r="Q22" i="105" s="1"/>
  <c r="Q9" i="74"/>
  <c r="Q10" i="67"/>
  <c r="O12" i="90"/>
  <c r="Q11" i="111"/>
  <c r="L8" i="76"/>
  <c r="K8" i="76"/>
  <c r="J8" i="76"/>
  <c r="I8" i="76"/>
  <c r="Q10" i="98"/>
  <c r="Q16" i="130"/>
  <c r="S13" i="69"/>
  <c r="O13" i="69"/>
  <c r="Q9" i="64"/>
  <c r="Q20" i="127"/>
  <c r="Q17" i="132"/>
  <c r="S14" i="69"/>
  <c r="O14" i="69"/>
  <c r="S19" i="69"/>
  <c r="O19" i="69"/>
  <c r="S10" i="111"/>
  <c r="O10" i="111"/>
  <c r="S8" i="127"/>
  <c r="R25" i="127"/>
  <c r="N25" i="127"/>
  <c r="M25" i="127"/>
  <c r="O8" i="127"/>
  <c r="Q25" i="98"/>
  <c r="Q15" i="127"/>
  <c r="Q25" i="127"/>
  <c r="Q24" i="69"/>
  <c r="S24" i="69" s="1"/>
  <c r="S19" i="131"/>
  <c r="O19" i="131"/>
  <c r="S19" i="127"/>
  <c r="O19" i="127"/>
  <c r="S15" i="126"/>
  <c r="O15" i="126"/>
  <c r="S19" i="123"/>
  <c r="O19" i="123"/>
  <c r="S20" i="124"/>
  <c r="O20" i="124"/>
  <c r="S16" i="122"/>
  <c r="O16" i="122"/>
  <c r="S16" i="121"/>
  <c r="O16" i="121"/>
  <c r="S19" i="120"/>
  <c r="O19" i="120"/>
  <c r="S15" i="117"/>
  <c r="O15" i="117"/>
  <c r="S17" i="106"/>
  <c r="O17" i="106"/>
  <c r="S19" i="111"/>
  <c r="O19" i="111"/>
  <c r="S15" i="104"/>
  <c r="O15" i="104"/>
  <c r="S16" i="132"/>
  <c r="O16" i="132"/>
  <c r="S17" i="130"/>
  <c r="O17" i="130"/>
  <c r="S16" i="66"/>
  <c r="O16" i="66"/>
  <c r="S20" i="100"/>
  <c r="O20" i="100"/>
  <c r="S16" i="105"/>
  <c r="O16" i="105"/>
  <c r="S18" i="89"/>
  <c r="O18" i="89"/>
  <c r="S17" i="110"/>
  <c r="O17" i="110"/>
  <c r="S15" i="80"/>
  <c r="O15" i="80"/>
  <c r="S16" i="68"/>
  <c r="O16" i="68"/>
  <c r="S18" i="59"/>
  <c r="O18" i="59"/>
  <c r="S17" i="119"/>
  <c r="O17" i="119"/>
  <c r="S20" i="90"/>
  <c r="O20" i="90"/>
  <c r="S15" i="99"/>
  <c r="O15" i="99"/>
  <c r="S16" i="103"/>
  <c r="O16" i="103"/>
  <c r="S15" i="86"/>
  <c r="O15" i="86"/>
  <c r="S15" i="58"/>
  <c r="O15" i="58"/>
  <c r="S17" i="64"/>
  <c r="O17" i="64"/>
  <c r="S17" i="67"/>
  <c r="O17" i="67"/>
  <c r="S17" i="76"/>
  <c r="O17" i="76"/>
  <c r="S17" i="81"/>
  <c r="O17" i="81"/>
  <c r="S15" i="94"/>
  <c r="O15" i="94"/>
  <c r="S16" i="97"/>
  <c r="O16" i="97"/>
  <c r="S20" i="61"/>
  <c r="O20" i="61"/>
  <c r="S23" i="69"/>
  <c r="O23" i="69"/>
  <c r="S18" i="74"/>
  <c r="O18" i="74"/>
  <c r="S14" i="70"/>
  <c r="O14" i="70"/>
  <c r="S15" i="91"/>
  <c r="O15" i="91"/>
  <c r="S19" i="84"/>
  <c r="O19" i="84"/>
  <c r="S18" i="98"/>
  <c r="O18" i="98"/>
  <c r="S18" i="83"/>
  <c r="O18" i="83"/>
  <c r="S18" i="92"/>
  <c r="O18" i="92"/>
  <c r="S19" i="63"/>
  <c r="O19" i="63"/>
  <c r="S21" i="75"/>
  <c r="O21" i="75"/>
  <c r="S19" i="57"/>
  <c r="O19" i="57"/>
  <c r="S15" i="85"/>
  <c r="O15" i="85"/>
  <c r="S17" i="103"/>
  <c r="S18" i="131"/>
  <c r="O18" i="131"/>
  <c r="S17" i="131"/>
  <c r="O17" i="131"/>
  <c r="S16" i="131"/>
  <c r="O16" i="131"/>
  <c r="H16" i="131"/>
  <c r="H17" i="131" s="1"/>
  <c r="H18" i="131" s="1"/>
  <c r="H19" i="131" s="1"/>
  <c r="G16" i="131"/>
  <c r="G17" i="131" s="1"/>
  <c r="G18" i="131" s="1"/>
  <c r="G19" i="131" s="1"/>
  <c r="S18" i="127"/>
  <c r="O18" i="127"/>
  <c r="S17" i="127"/>
  <c r="O17" i="127"/>
  <c r="S16" i="127"/>
  <c r="O16" i="127"/>
  <c r="H16" i="127"/>
  <c r="H17" i="127"/>
  <c r="H18" i="127"/>
  <c r="H19" i="127"/>
  <c r="G16" i="127"/>
  <c r="G17" i="127"/>
  <c r="G18" i="127"/>
  <c r="G19" i="127"/>
  <c r="S14" i="126"/>
  <c r="O14" i="126"/>
  <c r="S13" i="126"/>
  <c r="O13" i="126"/>
  <c r="S12" i="126"/>
  <c r="O12" i="126"/>
  <c r="H12" i="126"/>
  <c r="H13" i="126"/>
  <c r="H14" i="126"/>
  <c r="H15" i="126"/>
  <c r="G12" i="126"/>
  <c r="G13" i="126"/>
  <c r="G14" i="126"/>
  <c r="G15" i="126"/>
  <c r="S18" i="123"/>
  <c r="O18" i="123"/>
  <c r="S17" i="123"/>
  <c r="O17" i="123"/>
  <c r="H17" i="123"/>
  <c r="H18" i="123" s="1"/>
  <c r="H19" i="123" s="1"/>
  <c r="G17" i="123"/>
  <c r="G18" i="123"/>
  <c r="G19" i="123"/>
  <c r="S19" i="124"/>
  <c r="O19" i="124"/>
  <c r="S18" i="124"/>
  <c r="O18" i="124"/>
  <c r="S17" i="124"/>
  <c r="O17" i="124"/>
  <c r="H17" i="124"/>
  <c r="H18" i="124"/>
  <c r="H19" i="124"/>
  <c r="H20" i="124"/>
  <c r="G17" i="124"/>
  <c r="G18" i="124"/>
  <c r="G19" i="124"/>
  <c r="G20" i="124"/>
  <c r="S15" i="122"/>
  <c r="O15" i="122"/>
  <c r="S14" i="122"/>
  <c r="O14" i="122"/>
  <c r="S13" i="122"/>
  <c r="O13" i="122"/>
  <c r="H13" i="122"/>
  <c r="H14" i="122"/>
  <c r="H15" i="122"/>
  <c r="H16" i="122"/>
  <c r="G13" i="122"/>
  <c r="G14" i="122"/>
  <c r="G15" i="122"/>
  <c r="G16" i="122"/>
  <c r="S15" i="121"/>
  <c r="O15" i="121"/>
  <c r="S14" i="121"/>
  <c r="O14" i="121"/>
  <c r="S13" i="121"/>
  <c r="O13" i="121"/>
  <c r="H13" i="121"/>
  <c r="H14" i="121"/>
  <c r="H15" i="121"/>
  <c r="H16" i="121"/>
  <c r="G13" i="121"/>
  <c r="G14" i="121"/>
  <c r="G15" i="121"/>
  <c r="G16" i="121"/>
  <c r="S18" i="120"/>
  <c r="O18" i="120"/>
  <c r="S17" i="120"/>
  <c r="O17" i="120"/>
  <c r="S16" i="120"/>
  <c r="O16" i="120"/>
  <c r="H16" i="120"/>
  <c r="H17" i="120" s="1"/>
  <c r="H18" i="120" s="1"/>
  <c r="H19" i="120" s="1"/>
  <c r="G16" i="120"/>
  <c r="G17" i="120" s="1"/>
  <c r="G18" i="120" s="1"/>
  <c r="G19" i="120" s="1"/>
  <c r="S14" i="117"/>
  <c r="O14" i="117"/>
  <c r="S13" i="117"/>
  <c r="O13" i="117"/>
  <c r="S12" i="117"/>
  <c r="O12" i="117"/>
  <c r="H12" i="117"/>
  <c r="H13" i="117"/>
  <c r="H14" i="117"/>
  <c r="H15" i="117"/>
  <c r="G12" i="117"/>
  <c r="G13" i="117"/>
  <c r="G14" i="117"/>
  <c r="G15" i="117"/>
  <c r="S16" i="106"/>
  <c r="O16" i="106"/>
  <c r="S15" i="106"/>
  <c r="O15" i="106"/>
  <c r="S14" i="106"/>
  <c r="O14" i="106"/>
  <c r="H14" i="106"/>
  <c r="H15" i="106"/>
  <c r="H16" i="106"/>
  <c r="H17" i="106"/>
  <c r="G14" i="106"/>
  <c r="G15" i="106"/>
  <c r="G16" i="106"/>
  <c r="G17" i="106"/>
  <c r="S18" i="111"/>
  <c r="O18" i="111"/>
  <c r="S17" i="111"/>
  <c r="O17" i="111"/>
  <c r="S16" i="111"/>
  <c r="O16" i="111"/>
  <c r="H16" i="111"/>
  <c r="H17" i="111"/>
  <c r="H18" i="111"/>
  <c r="H19" i="111"/>
  <c r="G16" i="111"/>
  <c r="G17" i="111"/>
  <c r="G18" i="111"/>
  <c r="G19" i="111"/>
  <c r="S14" i="104"/>
  <c r="O14" i="104"/>
  <c r="S13" i="104"/>
  <c r="O13" i="104"/>
  <c r="S12" i="104"/>
  <c r="O12" i="104"/>
  <c r="H12" i="104"/>
  <c r="H13" i="104"/>
  <c r="H14" i="104"/>
  <c r="H15" i="104"/>
  <c r="G12" i="104"/>
  <c r="G13" i="104"/>
  <c r="G14" i="104"/>
  <c r="G15" i="104"/>
  <c r="S15" i="132"/>
  <c r="O15" i="132"/>
  <c r="S14" i="132"/>
  <c r="O14" i="132"/>
  <c r="S13" i="132"/>
  <c r="O13" i="132"/>
  <c r="H13" i="132"/>
  <c r="H14" i="132"/>
  <c r="H15" i="132"/>
  <c r="H16" i="132"/>
  <c r="G13" i="132"/>
  <c r="G14" i="132"/>
  <c r="G15" i="132"/>
  <c r="G16" i="132"/>
  <c r="S16" i="130"/>
  <c r="O16" i="130"/>
  <c r="S15" i="130"/>
  <c r="O15" i="130"/>
  <c r="S14" i="130"/>
  <c r="O14" i="130"/>
  <c r="H14" i="130"/>
  <c r="H15" i="130"/>
  <c r="H16" i="130"/>
  <c r="H17" i="130"/>
  <c r="G14" i="130"/>
  <c r="G15" i="130"/>
  <c r="G16" i="130"/>
  <c r="G17" i="130"/>
  <c r="S15" i="66"/>
  <c r="O15" i="66"/>
  <c r="S14" i="66"/>
  <c r="O14" i="66"/>
  <c r="O13" i="66"/>
  <c r="H13" i="66"/>
  <c r="H14" i="66" s="1"/>
  <c r="H15" i="66" s="1"/>
  <c r="H16" i="66" s="1"/>
  <c r="G13" i="66"/>
  <c r="G14" i="66" s="1"/>
  <c r="G15" i="66" s="1"/>
  <c r="G16" i="66" s="1"/>
  <c r="S19" i="100"/>
  <c r="O19" i="100"/>
  <c r="S18" i="100"/>
  <c r="O18" i="100"/>
  <c r="S17" i="100"/>
  <c r="O17" i="100"/>
  <c r="H17" i="100"/>
  <c r="H18" i="100"/>
  <c r="H19" i="100"/>
  <c r="H20" i="100"/>
  <c r="G17" i="100"/>
  <c r="G18" i="100"/>
  <c r="G19" i="100"/>
  <c r="G20" i="100"/>
  <c r="S15" i="105"/>
  <c r="O15" i="105"/>
  <c r="S14" i="105"/>
  <c r="O14" i="105"/>
  <c r="S13" i="105"/>
  <c r="O13" i="105"/>
  <c r="H13" i="105"/>
  <c r="H14" i="105" s="1"/>
  <c r="H15" i="105" s="1"/>
  <c r="H16" i="105" s="1"/>
  <c r="G13" i="105"/>
  <c r="G14" i="105" s="1"/>
  <c r="G15" i="105" s="1"/>
  <c r="G16" i="105" s="1"/>
  <c r="S17" i="89"/>
  <c r="O17" i="89"/>
  <c r="S16" i="89"/>
  <c r="O16" i="89"/>
  <c r="S15" i="89"/>
  <c r="O15" i="89"/>
  <c r="H15" i="89"/>
  <c r="H16" i="89"/>
  <c r="H17" i="89"/>
  <c r="H18" i="89"/>
  <c r="G15" i="89"/>
  <c r="G16" i="89"/>
  <c r="G17" i="89"/>
  <c r="G18" i="89"/>
  <c r="S16" i="110"/>
  <c r="O16" i="110"/>
  <c r="S15" i="110"/>
  <c r="O15" i="110"/>
  <c r="S14" i="110"/>
  <c r="O14" i="110"/>
  <c r="H14" i="110"/>
  <c r="H15" i="110"/>
  <c r="H16" i="110"/>
  <c r="H17" i="110"/>
  <c r="G14" i="110"/>
  <c r="G15" i="110"/>
  <c r="G16" i="110"/>
  <c r="G17" i="110"/>
  <c r="S14" i="80"/>
  <c r="O14" i="80"/>
  <c r="S13" i="80"/>
  <c r="O13" i="80"/>
  <c r="S12" i="80"/>
  <c r="O12" i="80"/>
  <c r="H12" i="80"/>
  <c r="H13" i="80"/>
  <c r="H14" i="80"/>
  <c r="H15" i="80"/>
  <c r="G12" i="80"/>
  <c r="G13" i="80"/>
  <c r="G14" i="80"/>
  <c r="G15" i="80"/>
  <c r="S15" i="68"/>
  <c r="O15" i="68"/>
  <c r="S14" i="68"/>
  <c r="O14" i="68"/>
  <c r="H14" i="68"/>
  <c r="H15" i="68"/>
  <c r="H16" i="68"/>
  <c r="G14" i="68"/>
  <c r="G15" i="68"/>
  <c r="G16" i="68"/>
  <c r="S17" i="59"/>
  <c r="O17" i="59"/>
  <c r="S16" i="59"/>
  <c r="O16" i="59"/>
  <c r="S15" i="59"/>
  <c r="O15" i="59"/>
  <c r="H15" i="59"/>
  <c r="H16" i="59" s="1"/>
  <c r="H17" i="59" s="1"/>
  <c r="H18" i="59" s="1"/>
  <c r="G15" i="59"/>
  <c r="G16" i="59" s="1"/>
  <c r="G17" i="59" s="1"/>
  <c r="G18" i="59" s="1"/>
  <c r="S16" i="119"/>
  <c r="O16" i="119"/>
  <c r="S15" i="119"/>
  <c r="O15" i="119"/>
  <c r="S14" i="119"/>
  <c r="O14" i="119"/>
  <c r="H14" i="119"/>
  <c r="H15" i="119" s="1"/>
  <c r="H16" i="119" s="1"/>
  <c r="H17" i="119" s="1"/>
  <c r="G14" i="119"/>
  <c r="G15" i="119"/>
  <c r="G16" i="119" s="1"/>
  <c r="G17" i="119" s="1"/>
  <c r="S19" i="90"/>
  <c r="O19" i="90"/>
  <c r="S18" i="90"/>
  <c r="O18" i="90"/>
  <c r="S17" i="90"/>
  <c r="O17" i="90"/>
  <c r="H17" i="90"/>
  <c r="H18" i="90" s="1"/>
  <c r="H19" i="90" s="1"/>
  <c r="H20" i="90" s="1"/>
  <c r="G17" i="90"/>
  <c r="G18" i="90"/>
  <c r="G19" i="90" s="1"/>
  <c r="G20" i="90" s="1"/>
  <c r="S14" i="99"/>
  <c r="O14" i="99"/>
  <c r="S13" i="99"/>
  <c r="O13" i="99"/>
  <c r="S12" i="99"/>
  <c r="O12" i="99"/>
  <c r="H12" i="99"/>
  <c r="H13" i="99"/>
  <c r="H14" i="99"/>
  <c r="H15" i="99"/>
  <c r="G12" i="99"/>
  <c r="G13" i="99"/>
  <c r="G14" i="99"/>
  <c r="G15" i="99"/>
  <c r="S15" i="103"/>
  <c r="O15" i="103"/>
  <c r="S14" i="103"/>
  <c r="O14" i="103"/>
  <c r="S13" i="103"/>
  <c r="O13" i="103"/>
  <c r="H13" i="103"/>
  <c r="H14" i="103"/>
  <c r="H15" i="103"/>
  <c r="H16" i="103"/>
  <c r="G13" i="103"/>
  <c r="G14" i="103"/>
  <c r="G15" i="103"/>
  <c r="G16" i="103"/>
  <c r="S14" i="86"/>
  <c r="O14" i="86"/>
  <c r="S13" i="86"/>
  <c r="O13" i="86"/>
  <c r="S12" i="86"/>
  <c r="O12" i="86"/>
  <c r="H12" i="86"/>
  <c r="H13" i="86"/>
  <c r="H14" i="86"/>
  <c r="H15" i="86"/>
  <c r="G12" i="86"/>
  <c r="G13" i="86"/>
  <c r="G14" i="86"/>
  <c r="G15" i="86"/>
  <c r="S14" i="58"/>
  <c r="O14" i="58"/>
  <c r="S13" i="58"/>
  <c r="O13" i="58"/>
  <c r="H13" i="58"/>
  <c r="H14" i="58"/>
  <c r="H15" i="58"/>
  <c r="G13" i="58"/>
  <c r="G14" i="58"/>
  <c r="G15" i="58"/>
  <c r="S16" i="64"/>
  <c r="O16" i="64"/>
  <c r="S15" i="64"/>
  <c r="O15" i="64"/>
  <c r="S14" i="64"/>
  <c r="O14" i="64"/>
  <c r="H14" i="64"/>
  <c r="H15" i="64"/>
  <c r="H16" i="64"/>
  <c r="H17" i="64"/>
  <c r="G14" i="64"/>
  <c r="G15" i="64"/>
  <c r="G16" i="64"/>
  <c r="G17" i="64"/>
  <c r="S16" i="67"/>
  <c r="O16" i="67"/>
  <c r="S15" i="67"/>
  <c r="O15" i="67"/>
  <c r="H15" i="67"/>
  <c r="H16" i="67"/>
  <c r="H17" i="67"/>
  <c r="G15" i="67"/>
  <c r="G16" i="67"/>
  <c r="G17" i="67"/>
  <c r="S16" i="76"/>
  <c r="O16" i="76"/>
  <c r="S15" i="76"/>
  <c r="O15" i="76"/>
  <c r="S14" i="76"/>
  <c r="O14" i="76"/>
  <c r="H14" i="76"/>
  <c r="H15" i="76"/>
  <c r="H16" i="76" s="1"/>
  <c r="H17" i="76" s="1"/>
  <c r="G14" i="76"/>
  <c r="G15" i="76" s="1"/>
  <c r="G16" i="76" s="1"/>
  <c r="G17" i="76" s="1"/>
  <c r="S16" i="81"/>
  <c r="O16" i="81"/>
  <c r="S15" i="81"/>
  <c r="O15" i="81"/>
  <c r="S14" i="81"/>
  <c r="O14" i="81"/>
  <c r="H14" i="81"/>
  <c r="H15" i="81"/>
  <c r="H16" i="81"/>
  <c r="H17" i="81"/>
  <c r="G14" i="81"/>
  <c r="G15" i="81"/>
  <c r="G16" i="81"/>
  <c r="G17" i="81"/>
  <c r="S14" i="94"/>
  <c r="O14" i="94"/>
  <c r="S13" i="94"/>
  <c r="O13" i="94"/>
  <c r="H13" i="94"/>
  <c r="H14" i="94"/>
  <c r="H15" i="94"/>
  <c r="G13" i="94"/>
  <c r="G14" i="94"/>
  <c r="G15" i="94"/>
  <c r="S15" i="97"/>
  <c r="O15" i="97"/>
  <c r="S14" i="97"/>
  <c r="O14" i="97"/>
  <c r="S13" i="97"/>
  <c r="O13" i="97"/>
  <c r="H13" i="97"/>
  <c r="H14" i="97"/>
  <c r="H15" i="97"/>
  <c r="H16" i="97"/>
  <c r="G13" i="97"/>
  <c r="G14" i="97"/>
  <c r="G15" i="97"/>
  <c r="G16" i="97"/>
  <c r="S19" i="61"/>
  <c r="O19" i="61"/>
  <c r="S18" i="61"/>
  <c r="O18" i="61"/>
  <c r="S17" i="61"/>
  <c r="O17" i="61"/>
  <c r="H17" i="61"/>
  <c r="H18" i="61"/>
  <c r="H19" i="61" s="1"/>
  <c r="H20" i="61" s="1"/>
  <c r="G17" i="61"/>
  <c r="G18" i="61" s="1"/>
  <c r="G19" i="61" s="1"/>
  <c r="G20" i="61" s="1"/>
  <c r="S22" i="69"/>
  <c r="O22" i="69"/>
  <c r="S21" i="69"/>
  <c r="O21" i="69"/>
  <c r="S20" i="69"/>
  <c r="O20" i="69"/>
  <c r="H20" i="69"/>
  <c r="H21" i="69"/>
  <c r="H22" i="69"/>
  <c r="H23" i="69" s="1"/>
  <c r="G20" i="69"/>
  <c r="G21" i="69" s="1"/>
  <c r="G22" i="69" s="1"/>
  <c r="G23" i="69" s="1"/>
  <c r="S17" i="74"/>
  <c r="O17" i="74"/>
  <c r="S16" i="74"/>
  <c r="O16" i="74"/>
  <c r="S15" i="74"/>
  <c r="O15" i="74"/>
  <c r="H15" i="74"/>
  <c r="H16" i="74"/>
  <c r="H17" i="74" s="1"/>
  <c r="H18" i="74" s="1"/>
  <c r="G15" i="74"/>
  <c r="G16" i="74" s="1"/>
  <c r="G17" i="74" s="1"/>
  <c r="G18" i="74" s="1"/>
  <c r="S13" i="70"/>
  <c r="O13" i="70"/>
  <c r="S12" i="70"/>
  <c r="O12" i="70"/>
  <c r="H12" i="70"/>
  <c r="H13" i="70"/>
  <c r="H14" i="70"/>
  <c r="G12" i="70"/>
  <c r="G13" i="70"/>
  <c r="G14" i="70"/>
  <c r="S14" i="91"/>
  <c r="O14" i="91"/>
  <c r="S13" i="91"/>
  <c r="O13" i="91"/>
  <c r="S12" i="91"/>
  <c r="O12" i="91"/>
  <c r="H12" i="91"/>
  <c r="H13" i="91"/>
  <c r="H14" i="91"/>
  <c r="H15" i="91"/>
  <c r="G12" i="91"/>
  <c r="G13" i="91"/>
  <c r="G14" i="91"/>
  <c r="G15" i="91"/>
  <c r="S18" i="84"/>
  <c r="O18" i="84"/>
  <c r="S17" i="84"/>
  <c r="O17" i="84"/>
  <c r="S16" i="84"/>
  <c r="O16" i="84"/>
  <c r="H16" i="84"/>
  <c r="H17" i="84"/>
  <c r="H18" i="84" s="1"/>
  <c r="H19" i="84" s="1"/>
  <c r="G16" i="84"/>
  <c r="G17" i="84" s="1"/>
  <c r="G18" i="84" s="1"/>
  <c r="G19" i="84" s="1"/>
  <c r="S17" i="98"/>
  <c r="O17" i="98"/>
  <c r="S16" i="98"/>
  <c r="O16" i="98"/>
  <c r="H16" i="98"/>
  <c r="H17" i="98"/>
  <c r="H18" i="98"/>
  <c r="G16" i="98"/>
  <c r="G17" i="98"/>
  <c r="G18" i="98"/>
  <c r="S17" i="83"/>
  <c r="O17" i="83"/>
  <c r="S16" i="83"/>
  <c r="O16" i="83"/>
  <c r="S15" i="83"/>
  <c r="O15" i="83"/>
  <c r="H15" i="83"/>
  <c r="H16" i="83"/>
  <c r="H17" i="83" s="1"/>
  <c r="H18" i="83" s="1"/>
  <c r="G15" i="83"/>
  <c r="G16" i="83" s="1"/>
  <c r="G17" i="83" s="1"/>
  <c r="G18" i="83" s="1"/>
  <c r="S17" i="92"/>
  <c r="O17" i="92"/>
  <c r="S16" i="92"/>
  <c r="O16" i="92"/>
  <c r="S15" i="92"/>
  <c r="O15" i="92"/>
  <c r="H15" i="92"/>
  <c r="H16" i="92" s="1"/>
  <c r="H17" i="92" s="1"/>
  <c r="H18" i="92" s="1"/>
  <c r="G15" i="92"/>
  <c r="G16" i="92" s="1"/>
  <c r="G17" i="92" s="1"/>
  <c r="G18" i="92" s="1"/>
  <c r="S14" i="85"/>
  <c r="O14" i="85"/>
  <c r="S13" i="85"/>
  <c r="O13" i="85"/>
  <c r="H13" i="85"/>
  <c r="H14" i="85" s="1"/>
  <c r="H15" i="85" s="1"/>
  <c r="G13" i="85"/>
  <c r="G14" i="85"/>
  <c r="G15" i="85"/>
  <c r="R20" i="85"/>
  <c r="Q20" i="85"/>
  <c r="N20" i="85"/>
  <c r="M20" i="85"/>
  <c r="S18" i="63"/>
  <c r="O18" i="63"/>
  <c r="S17" i="63"/>
  <c r="O17" i="63"/>
  <c r="S16" i="63"/>
  <c r="O16" i="63"/>
  <c r="H16" i="63"/>
  <c r="H17" i="63"/>
  <c r="H18" i="63"/>
  <c r="H19" i="63"/>
  <c r="G16" i="63"/>
  <c r="G17" i="63" s="1"/>
  <c r="G18" i="63" s="1"/>
  <c r="G19" i="63" s="1"/>
  <c r="S20" i="75"/>
  <c r="O20" i="75"/>
  <c r="S19" i="75"/>
  <c r="O19" i="75"/>
  <c r="S18" i="75"/>
  <c r="O18" i="75"/>
  <c r="H18" i="75"/>
  <c r="H19" i="75"/>
  <c r="H20" i="75"/>
  <c r="H21" i="75"/>
  <c r="G18" i="75"/>
  <c r="G19" i="75"/>
  <c r="G20" i="75"/>
  <c r="G21" i="75"/>
  <c r="S18" i="57"/>
  <c r="O18" i="57"/>
  <c r="S17" i="57"/>
  <c r="O17" i="57"/>
  <c r="S16" i="57"/>
  <c r="O16" i="57"/>
  <c r="Q10" i="69"/>
  <c r="Q8" i="130"/>
  <c r="S9" i="124"/>
  <c r="O9" i="124"/>
  <c r="R22" i="68"/>
  <c r="Q22" i="68"/>
  <c r="N22" i="68"/>
  <c r="M22" i="68"/>
  <c r="S7" i="68"/>
  <c r="O7" i="68"/>
  <c r="R23" i="67"/>
  <c r="Q23" i="67"/>
  <c r="N23" i="67"/>
  <c r="M23" i="67"/>
  <c r="S7" i="67"/>
  <c r="O7" i="67"/>
  <c r="Q20" i="131"/>
  <c r="Q25" i="131" s="1"/>
  <c r="Q21" i="124"/>
  <c r="S8" i="106"/>
  <c r="O8" i="106"/>
  <c r="R26" i="100"/>
  <c r="Q26" i="100"/>
  <c r="M26" i="100"/>
  <c r="S7" i="100"/>
  <c r="O7" i="100"/>
  <c r="S8" i="90"/>
  <c r="O8" i="90"/>
  <c r="S11" i="69"/>
  <c r="O11" i="69"/>
  <c r="R22" i="105"/>
  <c r="N22" i="105"/>
  <c r="M22" i="105"/>
  <c r="S7" i="105"/>
  <c r="O7" i="105"/>
  <c r="S8" i="89"/>
  <c r="O8" i="89"/>
  <c r="S8" i="75"/>
  <c r="O8" i="75"/>
  <c r="Q11" i="90"/>
  <c r="S11" i="90"/>
  <c r="Q18" i="69"/>
  <c r="Q28" i="69" s="1"/>
  <c r="I8" i="63"/>
  <c r="J8" i="63"/>
  <c r="K8" i="63"/>
  <c r="L8" i="63"/>
  <c r="S9" i="111"/>
  <c r="O9" i="111"/>
  <c r="S7" i="59"/>
  <c r="O7" i="59"/>
  <c r="O25" i="59" s="1"/>
  <c r="S9" i="98"/>
  <c r="O9" i="98"/>
  <c r="O11" i="100"/>
  <c r="S10" i="100"/>
  <c r="N26" i="100"/>
  <c r="S9" i="134"/>
  <c r="O9" i="134"/>
  <c r="S10" i="75"/>
  <c r="O10" i="75"/>
  <c r="H10" i="75"/>
  <c r="G10" i="75"/>
  <c r="O8" i="94"/>
  <c r="L8" i="94"/>
  <c r="K8" i="94"/>
  <c r="J8" i="94"/>
  <c r="I8" i="94"/>
  <c r="N8" i="110"/>
  <c r="O8" i="110"/>
  <c r="S7" i="88"/>
  <c r="O7" i="88"/>
  <c r="O20" i="131"/>
  <c r="S20" i="127"/>
  <c r="O20" i="127"/>
  <c r="S16" i="126"/>
  <c r="O16" i="126"/>
  <c r="S20" i="123"/>
  <c r="O20" i="123"/>
  <c r="S21" i="124"/>
  <c r="O21" i="124"/>
  <c r="S17" i="122"/>
  <c r="O17" i="122"/>
  <c r="S17" i="121"/>
  <c r="O17" i="121"/>
  <c r="S20" i="120"/>
  <c r="O20" i="120"/>
  <c r="S16" i="117"/>
  <c r="O16" i="117"/>
  <c r="S18" i="106"/>
  <c r="O18" i="106"/>
  <c r="S20" i="111"/>
  <c r="O20" i="111"/>
  <c r="S16" i="104"/>
  <c r="O16" i="104"/>
  <c r="S17" i="132"/>
  <c r="O17" i="132"/>
  <c r="S18" i="130"/>
  <c r="O18" i="130"/>
  <c r="S17" i="66"/>
  <c r="O17" i="66"/>
  <c r="S21" i="100"/>
  <c r="O21" i="100"/>
  <c r="O17" i="105"/>
  <c r="S19" i="89"/>
  <c r="O19" i="89"/>
  <c r="S18" i="110"/>
  <c r="O18" i="110"/>
  <c r="S13" i="88"/>
  <c r="O13" i="88"/>
  <c r="S16" i="80"/>
  <c r="O16" i="80"/>
  <c r="S17" i="68"/>
  <c r="O17" i="68"/>
  <c r="S19" i="59"/>
  <c r="O19" i="59"/>
  <c r="S18" i="119"/>
  <c r="O18" i="119"/>
  <c r="S21" i="90"/>
  <c r="O21" i="90"/>
  <c r="S16" i="99"/>
  <c r="O16" i="99"/>
  <c r="O17" i="103"/>
  <c r="S16" i="86"/>
  <c r="O16" i="86"/>
  <c r="S16" i="58"/>
  <c r="O16" i="58"/>
  <c r="S18" i="64"/>
  <c r="O18" i="64"/>
  <c r="S18" i="67"/>
  <c r="O18" i="67"/>
  <c r="S18" i="76"/>
  <c r="O18" i="76"/>
  <c r="S18" i="81"/>
  <c r="O18" i="81"/>
  <c r="S16" i="94"/>
  <c r="O16" i="94"/>
  <c r="S17" i="97"/>
  <c r="O17" i="97"/>
  <c r="S21" i="61"/>
  <c r="O21" i="61"/>
  <c r="O24" i="69"/>
  <c r="S19" i="74"/>
  <c r="O19" i="74"/>
  <c r="S15" i="70"/>
  <c r="O15" i="70"/>
  <c r="S16" i="91"/>
  <c r="O16" i="91"/>
  <c r="S20" i="84"/>
  <c r="O20" i="84"/>
  <c r="O19" i="98"/>
  <c r="S19" i="83"/>
  <c r="O19" i="83"/>
  <c r="S19" i="92"/>
  <c r="O19" i="92"/>
  <c r="S16" i="85"/>
  <c r="O16" i="85"/>
  <c r="R24" i="63"/>
  <c r="M24" i="63"/>
  <c r="S20" i="63"/>
  <c r="O20" i="63"/>
  <c r="S22" i="75"/>
  <c r="O22" i="75"/>
  <c r="S20" i="57"/>
  <c r="O20" i="57"/>
  <c r="R23" i="132"/>
  <c r="Q23" i="132"/>
  <c r="N23" i="132"/>
  <c r="M23" i="132"/>
  <c r="S7" i="132"/>
  <c r="O7" i="132"/>
  <c r="S13" i="130"/>
  <c r="S12" i="130"/>
  <c r="S11" i="130"/>
  <c r="S10" i="130"/>
  <c r="S8" i="130"/>
  <c r="O13" i="130"/>
  <c r="O12" i="130"/>
  <c r="O11" i="130"/>
  <c r="O10" i="130"/>
  <c r="O8" i="130"/>
  <c r="S13" i="127"/>
  <c r="S9" i="70"/>
  <c r="S10" i="85"/>
  <c r="R22" i="126"/>
  <c r="Q22" i="126"/>
  <c r="N22" i="126"/>
  <c r="M22" i="126"/>
  <c r="S16" i="90"/>
  <c r="S12" i="103"/>
  <c r="S23" i="103" s="1"/>
  <c r="S55" i="103" s="1"/>
  <c r="S12" i="58"/>
  <c r="S13" i="119"/>
  <c r="S11" i="99"/>
  <c r="S11" i="86"/>
  <c r="N24" i="63"/>
  <c r="S10" i="121"/>
  <c r="S18" i="69"/>
  <c r="O18" i="69"/>
  <c r="Q24" i="63"/>
  <c r="R25" i="131"/>
  <c r="M25" i="131"/>
  <c r="S15" i="131"/>
  <c r="O15" i="131"/>
  <c r="S15" i="127"/>
  <c r="O15" i="127"/>
  <c r="S11" i="126"/>
  <c r="O11" i="126"/>
  <c r="S16" i="123"/>
  <c r="O16" i="123"/>
  <c r="S16" i="124"/>
  <c r="O16" i="124"/>
  <c r="S12" i="122"/>
  <c r="O12" i="122"/>
  <c r="S12" i="121"/>
  <c r="O12" i="121"/>
  <c r="S15" i="120"/>
  <c r="O15" i="120"/>
  <c r="S11" i="117"/>
  <c r="O11" i="117"/>
  <c r="S13" i="106"/>
  <c r="O13" i="106"/>
  <c r="S15" i="111"/>
  <c r="O15" i="111"/>
  <c r="S11" i="104"/>
  <c r="O11" i="104"/>
  <c r="S12" i="132"/>
  <c r="O12" i="132"/>
  <c r="S12" i="66"/>
  <c r="O12" i="66"/>
  <c r="S16" i="100"/>
  <c r="O16" i="100"/>
  <c r="S12" i="105"/>
  <c r="O12" i="105"/>
  <c r="S14" i="89"/>
  <c r="S25" i="89" s="1"/>
  <c r="S55" i="89" s="1"/>
  <c r="O14" i="89"/>
  <c r="S13" i="110"/>
  <c r="O13" i="110"/>
  <c r="S12" i="88"/>
  <c r="O12" i="88"/>
  <c r="S11" i="80"/>
  <c r="O11" i="80"/>
  <c r="S13" i="68"/>
  <c r="O13" i="68"/>
  <c r="S14" i="59"/>
  <c r="O14" i="59"/>
  <c r="O13" i="119"/>
  <c r="O16" i="90"/>
  <c r="O11" i="99"/>
  <c r="O12" i="103"/>
  <c r="O11" i="86"/>
  <c r="R23" i="64"/>
  <c r="Q23" i="64"/>
  <c r="N23" i="64"/>
  <c r="M23" i="64"/>
  <c r="S13" i="64"/>
  <c r="O13" i="64"/>
  <c r="S12" i="64"/>
  <c r="O12" i="64"/>
  <c r="S14" i="67"/>
  <c r="O14" i="67"/>
  <c r="S13" i="76"/>
  <c r="O13" i="76"/>
  <c r="S13" i="81"/>
  <c r="O13" i="81"/>
  <c r="S12" i="94"/>
  <c r="O12" i="94"/>
  <c r="S12" i="97"/>
  <c r="O12" i="97"/>
  <c r="R26" i="61"/>
  <c r="Q26" i="61"/>
  <c r="N26" i="61"/>
  <c r="M26" i="61"/>
  <c r="S16" i="61"/>
  <c r="O16" i="61"/>
  <c r="S15" i="61"/>
  <c r="O15" i="61"/>
  <c r="S17" i="69"/>
  <c r="O17" i="69"/>
  <c r="S14" i="74"/>
  <c r="O14" i="74"/>
  <c r="S11" i="70"/>
  <c r="O11" i="70"/>
  <c r="S11" i="91"/>
  <c r="O11" i="91"/>
  <c r="S15" i="84"/>
  <c r="O15" i="84"/>
  <c r="S15" i="98"/>
  <c r="O15" i="98"/>
  <c r="S14" i="83"/>
  <c r="O14" i="83"/>
  <c r="S14" i="92"/>
  <c r="O14" i="92"/>
  <c r="S12" i="85"/>
  <c r="O12" i="85"/>
  <c r="S15" i="63"/>
  <c r="O15" i="63"/>
  <c r="R27" i="75"/>
  <c r="Q27" i="75"/>
  <c r="N27" i="75"/>
  <c r="M27" i="75"/>
  <c r="S17" i="75"/>
  <c r="O17" i="75"/>
  <c r="S15" i="57"/>
  <c r="O15" i="57"/>
  <c r="O12" i="58"/>
  <c r="R21" i="66"/>
  <c r="Q21" i="66"/>
  <c r="N21" i="66"/>
  <c r="M21" i="66"/>
  <c r="S7" i="66"/>
  <c r="O7" i="66"/>
  <c r="S14" i="131"/>
  <c r="O14" i="131"/>
  <c r="S14" i="127"/>
  <c r="O14" i="127"/>
  <c r="S10" i="126"/>
  <c r="O10" i="126"/>
  <c r="S15" i="123"/>
  <c r="O15" i="123"/>
  <c r="S15" i="124"/>
  <c r="O15" i="124"/>
  <c r="S11" i="122"/>
  <c r="O11" i="122"/>
  <c r="S11" i="121"/>
  <c r="O11" i="121"/>
  <c r="S14" i="120"/>
  <c r="O14" i="120"/>
  <c r="S10" i="117"/>
  <c r="O10" i="117"/>
  <c r="S12" i="106"/>
  <c r="O12" i="106"/>
  <c r="S14" i="111"/>
  <c r="O14" i="111"/>
  <c r="S10" i="104"/>
  <c r="O10" i="104"/>
  <c r="S11" i="132"/>
  <c r="O11" i="132"/>
  <c r="S11" i="66"/>
  <c r="O11" i="66"/>
  <c r="S15" i="100"/>
  <c r="O15" i="100"/>
  <c r="S11" i="105"/>
  <c r="O11" i="105"/>
  <c r="S13" i="89"/>
  <c r="O13" i="89"/>
  <c r="S12" i="110"/>
  <c r="O12" i="110"/>
  <c r="S11" i="88"/>
  <c r="O11" i="88"/>
  <c r="S10" i="80"/>
  <c r="O10" i="80"/>
  <c r="S12" i="68"/>
  <c r="O12" i="68"/>
  <c r="S13" i="59"/>
  <c r="O13" i="59"/>
  <c r="S12" i="119"/>
  <c r="O12" i="119"/>
  <c r="R12" i="128"/>
  <c r="Q12" i="128"/>
  <c r="N12" i="128"/>
  <c r="M12" i="128"/>
  <c r="S10" i="128"/>
  <c r="R25" i="90"/>
  <c r="Q25" i="90"/>
  <c r="N25" i="90"/>
  <c r="M25" i="90"/>
  <c r="S15" i="90"/>
  <c r="O15" i="90"/>
  <c r="S10" i="99"/>
  <c r="O10" i="99"/>
  <c r="S11" i="103"/>
  <c r="O11" i="103"/>
  <c r="S10" i="86"/>
  <c r="O10" i="86"/>
  <c r="S11" i="58"/>
  <c r="O11" i="58"/>
  <c r="S13" i="67"/>
  <c r="O13" i="67"/>
  <c r="S12" i="76"/>
  <c r="O12" i="76"/>
  <c r="S12" i="81"/>
  <c r="O12" i="81"/>
  <c r="S11" i="94"/>
  <c r="O11" i="94"/>
  <c r="S11" i="97"/>
  <c r="O11" i="97"/>
  <c r="S16" i="69"/>
  <c r="O16" i="69"/>
  <c r="S13" i="74"/>
  <c r="O13" i="74"/>
  <c r="S10" i="70"/>
  <c r="O10" i="70"/>
  <c r="S10" i="91"/>
  <c r="O10" i="91"/>
  <c r="S14" i="84"/>
  <c r="O14" i="84"/>
  <c r="S14" i="98"/>
  <c r="O14" i="98"/>
  <c r="S13" i="83"/>
  <c r="O13" i="83"/>
  <c r="S13" i="92"/>
  <c r="O13" i="92"/>
  <c r="S11" i="85"/>
  <c r="O11" i="85"/>
  <c r="S14" i="63"/>
  <c r="O14" i="63"/>
  <c r="R14" i="134"/>
  <c r="Q14" i="134"/>
  <c r="N14" i="134"/>
  <c r="M14" i="134"/>
  <c r="S16" i="75"/>
  <c r="O16" i="75"/>
  <c r="S14" i="57"/>
  <c r="O14" i="57"/>
  <c r="O8" i="111"/>
  <c r="S7" i="104"/>
  <c r="O7" i="104"/>
  <c r="S12" i="57"/>
  <c r="S9" i="126"/>
  <c r="O9" i="126"/>
  <c r="S14" i="123"/>
  <c r="O14" i="123"/>
  <c r="S14" i="124"/>
  <c r="O14" i="124"/>
  <c r="S13" i="120"/>
  <c r="O13" i="120"/>
  <c r="S9" i="117"/>
  <c r="O9" i="117"/>
  <c r="S11" i="106"/>
  <c r="O11" i="106"/>
  <c r="S13" i="111"/>
  <c r="O13" i="111"/>
  <c r="S10" i="132"/>
  <c r="O10" i="132"/>
  <c r="S10" i="66"/>
  <c r="O10" i="66"/>
  <c r="S12" i="89"/>
  <c r="O12" i="89"/>
  <c r="S11" i="110"/>
  <c r="O11" i="110"/>
  <c r="S10" i="88"/>
  <c r="O10" i="88"/>
  <c r="S11" i="68"/>
  <c r="O11" i="68"/>
  <c r="S12" i="59"/>
  <c r="O12" i="59"/>
  <c r="S14" i="90"/>
  <c r="O14" i="90"/>
  <c r="S10" i="103"/>
  <c r="O10" i="103"/>
  <c r="S11" i="76"/>
  <c r="O11" i="76"/>
  <c r="S11" i="81"/>
  <c r="O11" i="81"/>
  <c r="S14" i="61"/>
  <c r="O14" i="61"/>
  <c r="S15" i="69"/>
  <c r="O15" i="69"/>
  <c r="S12" i="74"/>
  <c r="O12" i="74"/>
  <c r="S13" i="84"/>
  <c r="O13" i="84"/>
  <c r="S13" i="98"/>
  <c r="O13" i="98"/>
  <c r="S12" i="83"/>
  <c r="S11" i="83"/>
  <c r="O12" i="83"/>
  <c r="S12" i="92"/>
  <c r="O12" i="92"/>
  <c r="O10" i="85"/>
  <c r="S13" i="57"/>
  <c r="O13" i="57"/>
  <c r="S13" i="124"/>
  <c r="O13" i="124"/>
  <c r="S12" i="124"/>
  <c r="S12" i="120"/>
  <c r="S11" i="120"/>
  <c r="O12" i="120"/>
  <c r="S13" i="61"/>
  <c r="S12" i="61"/>
  <c r="O13" i="61"/>
  <c r="O13" i="127"/>
  <c r="O11" i="90"/>
  <c r="S8" i="111"/>
  <c r="S7" i="131"/>
  <c r="S8" i="110"/>
  <c r="N26" i="111"/>
  <c r="M26" i="111"/>
  <c r="E41" i="134"/>
  <c r="S10" i="134"/>
  <c r="S14" i="134" s="1"/>
  <c r="S55" i="134" s="1"/>
  <c r="O10" i="134"/>
  <c r="O14" i="134" s="1"/>
  <c r="S8" i="134"/>
  <c r="O8" i="134"/>
  <c r="S7" i="134"/>
  <c r="O7" i="134"/>
  <c r="O9" i="70"/>
  <c r="O11" i="83"/>
  <c r="O10" i="121"/>
  <c r="S13" i="123"/>
  <c r="O13" i="123"/>
  <c r="O12" i="57"/>
  <c r="O11" i="120"/>
  <c r="O12" i="124"/>
  <c r="O12" i="61"/>
  <c r="S10" i="58"/>
  <c r="O10" i="58"/>
  <c r="S10" i="97"/>
  <c r="O10" i="97"/>
  <c r="S10" i="94"/>
  <c r="O10" i="94"/>
  <c r="S15" i="75"/>
  <c r="O15" i="75"/>
  <c r="S13" i="63"/>
  <c r="O13" i="63"/>
  <c r="S11" i="119"/>
  <c r="O11" i="119"/>
  <c r="S11" i="131"/>
  <c r="O11" i="131"/>
  <c r="S12" i="127"/>
  <c r="O12" i="127"/>
  <c r="S13" i="100"/>
  <c r="O13" i="100"/>
  <c r="S11" i="67"/>
  <c r="O11" i="67"/>
  <c r="S13" i="75"/>
  <c r="O13" i="75"/>
  <c r="S10" i="64"/>
  <c r="O10" i="64"/>
  <c r="S11" i="63"/>
  <c r="O11" i="63"/>
  <c r="R22" i="122"/>
  <c r="Q22" i="122"/>
  <c r="N22" i="122"/>
  <c r="M22" i="122"/>
  <c r="R24" i="120"/>
  <c r="Q24" i="120"/>
  <c r="N24" i="120"/>
  <c r="M24" i="120"/>
  <c r="R19" i="97"/>
  <c r="Q19" i="97"/>
  <c r="N19" i="97"/>
  <c r="M19" i="97"/>
  <c r="R25" i="74"/>
  <c r="Q25" i="74"/>
  <c r="N25" i="74"/>
  <c r="M25" i="74"/>
  <c r="S8" i="126"/>
  <c r="S9" i="131"/>
  <c r="S10" i="131"/>
  <c r="O10" i="131"/>
  <c r="S11" i="127"/>
  <c r="O11" i="127"/>
  <c r="O8" i="126"/>
  <c r="S12" i="123"/>
  <c r="O12" i="123"/>
  <c r="S11" i="124"/>
  <c r="O11" i="124"/>
  <c r="S10" i="122"/>
  <c r="O10" i="122"/>
  <c r="S9" i="121"/>
  <c r="O9" i="121"/>
  <c r="S10" i="120"/>
  <c r="O10" i="120"/>
  <c r="S8" i="117"/>
  <c r="O8" i="117"/>
  <c r="S9" i="104"/>
  <c r="O9" i="104"/>
  <c r="S10" i="106"/>
  <c r="O10" i="106"/>
  <c r="S12" i="111"/>
  <c r="O12" i="111"/>
  <c r="S9" i="132"/>
  <c r="O9" i="132"/>
  <c r="S12" i="100"/>
  <c r="O12" i="100"/>
  <c r="S10" i="105"/>
  <c r="O10" i="105"/>
  <c r="S11" i="89"/>
  <c r="O11" i="89"/>
  <c r="S10" i="110"/>
  <c r="O10" i="110"/>
  <c r="S9" i="88"/>
  <c r="O9" i="88"/>
  <c r="S9" i="80"/>
  <c r="O9" i="80"/>
  <c r="S10" i="68"/>
  <c r="O10" i="68"/>
  <c r="S11" i="59"/>
  <c r="O11" i="59"/>
  <c r="S10" i="119"/>
  <c r="O10" i="119"/>
  <c r="S13" i="90"/>
  <c r="O13" i="90"/>
  <c r="S9" i="103"/>
  <c r="O9" i="103"/>
  <c r="O9" i="99"/>
  <c r="S9" i="86"/>
  <c r="O9" i="86"/>
  <c r="S9" i="58"/>
  <c r="O9" i="58"/>
  <c r="S9" i="64"/>
  <c r="O9" i="64"/>
  <c r="S10" i="67"/>
  <c r="O10" i="67"/>
  <c r="S10" i="76"/>
  <c r="O10" i="76"/>
  <c r="S10" i="81"/>
  <c r="O10" i="81"/>
  <c r="S9" i="94"/>
  <c r="O9" i="94"/>
  <c r="S9" i="97"/>
  <c r="O9" i="97"/>
  <c r="S11" i="61"/>
  <c r="O11" i="61"/>
  <c r="S10" i="69"/>
  <c r="S9" i="69"/>
  <c r="O10" i="69"/>
  <c r="S11" i="74"/>
  <c r="O11" i="74"/>
  <c r="S8" i="70"/>
  <c r="O8" i="70"/>
  <c r="R20" i="91"/>
  <c r="Q20" i="91"/>
  <c r="N20" i="91"/>
  <c r="M20" i="91"/>
  <c r="S9" i="91"/>
  <c r="O9" i="91"/>
  <c r="S12" i="84"/>
  <c r="O12" i="84"/>
  <c r="S12" i="98"/>
  <c r="O12" i="98"/>
  <c r="S10" i="83"/>
  <c r="O10" i="83"/>
  <c r="S11" i="92"/>
  <c r="S23" i="92" s="1"/>
  <c r="S55" i="92" s="1"/>
  <c r="O11" i="92"/>
  <c r="S9" i="85"/>
  <c r="O9" i="85"/>
  <c r="S10" i="63"/>
  <c r="O10" i="63"/>
  <c r="S12" i="75"/>
  <c r="O12" i="75"/>
  <c r="S11" i="57"/>
  <c r="O11" i="57"/>
  <c r="O7" i="131"/>
  <c r="K8" i="81"/>
  <c r="K9" i="81"/>
  <c r="L10" i="98"/>
  <c r="K10" i="98"/>
  <c r="R22" i="130"/>
  <c r="Q22" i="130"/>
  <c r="N22" i="130"/>
  <c r="M22" i="130"/>
  <c r="M27" i="124"/>
  <c r="R10" i="133"/>
  <c r="Q10" i="133"/>
  <c r="N10" i="133"/>
  <c r="M10" i="133"/>
  <c r="S8" i="133"/>
  <c r="S10" i="133"/>
  <c r="O8" i="133"/>
  <c r="O10" i="133"/>
  <c r="L8" i="81"/>
  <c r="L9" i="81"/>
  <c r="J8" i="81"/>
  <c r="J9" i="81"/>
  <c r="I8" i="81"/>
  <c r="I9" i="81"/>
  <c r="L8" i="61"/>
  <c r="L9" i="61" s="1"/>
  <c r="J8" i="61"/>
  <c r="J9" i="61" s="1"/>
  <c r="I8" i="61"/>
  <c r="I9" i="61" s="1"/>
  <c r="H8" i="61"/>
  <c r="G8" i="61"/>
  <c r="J8" i="69"/>
  <c r="I8" i="69"/>
  <c r="L8" i="84"/>
  <c r="J9" i="84"/>
  <c r="J8" i="84"/>
  <c r="I8" i="84"/>
  <c r="I9" i="84" s="1"/>
  <c r="J10" i="98"/>
  <c r="I10" i="98"/>
  <c r="S7" i="84"/>
  <c r="O8" i="88"/>
  <c r="S8" i="88"/>
  <c r="S9" i="127"/>
  <c r="O9" i="127"/>
  <c r="S8" i="124"/>
  <c r="S8" i="122"/>
  <c r="S9" i="74"/>
  <c r="O9" i="74"/>
  <c r="S8" i="98"/>
  <c r="S25" i="98" s="1"/>
  <c r="S55" i="98" s="1"/>
  <c r="O8" i="98"/>
  <c r="R25" i="98"/>
  <c r="N25" i="98"/>
  <c r="M25" i="98"/>
  <c r="S11" i="75"/>
  <c r="R25" i="83"/>
  <c r="Q25" i="83"/>
  <c r="N25" i="83"/>
  <c r="M25" i="83"/>
  <c r="R26" i="111"/>
  <c r="Q26" i="111"/>
  <c r="R25" i="89"/>
  <c r="Q25" i="89"/>
  <c r="N25" i="89"/>
  <c r="E39" i="128"/>
  <c r="S9" i="128"/>
  <c r="O9" i="128"/>
  <c r="S8" i="128"/>
  <c r="O8" i="128"/>
  <c r="S7" i="128"/>
  <c r="O7" i="128"/>
  <c r="H9" i="105"/>
  <c r="I9" i="105"/>
  <c r="J9" i="105"/>
  <c r="K9" i="105"/>
  <c r="L9" i="105"/>
  <c r="G9" i="105"/>
  <c r="J8" i="120"/>
  <c r="K8" i="120"/>
  <c r="L8" i="120"/>
  <c r="I8" i="120"/>
  <c r="H8" i="120"/>
  <c r="G8" i="120"/>
  <c r="I9" i="123"/>
  <c r="J9" i="123"/>
  <c r="K9" i="123"/>
  <c r="L9" i="123"/>
  <c r="Q23" i="110"/>
  <c r="R23" i="110"/>
  <c r="S7" i="110"/>
  <c r="O7" i="110"/>
  <c r="M23" i="110"/>
  <c r="Q20" i="80"/>
  <c r="R20" i="80"/>
  <c r="O7" i="80"/>
  <c r="S7" i="80"/>
  <c r="M20" i="80"/>
  <c r="R20" i="99"/>
  <c r="Q20" i="99"/>
  <c r="N20" i="99"/>
  <c r="O7" i="99"/>
  <c r="M20" i="99"/>
  <c r="S7" i="86"/>
  <c r="O7" i="86"/>
  <c r="N20" i="86"/>
  <c r="Q20" i="86"/>
  <c r="R20" i="86"/>
  <c r="M20" i="86"/>
  <c r="S7" i="61"/>
  <c r="O7" i="61"/>
  <c r="O26" i="61" s="1"/>
  <c r="N24" i="84"/>
  <c r="Q24" i="84"/>
  <c r="R24" i="84"/>
  <c r="M24" i="84"/>
  <c r="O7" i="84"/>
  <c r="I8" i="85"/>
  <c r="J8" i="85"/>
  <c r="K8" i="85"/>
  <c r="L8" i="85"/>
  <c r="S7" i="98"/>
  <c r="O7" i="98"/>
  <c r="L8" i="58"/>
  <c r="K8" i="58"/>
  <c r="J8" i="58"/>
  <c r="I8" i="58"/>
  <c r="L8" i="64"/>
  <c r="K8" i="64"/>
  <c r="J8" i="64"/>
  <c r="I8" i="64"/>
  <c r="K8" i="69"/>
  <c r="L8" i="69"/>
  <c r="L9" i="84"/>
  <c r="K9" i="84"/>
  <c r="J8" i="83"/>
  <c r="K8" i="83"/>
  <c r="L8" i="83"/>
  <c r="I8" i="83"/>
  <c r="L8" i="92"/>
  <c r="K8" i="92"/>
  <c r="J8" i="92"/>
  <c r="I8" i="92"/>
  <c r="J11" i="75"/>
  <c r="L11" i="75"/>
  <c r="I11" i="75"/>
  <c r="L9" i="57"/>
  <c r="J9" i="57"/>
  <c r="K9" i="57"/>
  <c r="I9" i="57"/>
  <c r="H9" i="57"/>
  <c r="H11" i="57"/>
  <c r="H12" i="57" s="1"/>
  <c r="G9" i="57"/>
  <c r="G11" i="57" s="1"/>
  <c r="G12" i="57" s="1"/>
  <c r="K11" i="75"/>
  <c r="K10" i="75"/>
  <c r="Q24" i="81"/>
  <c r="M24" i="81"/>
  <c r="S7" i="124"/>
  <c r="N27" i="124"/>
  <c r="Q27" i="124"/>
  <c r="R27" i="124"/>
  <c r="O7" i="124"/>
  <c r="S7" i="122"/>
  <c r="O7" i="122"/>
  <c r="S9" i="105"/>
  <c r="O9" i="105"/>
  <c r="S7" i="123"/>
  <c r="N24" i="123"/>
  <c r="R24" i="123"/>
  <c r="M24" i="123"/>
  <c r="O7" i="123"/>
  <c r="Q24" i="123"/>
  <c r="S9" i="123"/>
  <c r="O9" i="123"/>
  <c r="S10" i="124"/>
  <c r="O10" i="124"/>
  <c r="S8" i="123"/>
  <c r="O8" i="123"/>
  <c r="S9" i="122"/>
  <c r="O9" i="122"/>
  <c r="O22" i="122" s="1"/>
  <c r="S9" i="110"/>
  <c r="S8" i="86"/>
  <c r="S20" i="86" s="1"/>
  <c r="S55" i="86" s="1"/>
  <c r="S9" i="81"/>
  <c r="O8" i="61"/>
  <c r="S7" i="74"/>
  <c r="O7" i="74"/>
  <c r="S7" i="103"/>
  <c r="S8" i="61"/>
  <c r="Q21" i="121"/>
  <c r="R21" i="121"/>
  <c r="N21" i="121"/>
  <c r="M21" i="121"/>
  <c r="S7" i="121"/>
  <c r="O7" i="121"/>
  <c r="S9" i="89"/>
  <c r="S9" i="90"/>
  <c r="E39" i="95"/>
  <c r="S7" i="120"/>
  <c r="S24" i="120" s="1"/>
  <c r="S55" i="120" s="1"/>
  <c r="O7" i="120"/>
  <c r="S8" i="97"/>
  <c r="S7" i="117"/>
  <c r="S11" i="111"/>
  <c r="S8" i="63"/>
  <c r="S7" i="63"/>
  <c r="S24" i="63" s="1"/>
  <c r="S55" i="63" s="1"/>
  <c r="R11" i="95"/>
  <c r="Q11" i="95"/>
  <c r="N11" i="95"/>
  <c r="M11" i="95"/>
  <c r="N23" i="92"/>
  <c r="M23" i="92"/>
  <c r="O8" i="69"/>
  <c r="O7" i="69"/>
  <c r="N23" i="106"/>
  <c r="Q23" i="106"/>
  <c r="R23" i="106"/>
  <c r="M23" i="106"/>
  <c r="N24" i="81"/>
  <c r="R24" i="81"/>
  <c r="Q23" i="92"/>
  <c r="R23" i="92"/>
  <c r="S8" i="121"/>
  <c r="O8" i="121"/>
  <c r="O21" i="121" s="1"/>
  <c r="S8" i="120"/>
  <c r="O8" i="120"/>
  <c r="S8" i="81"/>
  <c r="S8" i="64"/>
  <c r="S8" i="94"/>
  <c r="S7" i="91"/>
  <c r="S9" i="84"/>
  <c r="S8" i="84"/>
  <c r="S8" i="85"/>
  <c r="S9" i="57"/>
  <c r="S9" i="106"/>
  <c r="S7" i="106"/>
  <c r="S23" i="106" s="1"/>
  <c r="S55" i="106" s="1"/>
  <c r="S8" i="76"/>
  <c r="S11" i="100"/>
  <c r="S26" i="100" s="1"/>
  <c r="S55" i="100" s="1"/>
  <c r="S8" i="80"/>
  <c r="S8" i="69"/>
  <c r="S8" i="58"/>
  <c r="S20" i="58" s="1"/>
  <c r="S55" i="58" s="1"/>
  <c r="R15" i="88"/>
  <c r="Q15" i="88"/>
  <c r="Q24" i="76"/>
  <c r="S7" i="76"/>
  <c r="S8" i="105"/>
  <c r="S8" i="100"/>
  <c r="S8" i="68"/>
  <c r="S9" i="59"/>
  <c r="S8" i="67"/>
  <c r="S9" i="75"/>
  <c r="S7" i="70"/>
  <c r="S17" i="70" s="1"/>
  <c r="S55" i="70" s="1"/>
  <c r="N24" i="76"/>
  <c r="M24" i="76"/>
  <c r="O8" i="97"/>
  <c r="O8" i="105"/>
  <c r="O22" i="105" s="1"/>
  <c r="O8" i="100"/>
  <c r="O7" i="103"/>
  <c r="O7" i="91"/>
  <c r="O9" i="90"/>
  <c r="O9" i="89"/>
  <c r="M15" i="88"/>
  <c r="O11" i="111"/>
  <c r="O9" i="106"/>
  <c r="O8" i="86"/>
  <c r="O20" i="86" s="1"/>
  <c r="O8" i="85"/>
  <c r="O9" i="84"/>
  <c r="O8" i="84"/>
  <c r="O24" i="84" s="1"/>
  <c r="O9" i="81"/>
  <c r="O8" i="81"/>
  <c r="O8" i="80"/>
  <c r="O9" i="75"/>
  <c r="O8" i="68"/>
  <c r="O8" i="67"/>
  <c r="O7" i="117"/>
  <c r="O8" i="64"/>
  <c r="O9" i="59"/>
  <c r="O8" i="58"/>
  <c r="O9" i="57"/>
  <c r="S8" i="92"/>
  <c r="O8" i="92"/>
  <c r="O7" i="106"/>
  <c r="S7" i="111"/>
  <c r="O7" i="111"/>
  <c r="R23" i="119"/>
  <c r="Q23" i="119"/>
  <c r="N23" i="119"/>
  <c r="M23" i="119"/>
  <c r="S8" i="119"/>
  <c r="O8" i="119"/>
  <c r="O23" i="119" s="1"/>
  <c r="S7" i="119"/>
  <c r="S23" i="119" s="1"/>
  <c r="S55" i="119" s="1"/>
  <c r="O7" i="119"/>
  <c r="O7" i="76"/>
  <c r="R22" i="117"/>
  <c r="Q22" i="117"/>
  <c r="N22" i="117"/>
  <c r="M22" i="117"/>
  <c r="O9" i="110"/>
  <c r="S9" i="66"/>
  <c r="S7" i="89"/>
  <c r="S7" i="90"/>
  <c r="O7" i="70"/>
  <c r="O17" i="70" s="1"/>
  <c r="O8" i="83"/>
  <c r="O25" i="83" s="1"/>
  <c r="O8" i="99"/>
  <c r="O20" i="99" s="1"/>
  <c r="O9" i="66"/>
  <c r="O8" i="74"/>
  <c r="O7" i="75"/>
  <c r="O8" i="76"/>
  <c r="O24" i="76" s="1"/>
  <c r="O7" i="83"/>
  <c r="O7" i="85"/>
  <c r="O7" i="89"/>
  <c r="O7" i="92"/>
  <c r="O7" i="94"/>
  <c r="O7" i="95"/>
  <c r="O7" i="97"/>
  <c r="O10" i="98"/>
  <c r="O7" i="90"/>
  <c r="O8" i="95"/>
  <c r="N15" i="88"/>
  <c r="M25" i="89"/>
  <c r="O7" i="81"/>
  <c r="R21" i="104"/>
  <c r="Q21" i="104"/>
  <c r="N21" i="104"/>
  <c r="M21" i="104"/>
  <c r="R23" i="103"/>
  <c r="Q23" i="103"/>
  <c r="N23" i="103"/>
  <c r="M23" i="103"/>
  <c r="S9" i="95"/>
  <c r="S8" i="99"/>
  <c r="S20" i="99" s="1"/>
  <c r="S55" i="99" s="1"/>
  <c r="S10" i="98"/>
  <c r="S7" i="97"/>
  <c r="O9" i="95"/>
  <c r="S8" i="95"/>
  <c r="S7" i="95"/>
  <c r="R20" i="94"/>
  <c r="Q20" i="94"/>
  <c r="N20" i="94"/>
  <c r="S7" i="94"/>
  <c r="M20" i="94"/>
  <c r="S7" i="92"/>
  <c r="S7" i="85"/>
  <c r="S8" i="83"/>
  <c r="S7" i="81"/>
  <c r="N20" i="80"/>
  <c r="R24" i="76"/>
  <c r="O11" i="75"/>
  <c r="S7" i="75"/>
  <c r="S27" i="75" s="1"/>
  <c r="S55" i="75" s="1"/>
  <c r="S8" i="74"/>
  <c r="S7" i="83"/>
  <c r="R17" i="70"/>
  <c r="Q17" i="70"/>
  <c r="N17" i="70"/>
  <c r="M17" i="70"/>
  <c r="R28" i="69"/>
  <c r="N28" i="69"/>
  <c r="S7" i="69"/>
  <c r="M28" i="69"/>
  <c r="S7" i="64"/>
  <c r="O7" i="64"/>
  <c r="O7" i="63"/>
  <c r="O8" i="63"/>
  <c r="O24" i="63" s="1"/>
  <c r="S9" i="61"/>
  <c r="R20" i="58"/>
  <c r="S7" i="58"/>
  <c r="Q20" i="58"/>
  <c r="O7" i="58"/>
  <c r="M20" i="58"/>
  <c r="S7" i="57"/>
  <c r="O7" i="57"/>
  <c r="N20" i="58"/>
  <c r="S11" i="95"/>
  <c r="O23" i="103"/>
  <c r="S22" i="117"/>
  <c r="S55" i="117"/>
  <c r="O23" i="67"/>
  <c r="S19" i="98"/>
  <c r="O23" i="64"/>
  <c r="O12" i="128"/>
  <c r="S22" i="130"/>
  <c r="S55" i="130" s="1"/>
  <c r="O25" i="98"/>
  <c r="O21" i="66"/>
  <c r="S19" i="97"/>
  <c r="S55" i="97"/>
  <c r="O22" i="126"/>
  <c r="O22" i="130"/>
  <c r="O11" i="95"/>
  <c r="O23" i="106"/>
  <c r="O20" i="58"/>
  <c r="S20" i="91"/>
  <c r="S55" i="91" s="1"/>
  <c r="S21" i="121"/>
  <c r="S55" i="121" s="1"/>
  <c r="N23" i="110"/>
  <c r="O15" i="88"/>
  <c r="S23" i="132"/>
  <c r="S55" i="132"/>
  <c r="S22" i="126"/>
  <c r="S55" i="126" s="1"/>
  <c r="O22" i="68"/>
  <c r="S21" i="104"/>
  <c r="S55" i="104"/>
  <c r="O20" i="94"/>
  <c r="O22" i="117"/>
  <c r="O25" i="89"/>
  <c r="O23" i="110"/>
  <c r="O19" i="97"/>
  <c r="O20" i="91"/>
  <c r="S23" i="110"/>
  <c r="S55" i="110"/>
  <c r="S15" i="88"/>
  <c r="S55" i="88"/>
  <c r="O21" i="104"/>
  <c r="N25" i="131"/>
  <c r="O9" i="131"/>
  <c r="O20" i="80"/>
  <c r="O24" i="81"/>
  <c r="O26" i="111"/>
  <c r="S12" i="128"/>
  <c r="S50" i="128"/>
  <c r="O27" i="124"/>
  <c r="S23" i="67"/>
  <c r="S55" i="67" s="1"/>
  <c r="O23" i="132"/>
  <c r="S25" i="127"/>
  <c r="S55" i="127" s="1"/>
  <c r="O25" i="127"/>
  <c r="S23" i="64"/>
  <c r="S55" i="64" s="1"/>
  <c r="S22" i="68" l="1"/>
  <c r="S55" i="68" s="1"/>
  <c r="S26" i="57"/>
  <c r="S20" i="80"/>
  <c r="S55" i="80" s="1"/>
  <c r="S27" i="124"/>
  <c r="S55" i="124" s="1"/>
  <c r="S20" i="85"/>
  <c r="S55" i="85" s="1"/>
  <c r="O20" i="85"/>
  <c r="S24" i="84"/>
  <c r="S55" i="84" s="1"/>
  <c r="S25" i="83"/>
  <c r="S55" i="83" s="1"/>
  <c r="S20" i="131"/>
  <c r="S25" i="131" s="1"/>
  <c r="S55" i="131" s="1"/>
  <c r="O25" i="131"/>
  <c r="S22" i="122"/>
  <c r="S55" i="122" s="1"/>
  <c r="S24" i="76"/>
  <c r="S55" i="76" s="1"/>
  <c r="S20" i="94"/>
  <c r="S55" i="94" s="1"/>
  <c r="O27" i="75"/>
  <c r="O24" i="123"/>
  <c r="S24" i="123"/>
  <c r="S55" i="123" s="1"/>
  <c r="S24" i="81"/>
  <c r="S55" i="81" s="1"/>
  <c r="S21" i="66"/>
  <c r="S55" i="66" s="1"/>
  <c r="S26" i="61"/>
  <c r="S55" i="61" s="1"/>
  <c r="S26" i="111"/>
  <c r="S55" i="111" s="1"/>
  <c r="O26" i="100"/>
  <c r="O23" i="92"/>
  <c r="O28" i="69"/>
  <c r="S28" i="69"/>
  <c r="S55" i="69" s="1"/>
  <c r="S25" i="59"/>
  <c r="S55" i="59" s="1"/>
  <c r="O24" i="120"/>
  <c r="S17" i="105"/>
  <c r="S22" i="105" s="1"/>
  <c r="S55" i="105" s="1"/>
  <c r="S25" i="90"/>
  <c r="S55" i="90" s="1"/>
  <c r="O25" i="90"/>
  <c r="S25" i="74"/>
  <c r="S55" i="74" s="1"/>
  <c r="O25" i="74"/>
  <c r="G13" i="57"/>
  <c r="G14" i="57"/>
  <c r="G15" i="57" s="1"/>
  <c r="H14" i="57"/>
  <c r="H15" i="57" s="1"/>
  <c r="H13" i="57"/>
  <c r="S55" i="57"/>
  <c r="B7" i="135" l="1"/>
  <c r="H16" i="57"/>
  <c r="H17" i="57" s="1"/>
  <c r="H18" i="57" s="1"/>
  <c r="H19" i="57" s="1"/>
  <c r="H20" i="57"/>
  <c r="G16" i="57"/>
  <c r="G17" i="57" s="1"/>
  <c r="G18" i="57" s="1"/>
  <c r="G19" i="57" s="1"/>
  <c r="G20" i="57"/>
</calcChain>
</file>

<file path=xl/sharedStrings.xml><?xml version="1.0" encoding="utf-8"?>
<sst xmlns="http://schemas.openxmlformats.org/spreadsheetml/2006/main" count="8300" uniqueCount="391">
  <si>
    <t>Academy for Positive Learning</t>
  </si>
  <si>
    <t>Program Title</t>
  </si>
  <si>
    <t>CFDA #</t>
  </si>
  <si>
    <t>Award #</t>
  </si>
  <si>
    <t>Awarding Federal Agency</t>
  </si>
  <si>
    <t>Project Period</t>
  </si>
  <si>
    <t>Amount</t>
  </si>
  <si>
    <t>U.S. Dept. of Education</t>
  </si>
  <si>
    <t>Title 1 Part A Education of Disadvantaged Children &amp; Youth</t>
  </si>
  <si>
    <t>Believers Academy</t>
  </si>
  <si>
    <t>Everglades Preparatory Academy</t>
  </si>
  <si>
    <t>Montessori Academy of Early Enrichment</t>
  </si>
  <si>
    <t>Potentials Charter School</t>
  </si>
  <si>
    <t>G-Star School of the Arts for Motion Pictures and Television</t>
  </si>
  <si>
    <t>Palm Beach School for Autism</t>
  </si>
  <si>
    <t>Imagine Schools - Chancellor Campus</t>
  </si>
  <si>
    <t>Fund</t>
  </si>
  <si>
    <t>Ben Gamla</t>
  </si>
  <si>
    <t>Gardens School of Technology Arts</t>
  </si>
  <si>
    <t>Quantum High School</t>
  </si>
  <si>
    <t>Worthington High School</t>
  </si>
  <si>
    <t>Renaissance Charter School at West Palm Beach</t>
  </si>
  <si>
    <t>Carl D. Perkins - Career &amp; Technical Education, Secondary Sec. 131</t>
  </si>
  <si>
    <t>Total</t>
  </si>
  <si>
    <t>Renaissance Charter School at Summit</t>
  </si>
  <si>
    <t>Revised</t>
  </si>
  <si>
    <t>Incr&lt;Decr&gt;</t>
  </si>
  <si>
    <t>Original</t>
  </si>
  <si>
    <t>Award</t>
  </si>
  <si>
    <t>Cash</t>
  </si>
  <si>
    <t>Payments</t>
  </si>
  <si>
    <t>On-Behalf</t>
  </si>
  <si>
    <t>*</t>
  </si>
  <si>
    <t>**</t>
  </si>
  <si>
    <t>Paid To</t>
  </si>
  <si>
    <t>On-Behalf Amount</t>
  </si>
  <si>
    <t>Date Paid</t>
  </si>
  <si>
    <t>Description</t>
  </si>
  <si>
    <t>TOTAL</t>
  </si>
  <si>
    <r>
      <rPr>
        <b/>
        <sz val="11"/>
        <color rgb="FFFF0000"/>
        <rFont val="Times New Roman"/>
        <family val="1"/>
      </rPr>
      <t>*</t>
    </r>
    <r>
      <rPr>
        <b/>
        <sz val="11"/>
        <color theme="1"/>
        <rFont val="Times New Roman"/>
        <family val="1"/>
      </rPr>
      <t xml:space="preserve">  On-Behalf Payment Detail:</t>
    </r>
  </si>
  <si>
    <t>Franklin Academy School "B"</t>
  </si>
  <si>
    <t>Gulfstream Goodwill to Life Academy</t>
  </si>
  <si>
    <t>Inlet Grove Community High School</t>
  </si>
  <si>
    <t>Palm Beach Maritime Academy</t>
  </si>
  <si>
    <t>Seagull Academy for Independent Living (SAIL)</t>
  </si>
  <si>
    <t>South Tech Charter Academy</t>
  </si>
  <si>
    <t>Toussaint L'Ouverture High School</t>
  </si>
  <si>
    <t>Western Academy Charter School</t>
  </si>
  <si>
    <t>Department # 0664</t>
  </si>
  <si>
    <t>Department # 3400</t>
  </si>
  <si>
    <t>Department # 3941</t>
  </si>
  <si>
    <t>Department # 3385</t>
  </si>
  <si>
    <t>Department # 2521</t>
  </si>
  <si>
    <t>Department # 3398</t>
  </si>
  <si>
    <t>Department # 4020</t>
  </si>
  <si>
    <t>Department # 3396</t>
  </si>
  <si>
    <t>Department # 3961</t>
  </si>
  <si>
    <t>Department # 3382</t>
  </si>
  <si>
    <t>Department # 3345</t>
  </si>
  <si>
    <t>Department # 3381</t>
  </si>
  <si>
    <t>Department # 1461</t>
  </si>
  <si>
    <t>Department # 3395</t>
  </si>
  <si>
    <t>Department # 3971</t>
  </si>
  <si>
    <t>Department # 3394</t>
  </si>
  <si>
    <t>Department # 2801</t>
  </si>
  <si>
    <t>Department # 2941</t>
  </si>
  <si>
    <t>Department # 2531</t>
  </si>
  <si>
    <t>Department # 3401</t>
  </si>
  <si>
    <t>Department # 4000</t>
  </si>
  <si>
    <t>Department # 4002</t>
  </si>
  <si>
    <t>Department # 3431</t>
  </si>
  <si>
    <t>Department # 3083</t>
  </si>
  <si>
    <t>Department # 2791</t>
  </si>
  <si>
    <t>Department # 3391</t>
  </si>
  <si>
    <t>Department # 1571</t>
  </si>
  <si>
    <t>Department # 3441</t>
  </si>
  <si>
    <t>Department # 3386</t>
  </si>
  <si>
    <t>Department # 2911</t>
  </si>
  <si>
    <t>Department # 3421</t>
  </si>
  <si>
    <t>Somerset Academy Canyons High School</t>
  </si>
  <si>
    <t>Department # 4013</t>
  </si>
  <si>
    <t>Somerset Academy Boca East</t>
  </si>
  <si>
    <t>Department # 3413</t>
  </si>
  <si>
    <t>Somerset Academy Boca Middle School</t>
  </si>
  <si>
    <t>Department # 4041</t>
  </si>
  <si>
    <t>Somerset Academy Canyons Middle School</t>
  </si>
  <si>
    <t>Department # 4012</t>
  </si>
  <si>
    <t>Department # 4001</t>
  </si>
  <si>
    <t>Expenditure under the applicable Federal Award</t>
  </si>
  <si>
    <r>
      <rPr>
        <sz val="10.5"/>
        <color rgb="FF00B0F0"/>
        <rFont val="Times New Roman"/>
        <family val="1"/>
      </rPr>
      <t>**</t>
    </r>
    <r>
      <rPr>
        <sz val="10.5"/>
        <rFont val="Times New Roman"/>
        <family val="1"/>
      </rPr>
      <t xml:space="preserve"> Required to be recorded as Revenue and </t>
    </r>
  </si>
  <si>
    <r>
      <t>**</t>
    </r>
    <r>
      <rPr>
        <sz val="10.5"/>
        <rFont val="Times New Roman"/>
        <family val="1"/>
      </rPr>
      <t xml:space="preserve"> Required to be recorded as Revenue and </t>
    </r>
  </si>
  <si>
    <t>Renaissance Charter School at Wellington</t>
  </si>
  <si>
    <t>Department # 4051</t>
  </si>
  <si>
    <t>Renaissance Charter School at Central Palm</t>
  </si>
  <si>
    <t>Renaissance Charter School at Cypress</t>
  </si>
  <si>
    <t>Department # 4050</t>
  </si>
  <si>
    <t>Palm Beach Maritime Academy High School</t>
  </si>
  <si>
    <t>Department # 3924</t>
  </si>
  <si>
    <t>Department # 4061</t>
  </si>
  <si>
    <t>Glades Academy Inc.</t>
  </si>
  <si>
    <t xml:space="preserve"> </t>
  </si>
  <si>
    <t>University Prep Academy</t>
  </si>
  <si>
    <t>Department # 4080</t>
  </si>
  <si>
    <t>Florida Futures Academy North</t>
  </si>
  <si>
    <t>Department # 4081</t>
  </si>
  <si>
    <t>Project/Program Title</t>
  </si>
  <si>
    <t>84.010 Title I, Part A, Basic</t>
  </si>
  <si>
    <t>FAIN#</t>
  </si>
  <si>
    <t>S010A150009</t>
  </si>
  <si>
    <t>Palm Beach County School District Contacts:</t>
  </si>
  <si>
    <t>Title I</t>
  </si>
  <si>
    <t>IDEA</t>
  </si>
  <si>
    <t>Name</t>
  </si>
  <si>
    <t>Phone#</t>
  </si>
  <si>
    <t>Linda Guzman</t>
  </si>
  <si>
    <t>Carl D. Perkins</t>
  </si>
  <si>
    <t>Amy Barningham</t>
  </si>
  <si>
    <t>Victoria Brioc</t>
  </si>
  <si>
    <t>561-434-8967</t>
  </si>
  <si>
    <t>561-434-8674</t>
  </si>
  <si>
    <t>561-649-6851</t>
  </si>
  <si>
    <t>Federal Award Date</t>
  </si>
  <si>
    <t>84.027 IDEA Part B -K-12 Entitlement</t>
  </si>
  <si>
    <t>H027A150024</t>
  </si>
  <si>
    <t>V048A150009</t>
  </si>
  <si>
    <t>TERMS AND SPECIAL CONDITIONS</t>
  </si>
  <si>
    <r>
      <t xml:space="preserve">This project and any amendments are subject to the procedures outlined in the </t>
    </r>
    <r>
      <rPr>
        <u/>
        <sz val="11"/>
        <color theme="1"/>
        <rFont val="Times New Roman"/>
        <family val="1"/>
      </rPr>
      <t>Project Application and Amendment Procedures for Federal and State Programs</t>
    </r>
    <r>
      <rPr>
        <sz val="11"/>
        <color theme="1"/>
        <rFont val="Times New Roman"/>
        <family val="1"/>
      </rPr>
      <t xml:space="preserve"> (Green Book) and the General Assurances for Participation in Federal and State Programs.</t>
    </r>
  </si>
  <si>
    <t>CFDA#/Name</t>
  </si>
  <si>
    <t>IDEA, Part B -K-12, Entitlement</t>
  </si>
  <si>
    <t>As a sub-recipient of Federal funds there is a requirement that you permit the Palm Beach County School District and auditors to have access to your records and financial statements as necessary for the Palm Beach County School District to meet the requirements of section, 200.300 Statutory and national policy requirements through 300.309 Period of performance, and Subpart F-Audit Requirements of this Part.</t>
  </si>
  <si>
    <t>IDEA, Part B, Pre-K Entitlement</t>
  </si>
  <si>
    <t>84.173 IDEA Part B- Preschool Disc</t>
  </si>
  <si>
    <t>84.048 Carl D Perkins Career &amp; Technical Education</t>
  </si>
  <si>
    <t>Last Date to Incur Expenditures</t>
  </si>
  <si>
    <t>Last Date to Submit Reimbursement Request/Close out Grants</t>
  </si>
  <si>
    <t>Sharon Kovner</t>
  </si>
  <si>
    <t>Restricted Indirect Cost Rate+</t>
  </si>
  <si>
    <t>Unrestricted Indirect Cost Rate+</t>
  </si>
  <si>
    <t>Title II-Teacher/Principal Training</t>
  </si>
  <si>
    <t>07/01/2016 - 06/30/2017</t>
  </si>
  <si>
    <t>500-1617A-7CS01</t>
  </si>
  <si>
    <t>Department # 4100</t>
  </si>
  <si>
    <t>Department # 4090</t>
  </si>
  <si>
    <t>Connections Education Center PB</t>
  </si>
  <si>
    <t>Department # 4091</t>
  </si>
  <si>
    <t>Somerset Academy Lakes</t>
  </si>
  <si>
    <t>21st Century Community Learning Centers</t>
  </si>
  <si>
    <t>561-434-7315</t>
  </si>
  <si>
    <t>Federal Grant Allocations/Reimbursements as of :</t>
  </si>
  <si>
    <t>4201</t>
  </si>
  <si>
    <t>4253</t>
  </si>
  <si>
    <t>4255</t>
  </si>
  <si>
    <t>Bridge Prep Academy of PB</t>
  </si>
  <si>
    <t>Department # 4102</t>
  </si>
  <si>
    <t>July 1, 2018 - June 30, 2019</t>
  </si>
  <si>
    <t>500-2129B-9CB01</t>
  </si>
  <si>
    <t>500-2639B-9CB01</t>
  </si>
  <si>
    <t>07/01/18 - 06/30/19</t>
  </si>
  <si>
    <t>FY19</t>
  </si>
  <si>
    <t>https://www2.ed.gov/policy/fund/guid/uniform-guidance/index.html</t>
  </si>
  <si>
    <t>Pursuant to OMB Uniform Guidance (2 CFR 200.501), "Each non-federal entity that expends $750,000 or more in any fiscal year of such non-federal entity shall be required to have a "Single or program specific audit".  For further information, please see link below.</t>
  </si>
  <si>
    <t>SLAM Boca Middle/High</t>
  </si>
  <si>
    <t>Department # 4103</t>
  </si>
  <si>
    <t>S010A180009</t>
  </si>
  <si>
    <t>U282A160012</t>
  </si>
  <si>
    <t>Reimbursements as of 12/31/18</t>
  </si>
  <si>
    <t>Indirect Cost Plan - 2018-19</t>
  </si>
  <si>
    <t>The Learning Academy @ the Els Center of Excellence</t>
  </si>
  <si>
    <t>The Learning Center @ the Els Center of Excellence</t>
  </si>
  <si>
    <t>Bright Futures Academy</t>
  </si>
  <si>
    <t>South Tech Preparatory Academy Middle</t>
  </si>
  <si>
    <t>H027A180024</t>
  </si>
  <si>
    <t>V048A180009</t>
  </si>
  <si>
    <t>S367A180009</t>
  </si>
  <si>
    <t>DUNS #150889900</t>
  </si>
  <si>
    <t>CSP Grant</t>
  </si>
  <si>
    <t>DUNS #179459669</t>
  </si>
  <si>
    <t>DUNS #064706796</t>
  </si>
  <si>
    <t>561-434-7371</t>
  </si>
  <si>
    <t>Michelle Martin</t>
  </si>
  <si>
    <t>Tangela Steele</t>
  </si>
  <si>
    <t>561-649-6868</t>
  </si>
  <si>
    <t>(84.010) Title I, Part A, Basic</t>
  </si>
  <si>
    <t>(84.027) IDEA Part B -K-12 Entitlement</t>
  </si>
  <si>
    <t>(84.367) Title II</t>
  </si>
  <si>
    <t>(84.048) Carl D Perkins Career &amp; Technical Education</t>
  </si>
  <si>
    <t>84.048 Carld D Perkins Career &amp; Technical Education</t>
  </si>
  <si>
    <t>84.287 21st CCLC  NCLB</t>
  </si>
  <si>
    <t>84.367 Title II</t>
  </si>
  <si>
    <t>Sports Leadership and Management (SLAM) Middle</t>
  </si>
  <si>
    <t>84.282 Charter Schools</t>
  </si>
  <si>
    <t>Department # 4030</t>
  </si>
  <si>
    <t>Olympus International Academy</t>
  </si>
  <si>
    <t>Public Charter Schools Grant Program Grant Planning, Design and Implementation</t>
  </si>
  <si>
    <t>DUNS # 117026631</t>
  </si>
  <si>
    <t>FY20</t>
  </si>
  <si>
    <t>July 1, 2019 - June 30, 2020</t>
  </si>
  <si>
    <t>21st CCLC</t>
  </si>
  <si>
    <t>SLAM Academy High School</t>
  </si>
  <si>
    <t>Department # 4111</t>
  </si>
  <si>
    <t>Department # 4031</t>
  </si>
  <si>
    <t>South Tech Success</t>
  </si>
  <si>
    <t>Department # 4121</t>
  </si>
  <si>
    <t>Indirect Cost Plan - 2019-20</t>
  </si>
  <si>
    <r>
      <t>*Note - To see Indirect Cost Plan - 2019-20 - The School District of Palm Beach County Website/Student &amp; Parents/School Choice/Charter Schools/</t>
    </r>
    <r>
      <rPr>
        <b/>
        <u/>
        <sz val="11"/>
        <color theme="10"/>
        <rFont val="Calibri"/>
        <family val="2"/>
        <scheme val="minor"/>
      </rPr>
      <t>Charter School Fiscal Oversight</t>
    </r>
  </si>
  <si>
    <t>Franklin Academy - Palm Beach Gardens</t>
  </si>
  <si>
    <t>DUNS # 080139612</t>
  </si>
  <si>
    <t>DUNS # 179459669</t>
  </si>
  <si>
    <t>Reimbursements as of 09/30/2019</t>
  </si>
  <si>
    <t xml:space="preserve">Somerset Academy JFK </t>
  </si>
  <si>
    <t>DUNS #  968049465</t>
  </si>
  <si>
    <t>UniSIG</t>
  </si>
  <si>
    <t>S010A190009</t>
  </si>
  <si>
    <t>Palm Beach Preparatory Charter Academy</t>
  </si>
  <si>
    <t>Ed Venture Charter School</t>
  </si>
  <si>
    <t>Palms West Charter School</t>
  </si>
  <si>
    <t>500-2987B-9C101</t>
  </si>
  <si>
    <t>500-2121B-1CB01</t>
  </si>
  <si>
    <t>500-2631B-1CB01</t>
  </si>
  <si>
    <t>07/01/20 - 06/30/21</t>
  </si>
  <si>
    <r>
      <t>*Note - To see Indirect Cost Plan - 2020-21 - The School District of Palm Beach County Website/Student &amp; Parents/School Choice/Charter Schools/</t>
    </r>
    <r>
      <rPr>
        <b/>
        <u/>
        <sz val="11"/>
        <color theme="10"/>
        <rFont val="Calibri"/>
        <family val="2"/>
        <scheme val="minor"/>
      </rPr>
      <t>Charter School Fiscal Oversight</t>
    </r>
  </si>
  <si>
    <t>Indirect Cost Plan - 2020-21</t>
  </si>
  <si>
    <t>500-1611A-1CS01</t>
  </si>
  <si>
    <t>Elementary and Secondary School Emergency Relief Fund (ESSER)</t>
  </si>
  <si>
    <t>S425D200052</t>
  </si>
  <si>
    <t>500-124OA-1C001</t>
  </si>
  <si>
    <t>09/01/20 - 08/31/21</t>
  </si>
  <si>
    <t>S010A200009</t>
  </si>
  <si>
    <t>500-2261B-1C002</t>
  </si>
  <si>
    <t>V048A200009</t>
  </si>
  <si>
    <t>ESSER CARES Act</t>
  </si>
  <si>
    <t>S425C200025</t>
  </si>
  <si>
    <t>GEER Fund CARES Act</t>
  </si>
  <si>
    <t xml:space="preserve">84.010A Title I Part A </t>
  </si>
  <si>
    <t>Coronavirus Prevention &amp; Response (Sanitation &amp; Cleaning)</t>
  </si>
  <si>
    <t>GEER Building K-12 CTE Infrastructure</t>
  </si>
  <si>
    <t>561-434-8369</t>
  </si>
  <si>
    <t>CARES Act Governor's Emergency Education Relief GEER Building K-12 CTE Infrastructure</t>
  </si>
  <si>
    <t>500-1230A-1C002</t>
  </si>
  <si>
    <t>05/28/2020 - 9/30/22</t>
  </si>
  <si>
    <t>CSP Remote Learning and Access</t>
  </si>
  <si>
    <t>Public Charter School Program COVID-19 Distance Learning</t>
  </si>
  <si>
    <t>84.282A Charter Schools</t>
  </si>
  <si>
    <t>500-2987B-1CV15</t>
  </si>
  <si>
    <t>500-2987B-1CV16</t>
  </si>
  <si>
    <t>500-2987B-1CV18</t>
  </si>
  <si>
    <t>500-2987B-1CV19</t>
  </si>
  <si>
    <t>500-2987B-1CV20</t>
  </si>
  <si>
    <t>500-2987B-1CV17</t>
  </si>
  <si>
    <t>500-2987B-1CV11</t>
  </si>
  <si>
    <t>500-2987B-1CV22</t>
  </si>
  <si>
    <t>500-2987B-1CV12</t>
  </si>
  <si>
    <t>500-2987B-1CV13</t>
  </si>
  <si>
    <t>500-2987B-1CV10</t>
  </si>
  <si>
    <t>500-2987B-1CV14</t>
  </si>
  <si>
    <t>500-2987B-1CV21</t>
  </si>
  <si>
    <t>South Tech Academy</t>
  </si>
  <si>
    <t>Title 1V Part A Student Support and Academic Enrichment</t>
  </si>
  <si>
    <t>S424A200010</t>
  </si>
  <si>
    <t>500-2411A-1C001</t>
  </si>
  <si>
    <t>84.424A Title IV</t>
  </si>
  <si>
    <t>Title II</t>
  </si>
  <si>
    <t>Title IV Student Support and Academic Enrichment</t>
  </si>
  <si>
    <t>05/28/20 - 9/30/22</t>
  </si>
  <si>
    <t>S287C200009</t>
  </si>
  <si>
    <t>500-2441B-1CCC9</t>
  </si>
  <si>
    <t>Public Charter School Program (CSP) Planning, Program Design and Implementation</t>
  </si>
  <si>
    <t>500-2987B-0C101</t>
  </si>
  <si>
    <t>School Improvement Grant Targeting Recidivism</t>
  </si>
  <si>
    <t>84.010 School Improvement</t>
  </si>
  <si>
    <t>S377A150010</t>
  </si>
  <si>
    <t>500-1266B-1CTR1</t>
  </si>
  <si>
    <t>02/01/21 - 07/31/21</t>
  </si>
  <si>
    <t>07/17/20 - 07/16/21</t>
  </si>
  <si>
    <t>06/01/20 - 09/30/22</t>
  </si>
  <si>
    <t>ESSER B.E.S.T. High Quality Curriculum for Reading</t>
  </si>
  <si>
    <t>500-1240S-1C001</t>
  </si>
  <si>
    <t>01/01/21 - 07/31/22</t>
  </si>
  <si>
    <t>08/01/20 - 07/31/21</t>
  </si>
  <si>
    <t>Instructional Continuity Plan</t>
  </si>
  <si>
    <t>500-1240C-1C001</t>
  </si>
  <si>
    <t>K-12 Civic Literacy Booklist</t>
  </si>
  <si>
    <t>500-1230F-1C001</t>
  </si>
  <si>
    <t>07/01/20 - 06/30/22</t>
  </si>
  <si>
    <t>500-2441B-1CCC4</t>
  </si>
  <si>
    <t>84.287 21st CCLC  ESSA</t>
  </si>
  <si>
    <t>ESSER II</t>
  </si>
  <si>
    <t>ESSER II Coronavirus Response &amp; Relief Supplemental (CRRSA)</t>
  </si>
  <si>
    <t>S425D210052</t>
  </si>
  <si>
    <t>500-1241A-1CR01</t>
  </si>
  <si>
    <t>08/03/20 - 8/31/21</t>
  </si>
  <si>
    <t>07/01/20 - 6/30/22</t>
  </si>
  <si>
    <t>05/28/20 - 09/30/22</t>
  </si>
  <si>
    <t>09/06/19 - 09/05/21</t>
  </si>
  <si>
    <t>08/03/20 - 08/31/21</t>
  </si>
  <si>
    <t>FY22</t>
  </si>
  <si>
    <t>July 1, 2021 - June 30, 2022</t>
  </si>
  <si>
    <t>07/01/21 - 06/30/22</t>
  </si>
  <si>
    <r>
      <t>*Note - To see Indirect Cost Plan - 2021-22 - The School District of Palm Beach County Website/Student &amp; Parents/School Choice/Charter Schools/</t>
    </r>
    <r>
      <rPr>
        <b/>
        <u/>
        <sz val="11"/>
        <color theme="10"/>
        <rFont val="Calibri"/>
        <family val="2"/>
        <scheme val="minor"/>
      </rPr>
      <t>Charter School Fiscal Oversight</t>
    </r>
  </si>
  <si>
    <t>Indirect Cost Plan - 2021-22</t>
  </si>
  <si>
    <t>Jennifer Zapata</t>
  </si>
  <si>
    <t>07/01/20 - 08/31/21</t>
  </si>
  <si>
    <t>07/01/2020 - 08/31/21</t>
  </si>
  <si>
    <t>561-434-8707</t>
  </si>
  <si>
    <r>
      <t>*Note - To see Indirect Cost Plan - 2021-20 - The School District of Palm Beach County Website/Student &amp; Parents/School Choice/Charter Schools/</t>
    </r>
    <r>
      <rPr>
        <b/>
        <u/>
        <sz val="11"/>
        <color theme="10"/>
        <rFont val="Calibri"/>
        <family val="2"/>
        <scheme val="minor"/>
      </rPr>
      <t>Charter School Fiscal Oversight</t>
    </r>
  </si>
  <si>
    <t>Indirect Cost Plan - 2021-21</t>
  </si>
  <si>
    <t>S010A210009</t>
  </si>
  <si>
    <t>500-2122B-2CB01</t>
  </si>
  <si>
    <t>H027A210024</t>
  </si>
  <si>
    <t>500-2632B-2CB01</t>
  </si>
  <si>
    <t>H173A210027</t>
  </si>
  <si>
    <t>S367A210009</t>
  </si>
  <si>
    <t xml:space="preserve">Title II, Part A:  Supporting Effective Instruction </t>
  </si>
  <si>
    <t>500-2242B-2CT01</t>
  </si>
  <si>
    <t>500-2672B-2CP01</t>
  </si>
  <si>
    <t>10/315/22</t>
  </si>
  <si>
    <t>GRAND Total ALL Payments</t>
  </si>
  <si>
    <t>Title I Part A Unified School Improvement Grant (UniSIG)</t>
  </si>
  <si>
    <t>500-2262B-2C002</t>
  </si>
  <si>
    <t>09/01/21 - 08/31/22</t>
  </si>
  <si>
    <t>04/02/21 - 09/30/23</t>
  </si>
  <si>
    <t>CRRSA ESSER II - Academic Acceleration</t>
  </si>
  <si>
    <t>500-1241C-1CR01</t>
  </si>
  <si>
    <t>08/20/21 - 09/30/23</t>
  </si>
  <si>
    <t>CRRSA ESSER II - Non-Enrollment Assistance</t>
  </si>
  <si>
    <t>07/01/21 - 09/30/23</t>
  </si>
  <si>
    <t>CRRSA ESSER II - Technology Assistance</t>
  </si>
  <si>
    <t>Lori Saunders</t>
  </si>
  <si>
    <t>CSP - Implementation</t>
  </si>
  <si>
    <t>500-1241B-1CR01</t>
  </si>
  <si>
    <t>500-1241D-1CR01</t>
  </si>
  <si>
    <t>500-1241E-1CR01</t>
  </si>
  <si>
    <t>03/04/21 - 1/31/22</t>
  </si>
  <si>
    <t>84.425D CARES ACT ESSER</t>
  </si>
  <si>
    <t>84.425C CARES ACT GEER</t>
  </si>
  <si>
    <t>S424A210010</t>
  </si>
  <si>
    <t>500-2412A-2C001</t>
  </si>
  <si>
    <t>08/01/21 - 07/31/22</t>
  </si>
  <si>
    <t>S287C210009</t>
  </si>
  <si>
    <t>500-2442B-2CCC4</t>
  </si>
  <si>
    <t>Title I Part A UniSIG Supplemental Teacher Allocation</t>
  </si>
  <si>
    <t>500-2262B-2CS01</t>
  </si>
  <si>
    <t>10/01/21 - 06/30/22</t>
  </si>
  <si>
    <t>500-2442B-2CRN9</t>
  </si>
  <si>
    <t>Unified School Improvement UniSIG Strategic Initiatives</t>
  </si>
  <si>
    <t>84.010 NCLB</t>
  </si>
  <si>
    <t>500-2262B-2CS02</t>
  </si>
  <si>
    <t>04/02/20 - 04/01/22</t>
  </si>
  <si>
    <t>84.282A, Charter Schools</t>
  </si>
  <si>
    <t>07/01/21 - 08/20/22</t>
  </si>
  <si>
    <t>Title II, Part A:  Supporting Effective Instruction</t>
  </si>
  <si>
    <t>84.367A Title II</t>
  </si>
  <si>
    <t>ARP ESSER III Formula Grants to LEAs</t>
  </si>
  <si>
    <t>84.425U ARP ESSER</t>
  </si>
  <si>
    <t>S425U210052</t>
  </si>
  <si>
    <t>500-1211A-2C001</t>
  </si>
  <si>
    <t>12/17/21 - 09/30/24</t>
  </si>
  <si>
    <t>ARP ESSER III Formula Grants to LEAs - Learning Loss (20%)</t>
  </si>
  <si>
    <t>500-1211K-2C001</t>
  </si>
  <si>
    <t>S365A210009</t>
  </si>
  <si>
    <t>500-1022B-2C001</t>
  </si>
  <si>
    <t>Title III, Part A:  English Language Acquisition, Language Enhancement, and Academic Achievement</t>
  </si>
  <si>
    <t>84.365 Title III Part A</t>
  </si>
  <si>
    <t>CRRSA ESSER II - Civic Literacy Excellence Initiatives - Civics Curricula</t>
  </si>
  <si>
    <t>500-1281E-2C001</t>
  </si>
  <si>
    <t>12/13/2021 - 09/30/23</t>
  </si>
  <si>
    <t>CRRSA ESSER II - Literacy - Reading Tutoring for K-3 Students</t>
  </si>
  <si>
    <t>S425D210053</t>
  </si>
  <si>
    <t>500-1241P-2C001</t>
  </si>
  <si>
    <t>01/01/2022 - 09/30/2023</t>
  </si>
  <si>
    <t>CRRSA ESSER II - Lump Sum Balance</t>
  </si>
  <si>
    <t>American Rescue Plan (ARP) Supplemental Funds IDEA K-12  Part B</t>
  </si>
  <si>
    <t>H027X210024</t>
  </si>
  <si>
    <t>84.027X IDEA, Part B</t>
  </si>
  <si>
    <t>500-2632R-2CB01</t>
  </si>
  <si>
    <t>Reimbursements as of 06/30/2022</t>
  </si>
  <si>
    <t>500-1612B-2CS01</t>
  </si>
  <si>
    <t>V048A210009</t>
  </si>
  <si>
    <t>Lilibette Valdes-Maietto</t>
  </si>
  <si>
    <t>School Improvement Supplemental Summer Professional Development - Part 2</t>
  </si>
  <si>
    <t>84.010A School Improvement - Title Im Part A</t>
  </si>
  <si>
    <t>500-2262B-2CM01</t>
  </si>
  <si>
    <t>03/15/2022 - 07/31/2022</t>
  </si>
  <si>
    <t>500-1611B-1CS01</t>
  </si>
  <si>
    <t>H173X210027</t>
  </si>
  <si>
    <t>500-2672R-2CP01</t>
  </si>
  <si>
    <t xml:space="preserve">American Rescue Plan (ARP) IDEA Pre-K Part B, Supplemental Funds </t>
  </si>
  <si>
    <t>American Rescue Plan (ARP) IDEA K-12  Part B, Supplemental Funds</t>
  </si>
  <si>
    <t>84.173X IDEA, Part B</t>
  </si>
  <si>
    <t>ALN/Name</t>
  </si>
  <si>
    <t>Somerset Academy Wellington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</si>
</sst>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0.000"/>
    <numFmt numFmtId="165" formatCode="mm/dd/yy;@"/>
    <numFmt numFmtId="166" formatCode="&quot;$&quot;#,##0.00"/>
    <numFmt numFmtId="167" formatCode="00.000"/>
  </numFmts>
  <fonts count="29" x14ac:knownFonts="1">
    <font>
      <sz val="11"/>
      <color theme="1"/>
      <name val="Calibri"/>
      <family val="2"/>
      <scheme val="minor"/>
    </font>
    <font>
      <sz val="11"/>
      <color theme="1"/>
      <name val="Calibri"/>
      <family val="2"/>
      <scheme val="minor"/>
    </font>
    <font>
      <b/>
      <sz val="12"/>
      <color theme="1"/>
      <name val="Times New Roman"/>
      <family val="1"/>
    </font>
    <font>
      <sz val="11"/>
      <color theme="1"/>
      <name val="Times New Roman"/>
      <family val="1"/>
    </font>
    <font>
      <u/>
      <sz val="11"/>
      <color theme="1"/>
      <name val="Times New Roman"/>
      <family val="1"/>
    </font>
    <font>
      <b/>
      <sz val="11"/>
      <color theme="1"/>
      <name val="Times New Roman"/>
      <family val="1"/>
    </font>
    <font>
      <sz val="11"/>
      <name val="Times New Roman"/>
      <family val="1"/>
    </font>
    <font>
      <b/>
      <sz val="11"/>
      <color rgb="FFFF0000"/>
      <name val="Times New Roman"/>
      <family val="1"/>
    </font>
    <font>
      <sz val="11"/>
      <color rgb="FF00B0F0"/>
      <name val="Times New Roman"/>
      <family val="1"/>
    </font>
    <font>
      <sz val="11"/>
      <color rgb="FFFF0000"/>
      <name val="Times New Roman"/>
      <family val="1"/>
    </font>
    <font>
      <b/>
      <sz val="11"/>
      <color indexed="8"/>
      <name val="Times New Roman"/>
      <family val="1"/>
    </font>
    <font>
      <b/>
      <sz val="10"/>
      <color theme="1"/>
      <name val="Times New Roman"/>
      <family val="1"/>
    </font>
    <font>
      <b/>
      <sz val="10"/>
      <color indexed="8"/>
      <name val="Times New Roman"/>
      <family val="1"/>
    </font>
    <font>
      <sz val="11"/>
      <color rgb="FF3D3D3D"/>
      <name val="Times New Roman"/>
      <family val="1"/>
    </font>
    <font>
      <sz val="10"/>
      <name val="Arial"/>
      <family val="2"/>
    </font>
    <font>
      <sz val="10"/>
      <name val="Arial"/>
      <family val="2"/>
    </font>
    <font>
      <sz val="10.5"/>
      <name val="Times New Roman"/>
      <family val="1"/>
    </font>
    <font>
      <sz val="10.5"/>
      <color theme="1"/>
      <name val="Times New Roman"/>
      <family val="1"/>
    </font>
    <font>
      <sz val="10.5"/>
      <color rgb="FF00B0F0"/>
      <name val="Times New Roman"/>
      <family val="1"/>
    </font>
    <font>
      <b/>
      <sz val="8"/>
      <color theme="1"/>
      <name val="Times New Roman"/>
      <family val="1"/>
    </font>
    <font>
      <sz val="10"/>
      <color theme="1"/>
      <name val="Times New Roman"/>
      <family val="1"/>
    </font>
    <font>
      <sz val="8"/>
      <color theme="1"/>
      <name val="Times New Roman"/>
      <family val="1"/>
    </font>
    <font>
      <u/>
      <sz val="11"/>
      <color theme="10"/>
      <name val="Calibri"/>
      <family val="2"/>
      <scheme val="minor"/>
    </font>
    <font>
      <b/>
      <sz val="11"/>
      <color indexed="10"/>
      <name val="Times New Roman"/>
      <family val="1"/>
    </font>
    <font>
      <sz val="9"/>
      <color theme="1"/>
      <name val="Times New Roman"/>
      <family val="1"/>
    </font>
    <font>
      <sz val="12"/>
      <color rgb="FF1155CC"/>
      <name val="Arial"/>
      <family val="2"/>
    </font>
    <font>
      <b/>
      <sz val="9"/>
      <color theme="1"/>
      <name val="Times New Roman"/>
      <family val="1"/>
    </font>
    <font>
      <b/>
      <sz val="11"/>
      <color rgb="FF222222"/>
      <name val="Calibri"/>
      <family val="2"/>
      <scheme val="minor"/>
    </font>
    <font>
      <b/>
      <u/>
      <sz val="11"/>
      <color theme="10"/>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top/>
      <bottom/>
      <diagonal/>
    </border>
  </borders>
  <cellStyleXfs count="13">
    <xf numFmtId="0" fontId="0" fillId="0" borderId="0"/>
    <xf numFmtId="44" fontId="1" fillId="0" borderId="0" applyFont="0" applyFill="0" applyBorder="0" applyAlignment="0" applyProtection="0"/>
    <xf numFmtId="0" fontId="14" fillId="0" borderId="0"/>
    <xf numFmtId="43" fontId="15" fillId="0" borderId="0" applyFont="0" applyFill="0" applyBorder="0" applyAlignment="0" applyProtection="0"/>
    <xf numFmtId="44" fontId="15" fillId="0" borderId="0" applyFont="0" applyFill="0" applyBorder="0" applyAlignment="0" applyProtection="0"/>
    <xf numFmtId="0" fontId="15" fillId="0" borderId="7"/>
    <xf numFmtId="9" fontId="15" fillId="0" borderId="0" applyFont="0" applyFill="0" applyBorder="0" applyAlignment="0" applyProtection="0"/>
    <xf numFmtId="43" fontId="14" fillId="0" borderId="0" applyFont="0" applyFill="0" applyBorder="0" applyAlignment="0" applyProtection="0"/>
    <xf numFmtId="44" fontId="14" fillId="0" borderId="0" applyFont="0" applyFill="0" applyBorder="0" applyAlignment="0" applyProtection="0"/>
    <xf numFmtId="0" fontId="14" fillId="0" borderId="7"/>
    <xf numFmtId="9" fontId="14" fillId="0" borderId="0" applyFont="0" applyFill="0" applyBorder="0" applyAlignment="0" applyProtection="0"/>
    <xf numFmtId="0" fontId="22" fillId="0" borderId="0" applyNumberFormat="0" applyFill="0" applyBorder="0" applyAlignment="0" applyProtection="0"/>
    <xf numFmtId="43" fontId="1" fillId="0" borderId="0" applyFont="0" applyFill="0" applyBorder="0" applyAlignment="0" applyProtection="0"/>
  </cellStyleXfs>
  <cellXfs count="350">
    <xf numFmtId="0" fontId="0" fillId="0" borderId="0" xfId="0"/>
    <xf numFmtId="0" fontId="2" fillId="0" borderId="0" xfId="0" applyFont="1"/>
    <xf numFmtId="0" fontId="3" fillId="0" borderId="0" xfId="0" applyFont="1"/>
    <xf numFmtId="0" fontId="4" fillId="0" borderId="0" xfId="0" applyFont="1" applyBorder="1"/>
    <xf numFmtId="164" fontId="3" fillId="0" borderId="0" xfId="0" applyNumberFormat="1" applyFont="1" applyAlignment="1">
      <alignment horizontal="left"/>
    </xf>
    <xf numFmtId="0" fontId="5" fillId="0" borderId="0" xfId="0" applyFont="1" applyAlignment="1">
      <alignment horizontal="right"/>
    </xf>
    <xf numFmtId="44" fontId="3" fillId="0" borderId="0" xfId="1" applyFont="1" applyBorder="1"/>
    <xf numFmtId="0" fontId="5" fillId="0" borderId="0" xfId="0" applyFont="1" applyAlignment="1">
      <alignment horizontal="center"/>
    </xf>
    <xf numFmtId="0" fontId="5" fillId="0" borderId="0" xfId="0" applyFont="1"/>
    <xf numFmtId="0" fontId="5" fillId="0" borderId="0" xfId="0" applyFont="1" applyBorder="1" applyAlignment="1">
      <alignment horizontal="center"/>
    </xf>
    <xf numFmtId="0" fontId="3" fillId="0" borderId="1" xfId="0" applyFont="1" applyBorder="1"/>
    <xf numFmtId="0" fontId="3" fillId="0" borderId="0" xfId="0" applyFont="1" applyFill="1" applyBorder="1"/>
    <xf numFmtId="0" fontId="6" fillId="0" borderId="0" xfId="0" applyFont="1"/>
    <xf numFmtId="49" fontId="3" fillId="0" borderId="0" xfId="0" applyNumberFormat="1" applyFont="1" applyAlignment="1">
      <alignment horizontal="center"/>
    </xf>
    <xf numFmtId="0" fontId="3" fillId="0" borderId="0" xfId="0" applyFont="1" applyFill="1"/>
    <xf numFmtId="44" fontId="3" fillId="0" borderId="0" xfId="1" applyFont="1" applyFill="1" applyAlignment="1">
      <alignment horizontal="center"/>
    </xf>
    <xf numFmtId="165" fontId="3" fillId="0" borderId="0" xfId="0" applyNumberFormat="1" applyFont="1" applyFill="1" applyAlignment="1">
      <alignment horizontal="center"/>
    </xf>
    <xf numFmtId="0" fontId="5" fillId="0" borderId="1" xfId="0" applyFont="1" applyFill="1" applyBorder="1"/>
    <xf numFmtId="0" fontId="3" fillId="0" borderId="0" xfId="0" applyFont="1" applyFill="1" applyAlignment="1">
      <alignment wrapText="1"/>
    </xf>
    <xf numFmtId="0" fontId="3" fillId="0" borderId="0" xfId="0" applyFont="1" applyAlignment="1">
      <alignment wrapText="1"/>
    </xf>
    <xf numFmtId="0" fontId="3" fillId="0" borderId="0" xfId="0" applyFont="1" applyFill="1" applyAlignment="1"/>
    <xf numFmtId="0" fontId="5" fillId="0" borderId="0" xfId="0" applyFont="1" applyFill="1" applyBorder="1" applyAlignment="1">
      <alignment horizontal="right"/>
    </xf>
    <xf numFmtId="44" fontId="3" fillId="0" borderId="0" xfId="1" applyNumberFormat="1" applyFont="1"/>
    <xf numFmtId="44" fontId="3" fillId="0" borderId="4" xfId="0" applyNumberFormat="1" applyFont="1" applyBorder="1"/>
    <xf numFmtId="44" fontId="3" fillId="0" borderId="1" xfId="1" applyNumberFormat="1" applyFont="1" applyBorder="1"/>
    <xf numFmtId="44" fontId="3" fillId="0" borderId="1" xfId="0" applyNumberFormat="1" applyFont="1" applyBorder="1"/>
    <xf numFmtId="44" fontId="3" fillId="0" borderId="2" xfId="0" applyNumberFormat="1" applyFont="1" applyBorder="1"/>
    <xf numFmtId="0" fontId="3" fillId="0" borderId="3" xfId="0" applyFont="1" applyBorder="1"/>
    <xf numFmtId="0" fontId="3" fillId="0" borderId="2" xfId="0" applyFont="1" applyBorder="1"/>
    <xf numFmtId="0" fontId="3" fillId="0" borderId="0" xfId="0" applyFont="1" applyBorder="1"/>
    <xf numFmtId="0" fontId="5" fillId="0" borderId="0" xfId="0" applyFont="1" applyAlignment="1">
      <alignment horizontal="left"/>
    </xf>
    <xf numFmtId="0" fontId="3" fillId="0" borderId="0" xfId="0" applyFont="1" applyFill="1" applyAlignment="1">
      <alignment horizontal="left"/>
    </xf>
    <xf numFmtId="44" fontId="3" fillId="0" borderId="1" xfId="1" applyFont="1" applyBorder="1"/>
    <xf numFmtId="165" fontId="3" fillId="0" borderId="0" xfId="0" applyNumberFormat="1" applyFont="1" applyFill="1" applyAlignment="1">
      <alignment horizontal="right"/>
    </xf>
    <xf numFmtId="0" fontId="3" fillId="0" borderId="0" xfId="0" applyFont="1" applyFill="1" applyAlignment="1">
      <alignment vertical="center"/>
    </xf>
    <xf numFmtId="0" fontId="3" fillId="0" borderId="0" xfId="0" applyFont="1" applyFill="1" applyAlignment="1">
      <alignment horizontal="left" vertical="center"/>
    </xf>
    <xf numFmtId="0" fontId="3" fillId="0" borderId="0" xfId="0" applyFont="1" applyAlignment="1"/>
    <xf numFmtId="0" fontId="3" fillId="0" borderId="0" xfId="0" applyFont="1" applyFill="1" applyAlignment="1">
      <alignment horizontal="left" vertical="center" wrapText="1"/>
    </xf>
    <xf numFmtId="44" fontId="3" fillId="0" borderId="0" xfId="1" applyFont="1" applyFill="1" applyAlignment="1"/>
    <xf numFmtId="165" fontId="3" fillId="0" borderId="0" xfId="0" applyNumberFormat="1" applyFont="1" applyFill="1" applyAlignment="1"/>
    <xf numFmtId="49" fontId="3" fillId="0" borderId="0" xfId="0" applyNumberFormat="1" applyFont="1" applyAlignment="1">
      <alignment horizontal="right"/>
    </xf>
    <xf numFmtId="0" fontId="3" fillId="0" borderId="0" xfId="0" applyFont="1" applyFill="1" applyAlignment="1">
      <alignment horizontal="right"/>
    </xf>
    <xf numFmtId="0" fontId="3" fillId="0" borderId="0" xfId="0" applyFont="1" applyBorder="1" applyAlignment="1">
      <alignment horizontal="center"/>
    </xf>
    <xf numFmtId="44" fontId="6" fillId="0" borderId="0" xfId="0" applyNumberFormat="1" applyFont="1" applyFill="1" applyBorder="1" applyAlignment="1">
      <alignment horizontal="center"/>
    </xf>
    <xf numFmtId="0" fontId="10" fillId="0" borderId="0" xfId="0" applyFont="1"/>
    <xf numFmtId="0" fontId="3" fillId="0" borderId="0" xfId="0" applyFont="1" applyAlignment="1">
      <alignment horizontal="left"/>
    </xf>
    <xf numFmtId="0" fontId="3" fillId="0" borderId="0" xfId="0" applyFont="1" applyFill="1" applyAlignment="1">
      <alignment horizontal="left" wrapText="1"/>
    </xf>
    <xf numFmtId="0" fontId="3" fillId="0" borderId="1" xfId="0" applyFont="1" applyBorder="1" applyAlignment="1">
      <alignment horizontal="left"/>
    </xf>
    <xf numFmtId="0" fontId="3" fillId="0" borderId="0" xfId="0" applyFont="1" applyBorder="1" applyAlignment="1">
      <alignment horizontal="left"/>
    </xf>
    <xf numFmtId="0" fontId="16" fillId="0" borderId="0" xfId="0" applyFont="1" applyBorder="1" applyAlignment="1">
      <alignment horizontal="left"/>
    </xf>
    <xf numFmtId="0" fontId="16" fillId="0" borderId="0" xfId="0" applyFont="1" applyAlignment="1">
      <alignment horizontal="left"/>
    </xf>
    <xf numFmtId="0" fontId="17" fillId="0" borderId="0" xfId="0" applyFont="1"/>
    <xf numFmtId="0" fontId="16" fillId="0" borderId="1" xfId="0" applyFont="1" applyBorder="1" applyAlignment="1">
      <alignment horizontal="left"/>
    </xf>
    <xf numFmtId="0" fontId="16" fillId="0" borderId="2" xfId="0" applyFont="1" applyBorder="1" applyAlignment="1">
      <alignment horizontal="left"/>
    </xf>
    <xf numFmtId="0" fontId="17" fillId="0" borderId="1" xfId="0" applyFont="1" applyBorder="1"/>
    <xf numFmtId="0" fontId="17" fillId="0" borderId="2" xfId="0" applyFont="1" applyBorder="1"/>
    <xf numFmtId="0" fontId="17" fillId="0" borderId="0" xfId="0" applyFont="1" applyBorder="1"/>
    <xf numFmtId="0" fontId="18" fillId="0" borderId="1" xfId="0" applyFont="1" applyBorder="1" applyAlignment="1">
      <alignment horizontal="left"/>
    </xf>
    <xf numFmtId="0" fontId="18" fillId="0" borderId="0" xfId="0" applyFont="1"/>
    <xf numFmtId="0" fontId="18" fillId="0" borderId="0" xfId="0" applyFont="1" applyBorder="1" applyAlignment="1">
      <alignment horizontal="left"/>
    </xf>
    <xf numFmtId="0" fontId="9" fillId="0" borderId="0" xfId="0" applyFont="1" applyBorder="1" applyAlignment="1">
      <alignment horizontal="center"/>
    </xf>
    <xf numFmtId="44" fontId="3" fillId="0" borderId="0" xfId="0" applyNumberFormat="1" applyFont="1" applyBorder="1" applyAlignment="1">
      <alignment horizontal="right"/>
    </xf>
    <xf numFmtId="0" fontId="3" fillId="0" borderId="0" xfId="0" applyFont="1" applyFill="1" applyBorder="1" applyAlignment="1">
      <alignment horizontal="left"/>
    </xf>
    <xf numFmtId="0" fontId="5" fillId="0" borderId="0" xfId="0" applyFont="1" applyFill="1" applyBorder="1"/>
    <xf numFmtId="44" fontId="3" fillId="0" borderId="0" xfId="1" applyNumberFormat="1" applyFont="1" applyFill="1"/>
    <xf numFmtId="44" fontId="3" fillId="0" borderId="0" xfId="1" applyFont="1"/>
    <xf numFmtId="44" fontId="3" fillId="0" borderId="0" xfId="0" applyNumberFormat="1" applyFont="1"/>
    <xf numFmtId="44" fontId="3" fillId="0" borderId="0" xfId="0" applyNumberFormat="1" applyFont="1" applyBorder="1"/>
    <xf numFmtId="44" fontId="3" fillId="0" borderId="3" xfId="0" applyNumberFormat="1" applyFont="1" applyBorder="1"/>
    <xf numFmtId="44" fontId="3" fillId="0" borderId="0" xfId="1" applyFont="1" applyFill="1"/>
    <xf numFmtId="44" fontId="3" fillId="0" borderId="0" xfId="0" applyNumberFormat="1" applyFont="1" applyBorder="1" applyAlignment="1">
      <alignment horizontal="center"/>
    </xf>
    <xf numFmtId="14" fontId="5" fillId="0" borderId="0" xfId="0" applyNumberFormat="1" applyFont="1" applyAlignment="1">
      <alignment horizontal="center"/>
    </xf>
    <xf numFmtId="166" fontId="3" fillId="0" borderId="0" xfId="0" applyNumberFormat="1" applyFont="1"/>
    <xf numFmtId="44" fontId="3" fillId="0" borderId="0" xfId="1" applyFont="1" applyBorder="1" applyAlignment="1">
      <alignment horizontal="center"/>
    </xf>
    <xf numFmtId="44" fontId="3" fillId="0" borderId="1" xfId="1" applyNumberFormat="1" applyFont="1" applyFill="1" applyBorder="1"/>
    <xf numFmtId="0" fontId="6" fillId="0" borderId="0" xfId="0" applyNumberFormat="1" applyFont="1" applyFill="1" applyAlignment="1">
      <alignment horizontal="left"/>
    </xf>
    <xf numFmtId="44" fontId="6" fillId="0" borderId="0" xfId="0" applyNumberFormat="1" applyFont="1"/>
    <xf numFmtId="166" fontId="3" fillId="0" borderId="3" xfId="0" applyNumberFormat="1" applyFont="1" applyBorder="1"/>
    <xf numFmtId="44" fontId="3" fillId="0" borderId="0" xfId="1" applyNumberFormat="1" applyFont="1" applyBorder="1"/>
    <xf numFmtId="44" fontId="3" fillId="0" borderId="0" xfId="1" applyNumberFormat="1" applyFont="1" applyFill="1" applyBorder="1"/>
    <xf numFmtId="39" fontId="3" fillId="0" borderId="0" xfId="0" applyNumberFormat="1" applyFont="1" applyBorder="1" applyAlignment="1">
      <alignment horizontal="right"/>
    </xf>
    <xf numFmtId="44" fontId="6" fillId="0" borderId="3" xfId="0" applyNumberFormat="1" applyFont="1" applyBorder="1" applyAlignment="1">
      <alignment horizontal="center"/>
    </xf>
    <xf numFmtId="44" fontId="5" fillId="0" borderId="0" xfId="0" applyNumberFormat="1" applyFont="1" applyBorder="1" applyAlignment="1">
      <alignment horizontal="center"/>
    </xf>
    <xf numFmtId="0" fontId="5" fillId="2" borderId="10" xfId="0" applyFont="1" applyFill="1" applyBorder="1" applyAlignment="1">
      <alignment horizontal="center" wrapText="1"/>
    </xf>
    <xf numFmtId="0" fontId="5" fillId="2" borderId="9" xfId="0" applyFont="1" applyFill="1" applyBorder="1" applyAlignment="1">
      <alignment horizontal="center" wrapText="1"/>
    </xf>
    <xf numFmtId="0" fontId="5" fillId="2" borderId="11" xfId="0" applyFont="1" applyFill="1" applyBorder="1" applyAlignment="1">
      <alignment horizontal="center"/>
    </xf>
    <xf numFmtId="0" fontId="5" fillId="2" borderId="12" xfId="0" applyFont="1" applyFill="1" applyBorder="1" applyAlignment="1">
      <alignment horizontal="center"/>
    </xf>
    <xf numFmtId="0" fontId="5" fillId="2" borderId="13" xfId="0" applyFont="1" applyFill="1" applyBorder="1" applyAlignment="1">
      <alignment horizontal="center"/>
    </xf>
    <xf numFmtId="0" fontId="7" fillId="0" borderId="0" xfId="0" applyFont="1"/>
    <xf numFmtId="0" fontId="5" fillId="3" borderId="11" xfId="0" applyFont="1" applyFill="1" applyBorder="1" applyAlignment="1">
      <alignment horizontal="center"/>
    </xf>
    <xf numFmtId="0" fontId="5" fillId="3" borderId="12" xfId="0" applyFont="1" applyFill="1" applyBorder="1" applyAlignment="1">
      <alignment horizontal="center"/>
    </xf>
    <xf numFmtId="0" fontId="5" fillId="3" borderId="13" xfId="0" applyFont="1" applyFill="1" applyBorder="1" applyAlignment="1">
      <alignment horizontal="center"/>
    </xf>
    <xf numFmtId="164" fontId="3" fillId="0" borderId="0" xfId="0" applyNumberFormat="1" applyFont="1" applyAlignment="1">
      <alignment horizontal="center"/>
    </xf>
    <xf numFmtId="0" fontId="3" fillId="0" borderId="0" xfId="0" applyFont="1" applyAlignment="1">
      <alignment horizontal="center"/>
    </xf>
    <xf numFmtId="0" fontId="3" fillId="0" borderId="1" xfId="0" applyFont="1" applyBorder="1" applyAlignment="1">
      <alignment horizontal="center"/>
    </xf>
    <xf numFmtId="0" fontId="3" fillId="0" borderId="0" xfId="0" applyFont="1" applyAlignment="1">
      <alignment horizontal="center" wrapText="1"/>
    </xf>
    <xf numFmtId="0" fontId="5" fillId="0" borderId="1" xfId="0" applyFont="1" applyBorder="1" applyAlignment="1">
      <alignment horizontal="center"/>
    </xf>
    <xf numFmtId="0" fontId="9" fillId="3" borderId="13" xfId="0" applyFont="1" applyFill="1" applyBorder="1" applyAlignment="1">
      <alignment horizontal="center"/>
    </xf>
    <xf numFmtId="0" fontId="8" fillId="3" borderId="13" xfId="0" applyFont="1" applyFill="1" applyBorder="1" applyAlignment="1">
      <alignment horizontal="center"/>
    </xf>
    <xf numFmtId="0" fontId="3" fillId="0" borderId="0" xfId="0" applyFont="1" applyBorder="1" applyAlignment="1">
      <alignment horizontal="left" wrapText="1"/>
    </xf>
    <xf numFmtId="0" fontId="3" fillId="0" borderId="0" xfId="0" applyFont="1" applyBorder="1" applyAlignment="1"/>
    <xf numFmtId="164" fontId="5" fillId="0" borderId="0" xfId="0" applyNumberFormat="1" applyFont="1" applyAlignment="1">
      <alignment horizontal="center"/>
    </xf>
    <xf numFmtId="44" fontId="5" fillId="0" borderId="0" xfId="0" applyNumberFormat="1" applyFont="1" applyBorder="1"/>
    <xf numFmtId="0" fontId="3" fillId="0" borderId="0" xfId="0" applyFont="1" applyAlignment="1">
      <alignment wrapText="1"/>
    </xf>
    <xf numFmtId="0" fontId="20" fillId="0" borderId="0" xfId="0" applyFont="1" applyBorder="1"/>
    <xf numFmtId="0" fontId="3" fillId="0" borderId="0" xfId="0" applyFont="1" applyBorder="1" applyAlignment="1">
      <alignment wrapText="1"/>
    </xf>
    <xf numFmtId="44" fontId="9" fillId="0" borderId="0" xfId="0" applyNumberFormat="1" applyFont="1" applyBorder="1" applyAlignment="1">
      <alignment horizontal="center"/>
    </xf>
    <xf numFmtId="0" fontId="19" fillId="2" borderId="10" xfId="0" applyFont="1" applyFill="1" applyBorder="1" applyAlignment="1">
      <alignment horizontal="center" wrapText="1"/>
    </xf>
    <xf numFmtId="0" fontId="3" fillId="0" borderId="0" xfId="0" applyFont="1" applyAlignment="1">
      <alignment horizontal="left" vertical="top" wrapText="1"/>
    </xf>
    <xf numFmtId="0" fontId="3" fillId="0" borderId="8" xfId="0" applyFont="1" applyBorder="1"/>
    <xf numFmtId="164" fontId="3" fillId="0" borderId="0" xfId="0" applyNumberFormat="1" applyFont="1" applyAlignment="1">
      <alignment horizontal="center" wrapText="1"/>
    </xf>
    <xf numFmtId="0" fontId="3" fillId="0" borderId="0" xfId="0" applyFont="1" applyAlignment="1">
      <alignment horizontal="left" vertical="top" wrapText="1"/>
    </xf>
    <xf numFmtId="0" fontId="0" fillId="0" borderId="0" xfId="0" applyAlignment="1">
      <alignment wrapText="1"/>
    </xf>
    <xf numFmtId="0" fontId="3" fillId="0" borderId="0" xfId="0" applyFont="1" applyAlignment="1">
      <alignment wrapText="1"/>
    </xf>
    <xf numFmtId="0" fontId="5" fillId="0" borderId="1" xfId="0" applyFont="1" applyBorder="1" applyAlignment="1">
      <alignment horizontal="center"/>
    </xf>
    <xf numFmtId="0" fontId="3" fillId="0" borderId="0" xfId="0" applyFont="1" applyAlignment="1">
      <alignment vertical="top" wrapText="1"/>
    </xf>
    <xf numFmtId="165" fontId="3" fillId="0" borderId="0" xfId="0" applyNumberFormat="1" applyFont="1"/>
    <xf numFmtId="0" fontId="3" fillId="0" borderId="0" xfId="0" applyFont="1" applyAlignment="1">
      <alignment horizontal="left" vertical="top" wrapText="1"/>
    </xf>
    <xf numFmtId="0" fontId="0" fillId="0" borderId="0" xfId="0" applyAlignment="1">
      <alignment wrapText="1"/>
    </xf>
    <xf numFmtId="0" fontId="3" fillId="0" borderId="0" xfId="0" applyFont="1" applyAlignment="1">
      <alignment wrapText="1"/>
    </xf>
    <xf numFmtId="0" fontId="5" fillId="0" borderId="1" xfId="0" applyFont="1" applyBorder="1" applyAlignment="1">
      <alignment horizontal="center"/>
    </xf>
    <xf numFmtId="0" fontId="3" fillId="0" borderId="0" xfId="0" applyFont="1" applyAlignment="1">
      <alignment vertical="top" wrapText="1"/>
    </xf>
    <xf numFmtId="0" fontId="3" fillId="0" borderId="0" xfId="0" quotePrefix="1" applyFont="1"/>
    <xf numFmtId="0" fontId="21" fillId="0" borderId="0" xfId="0" applyFont="1"/>
    <xf numFmtId="10" fontId="21" fillId="0" borderId="0" xfId="0" applyNumberFormat="1" applyFont="1"/>
    <xf numFmtId="0" fontId="22" fillId="0" borderId="0" xfId="11" quotePrefix="1"/>
    <xf numFmtId="164" fontId="3" fillId="0" borderId="0" xfId="0" quotePrefix="1" applyNumberFormat="1" applyFont="1" applyAlignment="1">
      <alignment horizontal="center"/>
    </xf>
    <xf numFmtId="0" fontId="5" fillId="0" borderId="1" xfId="0" applyFont="1" applyBorder="1" applyAlignment="1">
      <alignment horizontal="center"/>
    </xf>
    <xf numFmtId="4" fontId="5" fillId="0" borderId="1" xfId="0" applyNumberFormat="1" applyFont="1" applyBorder="1" applyAlignment="1">
      <alignment horizontal="center" wrapText="1"/>
    </xf>
    <xf numFmtId="43" fontId="3" fillId="0" borderId="0" xfId="12" applyFont="1"/>
    <xf numFmtId="14" fontId="3" fillId="0" borderId="0" xfId="0" applyNumberFormat="1" applyFont="1" applyFill="1" applyBorder="1" applyAlignment="1">
      <alignment horizontal="center"/>
    </xf>
    <xf numFmtId="44" fontId="5" fillId="0" borderId="0" xfId="1" applyFont="1"/>
    <xf numFmtId="164" fontId="3" fillId="0" borderId="8" xfId="0" applyNumberFormat="1" applyFont="1" applyBorder="1" applyAlignment="1">
      <alignment horizontal="center"/>
    </xf>
    <xf numFmtId="43" fontId="3" fillId="0" borderId="8" xfId="12" applyFont="1" applyFill="1" applyBorder="1" applyAlignment="1">
      <alignment wrapText="1"/>
    </xf>
    <xf numFmtId="43" fontId="3" fillId="0" borderId="0" xfId="12" applyFont="1" applyFill="1" applyAlignment="1">
      <alignment horizontal="right"/>
    </xf>
    <xf numFmtId="43" fontId="5" fillId="0" borderId="0" xfId="12" applyFont="1" applyFill="1" applyBorder="1" applyAlignment="1">
      <alignment horizontal="right"/>
    </xf>
    <xf numFmtId="14" fontId="3" fillId="0" borderId="8" xfId="1" applyNumberFormat="1" applyFont="1" applyFill="1" applyBorder="1" applyAlignment="1">
      <alignment horizontal="center"/>
    </xf>
    <xf numFmtId="44" fontId="3" fillId="0" borderId="0" xfId="1" applyFont="1" applyFill="1" applyBorder="1" applyAlignment="1"/>
    <xf numFmtId="165" fontId="3" fillId="0" borderId="0" xfId="0" applyNumberFormat="1" applyFont="1" applyFill="1" applyBorder="1" applyAlignment="1"/>
    <xf numFmtId="0" fontId="3" fillId="0" borderId="0" xfId="0" applyFont="1" applyFill="1" applyBorder="1" applyAlignment="1">
      <alignment vertical="top" wrapText="1"/>
    </xf>
    <xf numFmtId="0" fontId="3" fillId="0" borderId="0" xfId="0" quotePrefix="1" applyFont="1" applyBorder="1" applyAlignment="1">
      <alignment horizontal="center"/>
    </xf>
    <xf numFmtId="0" fontId="5" fillId="0" borderId="1" xfId="0" applyFont="1" applyBorder="1" applyAlignment="1">
      <alignment horizontal="center" wrapText="1"/>
    </xf>
    <xf numFmtId="43" fontId="3" fillId="0" borderId="0" xfId="12" applyFont="1" applyBorder="1" applyAlignment="1">
      <alignment horizontal="center"/>
    </xf>
    <xf numFmtId="14" fontId="3" fillId="0" borderId="0" xfId="0" applyNumberFormat="1" applyFont="1" applyBorder="1" applyAlignment="1">
      <alignment horizontal="center"/>
    </xf>
    <xf numFmtId="44" fontId="3" fillId="0" borderId="0" xfId="0" quotePrefix="1" applyNumberFormat="1" applyFont="1" applyBorder="1"/>
    <xf numFmtId="44" fontId="9" fillId="0" borderId="0" xfId="0" applyNumberFormat="1" applyFont="1"/>
    <xf numFmtId="44" fontId="6" fillId="0" borderId="2" xfId="0" applyNumberFormat="1" applyFont="1" applyBorder="1" applyAlignment="1">
      <alignment horizontal="center"/>
    </xf>
    <xf numFmtId="44" fontId="3" fillId="0" borderId="1" xfId="0" applyNumberFormat="1" applyFont="1" applyBorder="1" applyAlignment="1">
      <alignment horizontal="right"/>
    </xf>
    <xf numFmtId="0" fontId="5" fillId="0" borderId="0" xfId="0" applyFont="1" applyBorder="1" applyAlignment="1">
      <alignment horizontal="center"/>
    </xf>
    <xf numFmtId="43" fontId="9" fillId="0" borderId="0" xfId="12" applyFont="1" applyBorder="1" applyAlignment="1">
      <alignment horizontal="center"/>
    </xf>
    <xf numFmtId="14" fontId="3" fillId="0" borderId="0" xfId="0" applyNumberFormat="1" applyFont="1" applyAlignment="1">
      <alignment horizontal="center"/>
    </xf>
    <xf numFmtId="164" fontId="3" fillId="0" borderId="0" xfId="0" applyNumberFormat="1" applyFont="1" applyBorder="1" applyAlignment="1">
      <alignment horizontal="center"/>
    </xf>
    <xf numFmtId="49" fontId="3" fillId="0" borderId="0" xfId="0" applyNumberFormat="1" applyFont="1" applyBorder="1" applyAlignment="1">
      <alignment horizontal="right"/>
    </xf>
    <xf numFmtId="164" fontId="3" fillId="0" borderId="8" xfId="0" applyNumberFormat="1" applyFont="1" applyBorder="1" applyAlignment="1">
      <alignment horizontal="left"/>
    </xf>
    <xf numFmtId="49" fontId="3" fillId="0" borderId="0" xfId="0" applyNumberFormat="1" applyFont="1" applyAlignment="1">
      <alignment horizontal="left"/>
    </xf>
    <xf numFmtId="14" fontId="3" fillId="0" borderId="0" xfId="1" applyNumberFormat="1" applyFont="1" applyFill="1" applyAlignment="1">
      <alignment horizontal="center"/>
    </xf>
    <xf numFmtId="43" fontId="5" fillId="0" borderId="0" xfId="12" applyFont="1"/>
    <xf numFmtId="0" fontId="5" fillId="0" borderId="1" xfId="0" applyFont="1" applyBorder="1" applyAlignment="1">
      <alignment horizontal="center"/>
    </xf>
    <xf numFmtId="0" fontId="3" fillId="0" borderId="8" xfId="0" applyFont="1" applyBorder="1" applyAlignment="1">
      <alignment horizontal="left"/>
    </xf>
    <xf numFmtId="44" fontId="6" fillId="0" borderId="14" xfId="0" applyNumberFormat="1" applyFont="1" applyBorder="1" applyAlignment="1">
      <alignment horizontal="center"/>
    </xf>
    <xf numFmtId="43" fontId="3" fillId="0" borderId="2" xfId="12" applyFont="1" applyBorder="1"/>
    <xf numFmtId="44" fontId="3" fillId="0" borderId="1" xfId="0" applyNumberFormat="1" applyFont="1" applyBorder="1" applyAlignment="1">
      <alignment horizontal="center"/>
    </xf>
    <xf numFmtId="44" fontId="6" fillId="0" borderId="1" xfId="0" applyNumberFormat="1" applyFont="1" applyFill="1" applyBorder="1" applyAlignment="1">
      <alignment horizontal="center"/>
    </xf>
    <xf numFmtId="0" fontId="16" fillId="0" borderId="8" xfId="0" applyFont="1" applyBorder="1" applyAlignment="1">
      <alignment horizontal="left"/>
    </xf>
    <xf numFmtId="0" fontId="16" fillId="0" borderId="4" xfId="0" applyFont="1" applyBorder="1" applyAlignment="1">
      <alignment horizontal="left"/>
    </xf>
    <xf numFmtId="0" fontId="16" fillId="0" borderId="3" xfId="0" applyFont="1" applyBorder="1" applyAlignment="1">
      <alignment horizontal="left"/>
    </xf>
    <xf numFmtId="0" fontId="18" fillId="0" borderId="8" xfId="0" applyFont="1" applyBorder="1" applyAlignment="1">
      <alignment horizontal="left"/>
    </xf>
    <xf numFmtId="0" fontId="17" fillId="0" borderId="3" xfId="0" applyFont="1" applyBorder="1"/>
    <xf numFmtId="44" fontId="16" fillId="0" borderId="8" xfId="0" applyNumberFormat="1" applyFont="1" applyBorder="1" applyAlignment="1">
      <alignment horizontal="left"/>
    </xf>
    <xf numFmtId="44" fontId="16" fillId="0" borderId="4" xfId="0" applyNumberFormat="1" applyFont="1" applyBorder="1" applyAlignment="1">
      <alignment horizontal="left"/>
    </xf>
    <xf numFmtId="0" fontId="18" fillId="0" borderId="8" xfId="0" applyFont="1" applyBorder="1"/>
    <xf numFmtId="0" fontId="17" fillId="0" borderId="8" xfId="0" applyFont="1" applyBorder="1"/>
    <xf numFmtId="0" fontId="17" fillId="0" borderId="4" xfId="0" applyFont="1" applyBorder="1"/>
    <xf numFmtId="0" fontId="3" fillId="0" borderId="5" xfId="0" applyFont="1" applyBorder="1"/>
    <xf numFmtId="0" fontId="3" fillId="0" borderId="6" xfId="0" applyFont="1" applyBorder="1"/>
    <xf numFmtId="0" fontId="5" fillId="0" borderId="6" xfId="0" applyFont="1" applyFill="1" applyBorder="1"/>
    <xf numFmtId="0" fontId="3" fillId="0" borderId="0" xfId="0" applyFont="1" applyAlignment="1">
      <alignment horizontal="left" vertical="top" wrapText="1"/>
    </xf>
    <xf numFmtId="0" fontId="5" fillId="0" borderId="1" xfId="0" applyFont="1" applyBorder="1" applyAlignment="1">
      <alignment horizontal="center"/>
    </xf>
    <xf numFmtId="0" fontId="3" fillId="0" borderId="0" xfId="0" applyFont="1" applyAlignment="1">
      <alignment horizontal="left" vertical="top" wrapText="1"/>
    </xf>
    <xf numFmtId="0" fontId="5" fillId="0" borderId="1" xfId="0" applyFont="1" applyBorder="1" applyAlignment="1">
      <alignment horizontal="center"/>
    </xf>
    <xf numFmtId="43" fontId="3" fillId="0" borderId="1" xfId="12" applyFont="1" applyBorder="1" applyAlignment="1">
      <alignment horizontal="center"/>
    </xf>
    <xf numFmtId="43" fontId="9" fillId="0" borderId="1" xfId="12" applyFont="1" applyBorder="1" applyAlignment="1">
      <alignment horizontal="center"/>
    </xf>
    <xf numFmtId="14" fontId="23" fillId="0" borderId="0" xfId="0" applyNumberFormat="1" applyFont="1" applyAlignment="1">
      <alignment horizontal="center"/>
    </xf>
    <xf numFmtId="0" fontId="10" fillId="0" borderId="0" xfId="0" applyFont="1" applyAlignment="1">
      <alignment horizontal="center"/>
    </xf>
    <xf numFmtId="43" fontId="3" fillId="0" borderId="0" xfId="12" applyFont="1" applyFill="1" applyAlignment="1">
      <alignment horizontal="center"/>
    </xf>
    <xf numFmtId="14" fontId="3" fillId="0" borderId="0" xfId="12" applyNumberFormat="1" applyFont="1" applyAlignment="1">
      <alignment horizontal="center"/>
    </xf>
    <xf numFmtId="10" fontId="24" fillId="0" borderId="0" xfId="0" applyNumberFormat="1" applyFont="1"/>
    <xf numFmtId="165" fontId="24" fillId="0" borderId="0" xfId="0" applyNumberFormat="1" applyFont="1"/>
    <xf numFmtId="0" fontId="24" fillId="0" borderId="0" xfId="0" applyFont="1" applyAlignment="1">
      <alignment horizontal="center"/>
    </xf>
    <xf numFmtId="165" fontId="24" fillId="0" borderId="0" xfId="0" applyNumberFormat="1" applyFont="1" applyAlignment="1">
      <alignment horizontal="center"/>
    </xf>
    <xf numFmtId="0" fontId="3" fillId="0" borderId="0" xfId="0" applyFont="1" applyAlignment="1">
      <alignment horizontal="left" vertical="top" wrapText="1"/>
    </xf>
    <xf numFmtId="0" fontId="5" fillId="0" borderId="1" xfId="0" applyFont="1" applyBorder="1" applyAlignment="1">
      <alignment horizontal="center"/>
    </xf>
    <xf numFmtId="0" fontId="22" fillId="0" borderId="0" xfId="11"/>
    <xf numFmtId="0" fontId="3" fillId="0" borderId="0" xfId="0" applyFont="1" applyAlignment="1">
      <alignment horizontal="left" vertical="top" wrapText="1"/>
    </xf>
    <xf numFmtId="0" fontId="3" fillId="0" borderId="0" xfId="0" applyFont="1" applyAlignment="1">
      <alignment wrapText="1"/>
    </xf>
    <xf numFmtId="0" fontId="3" fillId="0" borderId="0" xfId="0" applyFont="1" applyAlignment="1">
      <alignment horizontal="left" vertical="top" wrapText="1"/>
    </xf>
    <xf numFmtId="0" fontId="25" fillId="0" borderId="0" xfId="0" applyFont="1"/>
    <xf numFmtId="0" fontId="3" fillId="0" borderId="0" xfId="0" applyFont="1" applyAlignment="1">
      <alignment horizontal="left" vertical="top" wrapText="1"/>
    </xf>
    <xf numFmtId="0" fontId="5" fillId="0" borderId="1" xfId="0" applyFont="1" applyBorder="1" applyAlignment="1">
      <alignment horizontal="center"/>
    </xf>
    <xf numFmtId="164" fontId="3" fillId="0" borderId="0" xfId="0" applyNumberFormat="1" applyFont="1" applyAlignment="1">
      <alignment wrapText="1"/>
    </xf>
    <xf numFmtId="0" fontId="3" fillId="0" borderId="0" xfId="0" applyFont="1" applyAlignment="1">
      <alignment wrapText="1"/>
    </xf>
    <xf numFmtId="0" fontId="3" fillId="0" borderId="0" xfId="0" applyFont="1" applyAlignment="1">
      <alignment horizontal="left" wrapText="1"/>
    </xf>
    <xf numFmtId="0" fontId="24" fillId="0" borderId="0" xfId="0" applyFont="1"/>
    <xf numFmtId="10" fontId="24" fillId="0" borderId="0" xfId="0" applyNumberFormat="1" applyFont="1" applyAlignment="1">
      <alignment horizontal="left"/>
    </xf>
    <xf numFmtId="10" fontId="24" fillId="0" borderId="0" xfId="0" applyNumberFormat="1" applyFont="1" applyAlignment="1">
      <alignment horizontal="center"/>
    </xf>
    <xf numFmtId="0" fontId="26" fillId="0" borderId="0" xfId="0" applyFont="1" applyAlignment="1">
      <alignment horizontal="center"/>
    </xf>
    <xf numFmtId="165" fontId="24" fillId="0" borderId="0" xfId="0" applyNumberFormat="1" applyFont="1" applyAlignment="1">
      <alignment horizontal="left"/>
    </xf>
    <xf numFmtId="44" fontId="6" fillId="0" borderId="0" xfId="0" applyNumberFormat="1" applyFont="1" applyBorder="1"/>
    <xf numFmtId="44" fontId="3" fillId="0" borderId="1" xfId="0" applyNumberFormat="1" applyFont="1" applyFill="1" applyBorder="1"/>
    <xf numFmtId="0" fontId="3" fillId="0" borderId="0" xfId="0" applyFont="1" applyAlignment="1">
      <alignment horizontal="left" vertical="top" wrapText="1"/>
    </xf>
    <xf numFmtId="0" fontId="3" fillId="0" borderId="0" xfId="0" applyFont="1" applyAlignment="1">
      <alignment wrapText="1"/>
    </xf>
    <xf numFmtId="0" fontId="5" fillId="0" borderId="1" xfId="0" applyFont="1" applyBorder="1" applyAlignment="1">
      <alignment horizontal="center"/>
    </xf>
    <xf numFmtId="0" fontId="3" fillId="0" borderId="0" xfId="0" applyFont="1" applyAlignment="1">
      <alignment vertical="top" wrapText="1"/>
    </xf>
    <xf numFmtId="39" fontId="3" fillId="0" borderId="0" xfId="0" applyNumberFormat="1" applyFont="1"/>
    <xf numFmtId="44" fontId="3" fillId="0" borderId="3" xfId="1" applyFont="1" applyBorder="1"/>
    <xf numFmtId="44" fontId="3" fillId="0" borderId="1" xfId="1" applyFont="1" applyBorder="1" applyAlignment="1">
      <alignment horizontal="center"/>
    </xf>
    <xf numFmtId="166" fontId="3" fillId="0" borderId="0" xfId="0" applyNumberFormat="1" applyFont="1" applyAlignment="1">
      <alignment horizontal="center"/>
    </xf>
    <xf numFmtId="166" fontId="3" fillId="0" borderId="4" xfId="0" applyNumberFormat="1" applyFont="1" applyBorder="1"/>
    <xf numFmtId="164" fontId="3" fillId="0" borderId="1" xfId="0" applyNumberFormat="1" applyFont="1" applyBorder="1" applyAlignment="1">
      <alignment horizontal="center"/>
    </xf>
    <xf numFmtId="0" fontId="5" fillId="0" borderId="1" xfId="0" applyFont="1" applyBorder="1" applyAlignment="1">
      <alignment horizontal="right"/>
    </xf>
    <xf numFmtId="0" fontId="22" fillId="0" borderId="1" xfId="11" applyBorder="1"/>
    <xf numFmtId="164" fontId="3" fillId="0" borderId="1" xfId="0" applyNumberFormat="1" applyFont="1" applyBorder="1" applyAlignment="1">
      <alignment horizontal="left"/>
    </xf>
    <xf numFmtId="0" fontId="22" fillId="0" borderId="1" xfId="11" quotePrefix="1" applyBorder="1"/>
    <xf numFmtId="49" fontId="27" fillId="0" borderId="0" xfId="0" applyNumberFormat="1" applyFont="1"/>
    <xf numFmtId="0" fontId="3" fillId="0" borderId="0" xfId="0" applyFont="1" applyAlignment="1">
      <alignment horizontal="left" vertical="top" wrapText="1"/>
    </xf>
    <xf numFmtId="0" fontId="3" fillId="0" borderId="0" xfId="0" applyFont="1" applyAlignment="1">
      <alignment horizontal="center" wrapText="1"/>
    </xf>
    <xf numFmtId="0" fontId="3" fillId="0" borderId="0" xfId="0" applyFont="1" applyAlignment="1">
      <alignment horizontal="center" wrapText="1"/>
    </xf>
    <xf numFmtId="0" fontId="3" fillId="0" borderId="0" xfId="0" applyFont="1" applyAlignment="1">
      <alignment horizontal="left" vertical="top" wrapText="1"/>
    </xf>
    <xf numFmtId="0" fontId="3" fillId="0" borderId="0" xfId="0" applyFont="1" applyAlignment="1">
      <alignment wrapText="1"/>
    </xf>
    <xf numFmtId="0" fontId="3" fillId="0" borderId="0" xfId="0" applyFont="1" applyAlignment="1">
      <alignment horizontal="center" wrapText="1"/>
    </xf>
    <xf numFmtId="0" fontId="3" fillId="0" borderId="0" xfId="0" applyFont="1" applyAlignment="1">
      <alignment horizontal="left" vertical="top" wrapText="1"/>
    </xf>
    <xf numFmtId="0" fontId="3" fillId="0" borderId="0" xfId="0" applyFont="1" applyAlignment="1">
      <alignment wrapText="1"/>
    </xf>
    <xf numFmtId="0" fontId="5" fillId="0" borderId="1" xfId="0" applyFont="1" applyBorder="1" applyAlignment="1">
      <alignment horizontal="center"/>
    </xf>
    <xf numFmtId="44" fontId="9" fillId="0" borderId="0" xfId="0" applyNumberFormat="1" applyFont="1" applyBorder="1"/>
    <xf numFmtId="0" fontId="3" fillId="0" borderId="0" xfId="0" applyFont="1" applyAlignment="1">
      <alignment horizontal="left" vertical="top" wrapText="1"/>
    </xf>
    <xf numFmtId="0" fontId="22" fillId="0" borderId="0" xfId="11" applyAlignment="1">
      <alignment horizontal="left" vertical="top" wrapText="1"/>
    </xf>
    <xf numFmtId="0" fontId="3" fillId="0" borderId="0" xfId="0" applyFont="1" applyAlignment="1">
      <alignment horizontal="center" wrapText="1"/>
    </xf>
    <xf numFmtId="0" fontId="3" fillId="0" borderId="0" xfId="0" applyFont="1" applyAlignment="1">
      <alignment horizontal="left" vertical="top" wrapText="1"/>
    </xf>
    <xf numFmtId="0" fontId="3" fillId="0" borderId="0" xfId="0" applyFont="1" applyAlignment="1">
      <alignment wrapText="1"/>
    </xf>
    <xf numFmtId="0" fontId="5" fillId="0" borderId="1" xfId="0" applyFont="1" applyBorder="1" applyAlignment="1">
      <alignment horizontal="center"/>
    </xf>
    <xf numFmtId="0" fontId="3" fillId="0" borderId="0" xfId="0" applyFont="1" applyAlignment="1">
      <alignment horizontal="left" vertical="top" wrapText="1"/>
    </xf>
    <xf numFmtId="0" fontId="5" fillId="0" borderId="1" xfId="0" applyFont="1" applyBorder="1" applyAlignment="1">
      <alignment horizontal="center"/>
    </xf>
    <xf numFmtId="0" fontId="22" fillId="0" borderId="0" xfId="11" applyAlignment="1">
      <alignment horizontal="left"/>
    </xf>
    <xf numFmtId="0" fontId="3" fillId="0" borderId="0" xfId="0" applyFont="1" applyAlignment="1">
      <alignment horizontal="left" vertical="top" wrapText="1"/>
    </xf>
    <xf numFmtId="0" fontId="3" fillId="0" borderId="0" xfId="0" applyFont="1" applyAlignment="1">
      <alignment horizontal="left" wrapText="1"/>
    </xf>
    <xf numFmtId="165" fontId="3" fillId="0" borderId="0" xfId="0" applyNumberFormat="1" applyFont="1" applyAlignment="1">
      <alignment horizontal="center"/>
    </xf>
    <xf numFmtId="44" fontId="3" fillId="0" borderId="0" xfId="0" applyNumberFormat="1" applyFont="1" applyBorder="1" applyAlignment="1"/>
    <xf numFmtId="44" fontId="3" fillId="0" borderId="0" xfId="1" applyNumberFormat="1" applyFont="1" applyBorder="1" applyAlignment="1"/>
    <xf numFmtId="44" fontId="3" fillId="0" borderId="3" xfId="0" applyNumberFormat="1" applyFont="1" applyBorder="1" applyAlignment="1"/>
    <xf numFmtId="44" fontId="3" fillId="0" borderId="1" xfId="1" applyNumberFormat="1" applyFont="1" applyBorder="1" applyAlignment="1"/>
    <xf numFmtId="44" fontId="3" fillId="0" borderId="1" xfId="0" applyNumberFormat="1" applyFont="1" applyBorder="1" applyAlignment="1"/>
    <xf numFmtId="0" fontId="3" fillId="0" borderId="0" xfId="0" applyFont="1" applyAlignment="1">
      <alignment wrapText="1"/>
    </xf>
    <xf numFmtId="10" fontId="24" fillId="0" borderId="0" xfId="0" applyNumberFormat="1" applyFont="1" applyAlignment="1"/>
    <xf numFmtId="165" fontId="3" fillId="0" borderId="0" xfId="0" applyNumberFormat="1" applyFont="1" applyAlignment="1"/>
    <xf numFmtId="14" fontId="24" fillId="0" borderId="0" xfId="0" applyNumberFormat="1" applyFont="1"/>
    <xf numFmtId="0" fontId="22" fillId="0" borderId="0" xfId="11" applyAlignment="1">
      <alignment horizontal="left"/>
    </xf>
    <xf numFmtId="0" fontId="3" fillId="0" borderId="0" xfId="0" applyFont="1" applyAlignment="1">
      <alignment horizontal="left" vertical="top" wrapText="1"/>
    </xf>
    <xf numFmtId="0" fontId="3" fillId="0" borderId="0" xfId="0" applyFont="1" applyAlignment="1">
      <alignment wrapText="1"/>
    </xf>
    <xf numFmtId="0" fontId="22" fillId="0" borderId="0" xfId="0" applyFont="1"/>
    <xf numFmtId="0" fontId="22" fillId="0" borderId="0" xfId="11" applyFont="1" applyAlignment="1">
      <alignment horizontal="left"/>
    </xf>
    <xf numFmtId="0" fontId="22" fillId="0" borderId="1" xfId="0" applyFont="1" applyBorder="1"/>
    <xf numFmtId="0" fontId="22" fillId="0" borderId="0" xfId="11" applyAlignment="1"/>
    <xf numFmtId="0" fontId="3" fillId="0" borderId="8" xfId="0" applyFont="1" applyBorder="1" applyAlignment="1">
      <alignment horizontal="center"/>
    </xf>
    <xf numFmtId="0" fontId="22" fillId="0" borderId="0" xfId="0" applyFont="1" applyBorder="1"/>
    <xf numFmtId="0" fontId="22" fillId="0" borderId="0" xfId="11" applyFont="1" applyBorder="1"/>
    <xf numFmtId="0" fontId="22" fillId="0" borderId="0" xfId="11" applyBorder="1"/>
    <xf numFmtId="0" fontId="22" fillId="0" borderId="8" xfId="11" applyBorder="1"/>
    <xf numFmtId="0" fontId="22" fillId="0" borderId="0" xfId="11" applyAlignment="1">
      <alignment horizontal="left"/>
    </xf>
    <xf numFmtId="0" fontId="3" fillId="0" borderId="0" xfId="0" applyFont="1" applyAlignment="1">
      <alignment horizontal="left" vertical="top" wrapText="1"/>
    </xf>
    <xf numFmtId="0" fontId="3" fillId="0" borderId="0" xfId="0" applyFont="1" applyAlignment="1">
      <alignment wrapText="1"/>
    </xf>
    <xf numFmtId="0" fontId="22" fillId="0" borderId="0" xfId="11" applyFont="1" applyAlignment="1">
      <alignment horizontal="left"/>
    </xf>
    <xf numFmtId="0" fontId="13" fillId="0" borderId="0" xfId="0" applyFont="1" applyAlignment="1">
      <alignment horizontal="left" wrapText="1"/>
    </xf>
    <xf numFmtId="4" fontId="3" fillId="0" borderId="0" xfId="0" applyNumberFormat="1" applyFont="1" applyBorder="1"/>
    <xf numFmtId="44" fontId="3" fillId="0" borderId="8" xfId="0" applyNumberFormat="1" applyFont="1" applyBorder="1"/>
    <xf numFmtId="0" fontId="3" fillId="0" borderId="0" xfId="0" applyFont="1" applyAlignment="1">
      <alignment wrapText="1"/>
    </xf>
    <xf numFmtId="165" fontId="24" fillId="0" borderId="0" xfId="0" applyNumberFormat="1" applyFont="1" applyAlignment="1">
      <alignment horizontal="right"/>
    </xf>
    <xf numFmtId="0" fontId="3" fillId="0" borderId="0" xfId="0" applyFont="1" applyAlignment="1">
      <alignment horizontal="left" vertical="top" wrapText="1"/>
    </xf>
    <xf numFmtId="0" fontId="3" fillId="0" borderId="0" xfId="0" applyFont="1" applyAlignment="1">
      <alignment wrapText="1"/>
    </xf>
    <xf numFmtId="4" fontId="3" fillId="0" borderId="0" xfId="0" applyNumberFormat="1" applyFont="1"/>
    <xf numFmtId="0" fontId="3" fillId="0" borderId="0" xfId="0" applyFont="1" applyAlignment="1">
      <alignment horizontal="left" wrapText="1"/>
    </xf>
    <xf numFmtId="0" fontId="3" fillId="0" borderId="0" xfId="0" applyFont="1" applyAlignment="1">
      <alignment horizontal="left" vertical="top" wrapText="1"/>
    </xf>
    <xf numFmtId="40" fontId="3" fillId="0" borderId="0" xfId="0" applyNumberFormat="1" applyFont="1" applyBorder="1"/>
    <xf numFmtId="40" fontId="3" fillId="0" borderId="3" xfId="0" applyNumberFormat="1" applyFont="1" applyBorder="1"/>
    <xf numFmtId="40" fontId="3" fillId="0" borderId="0" xfId="0" applyNumberFormat="1" applyFont="1"/>
    <xf numFmtId="43" fontId="3" fillId="0" borderId="0" xfId="1" applyNumberFormat="1" applyFont="1" applyBorder="1"/>
    <xf numFmtId="0" fontId="22" fillId="0" borderId="0" xfId="11" applyAlignment="1">
      <alignment horizontal="left"/>
    </xf>
    <xf numFmtId="0" fontId="3" fillId="0" borderId="0" xfId="0" applyFont="1" applyAlignment="1">
      <alignment horizontal="left" vertical="top" wrapText="1"/>
    </xf>
    <xf numFmtId="0" fontId="3" fillId="0" borderId="0" xfId="0" applyFont="1" applyAlignment="1">
      <alignment wrapText="1"/>
    </xf>
    <xf numFmtId="0" fontId="5" fillId="0" borderId="1" xfId="0" applyFont="1" applyBorder="1" applyAlignment="1">
      <alignment horizontal="center"/>
    </xf>
    <xf numFmtId="0" fontId="3" fillId="0" borderId="0" xfId="0" applyFont="1" applyAlignment="1">
      <alignment vertical="top" wrapText="1"/>
    </xf>
    <xf numFmtId="0" fontId="22" fillId="0" borderId="0" xfId="11" applyFont="1" applyAlignment="1">
      <alignment horizontal="left"/>
    </xf>
    <xf numFmtId="0" fontId="3" fillId="0" borderId="0" xfId="0" applyFont="1" applyAlignment="1">
      <alignment horizontal="left" vertical="top" wrapText="1"/>
    </xf>
    <xf numFmtId="0" fontId="3" fillId="0" borderId="0" xfId="0" applyFont="1" applyAlignment="1">
      <alignment horizontal="left" wrapText="1"/>
    </xf>
    <xf numFmtId="0" fontId="3" fillId="0" borderId="0" xfId="0" applyFont="1" applyAlignment="1">
      <alignment wrapText="1"/>
    </xf>
    <xf numFmtId="0" fontId="3" fillId="0" borderId="0" xfId="0" applyFont="1" applyAlignment="1">
      <alignment horizontal="left" wrapText="1"/>
    </xf>
    <xf numFmtId="0" fontId="3" fillId="0" borderId="0" xfId="0" applyFont="1" applyAlignment="1">
      <alignment horizontal="left" vertical="top" wrapText="1"/>
    </xf>
    <xf numFmtId="0" fontId="3" fillId="0" borderId="0" xfId="0" applyFont="1" applyAlignment="1">
      <alignment horizontal="left" vertical="top" wrapText="1"/>
    </xf>
    <xf numFmtId="165" fontId="24" fillId="0" borderId="0" xfId="0" applyNumberFormat="1" applyFont="1" applyAlignment="1"/>
    <xf numFmtId="10" fontId="24" fillId="0" borderId="0" xfId="0" applyNumberFormat="1" applyFont="1" applyAlignment="1">
      <alignment horizontal="right"/>
    </xf>
    <xf numFmtId="0" fontId="3" fillId="0" borderId="0" xfId="0" applyFont="1" applyAlignment="1">
      <alignment horizontal="left" vertical="top" wrapText="1"/>
    </xf>
    <xf numFmtId="0" fontId="3" fillId="0" borderId="0" xfId="0" applyFont="1" applyAlignment="1">
      <alignment horizontal="left" wrapText="1"/>
    </xf>
    <xf numFmtId="40" fontId="3" fillId="0" borderId="8" xfId="0" applyNumberFormat="1" applyFont="1" applyBorder="1"/>
    <xf numFmtId="0" fontId="3" fillId="0" borderId="0" xfId="0" applyFont="1" applyAlignment="1">
      <alignment horizontal="left" vertical="top" wrapText="1"/>
    </xf>
    <xf numFmtId="39" fontId="6" fillId="0" borderId="0" xfId="0" applyNumberFormat="1" applyFont="1" applyBorder="1"/>
    <xf numFmtId="0" fontId="3" fillId="0" borderId="0" xfId="0" applyFont="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left" vertical="top" wrapText="1"/>
    </xf>
    <xf numFmtId="0" fontId="3" fillId="0" borderId="0" xfId="0" applyFont="1" applyAlignment="1">
      <alignment wrapText="1"/>
    </xf>
    <xf numFmtId="44" fontId="0" fillId="4" borderId="0" xfId="0" applyNumberFormat="1" applyFill="1"/>
    <xf numFmtId="0" fontId="3" fillId="4" borderId="0" xfId="0" applyFont="1" applyFill="1"/>
    <xf numFmtId="44" fontId="3" fillId="4" borderId="0" xfId="0" applyNumberFormat="1" applyFont="1" applyFill="1"/>
    <xf numFmtId="44" fontId="16" fillId="4" borderId="0" xfId="0" applyNumberFormat="1" applyFont="1" applyFill="1" applyAlignment="1">
      <alignment horizontal="left"/>
    </xf>
    <xf numFmtId="166" fontId="3" fillId="4" borderId="0" xfId="0" applyNumberFormat="1" applyFont="1" applyFill="1"/>
    <xf numFmtId="44" fontId="3" fillId="0" borderId="0" xfId="0" applyNumberFormat="1" applyFont="1" applyFill="1"/>
    <xf numFmtId="0" fontId="3" fillId="0" borderId="0" xfId="0" applyFont="1" applyAlignment="1">
      <alignment horizontal="left" vertical="top" wrapText="1"/>
    </xf>
    <xf numFmtId="0" fontId="3" fillId="0" borderId="0" xfId="0" applyFont="1" applyAlignment="1">
      <alignment wrapText="1"/>
    </xf>
    <xf numFmtId="43" fontId="0" fillId="0" borderId="0" xfId="0" applyNumberFormat="1"/>
    <xf numFmtId="166" fontId="3" fillId="0" borderId="0" xfId="0" applyNumberFormat="1" applyFont="1" applyFill="1"/>
    <xf numFmtId="0" fontId="3" fillId="0" borderId="0" xfId="0" applyFont="1" applyAlignment="1">
      <alignment horizontal="left" vertical="top" wrapText="1"/>
    </xf>
    <xf numFmtId="0" fontId="3" fillId="0" borderId="0" xfId="0" applyFont="1" applyAlignment="1">
      <alignment wrapText="1"/>
    </xf>
    <xf numFmtId="0" fontId="22" fillId="0" borderId="0" xfId="11" applyAlignment="1">
      <alignment horizontal="left"/>
    </xf>
    <xf numFmtId="44" fontId="3" fillId="4" borderId="3" xfId="0" applyNumberFormat="1" applyFont="1" applyFill="1" applyBorder="1"/>
    <xf numFmtId="14" fontId="24" fillId="0" borderId="0" xfId="0" applyNumberFormat="1" applyFont="1" applyAlignment="1">
      <alignment horizontal="center"/>
    </xf>
    <xf numFmtId="0" fontId="3" fillId="0" borderId="0" xfId="0" applyFont="1" applyAlignment="1">
      <alignment wrapText="1"/>
    </xf>
    <xf numFmtId="0" fontId="3" fillId="0" borderId="0" xfId="0" applyFont="1" applyAlignment="1">
      <alignment wrapText="1"/>
    </xf>
    <xf numFmtId="0" fontId="22" fillId="0" borderId="0" xfId="11" applyAlignment="1">
      <alignment horizontal="left"/>
    </xf>
    <xf numFmtId="0" fontId="5" fillId="0" borderId="0" xfId="0" applyFont="1" applyBorder="1" applyAlignment="1">
      <alignment horizontal="center" wrapText="1"/>
    </xf>
    <xf numFmtId="0" fontId="3" fillId="0" borderId="0" xfId="0" applyFont="1" applyBorder="1" applyAlignment="1">
      <alignment horizontal="center" wrapText="1"/>
    </xf>
    <xf numFmtId="167" fontId="6" fillId="0" borderId="0" xfId="0" applyNumberFormat="1" applyFont="1" applyBorder="1" applyAlignment="1">
      <alignment horizontal="center"/>
    </xf>
    <xf numFmtId="0" fontId="6" fillId="0" borderId="15" xfId="0" quotePrefix="1" applyFont="1" applyFill="1" applyBorder="1" applyAlignment="1">
      <alignment horizontal="left" wrapText="1"/>
    </xf>
    <xf numFmtId="0" fontId="6" fillId="0" borderId="0" xfId="0" quotePrefix="1" applyFont="1" applyFill="1" applyBorder="1" applyAlignment="1">
      <alignment horizontal="left"/>
    </xf>
    <xf numFmtId="167" fontId="6" fillId="0" borderId="15" xfId="0" applyNumberFormat="1" applyFont="1" applyBorder="1" applyAlignment="1">
      <alignment horizontal="center"/>
    </xf>
    <xf numFmtId="44" fontId="0" fillId="0" borderId="0" xfId="0" applyNumberFormat="1"/>
    <xf numFmtId="0" fontId="3" fillId="0" borderId="0" xfId="0" applyFont="1" applyAlignment="1">
      <alignment wrapText="1"/>
    </xf>
    <xf numFmtId="0" fontId="6" fillId="0" borderId="0" xfId="0" quotePrefix="1" applyFont="1" applyFill="1" applyBorder="1" applyAlignment="1">
      <alignment horizontal="left" wrapText="1"/>
    </xf>
    <xf numFmtId="0" fontId="3" fillId="0" borderId="2" xfId="0" applyFont="1" applyBorder="1" applyAlignment="1">
      <alignment horizontal="center" wrapText="1"/>
    </xf>
    <xf numFmtId="0" fontId="22" fillId="0" borderId="0" xfId="11" applyAlignment="1">
      <alignment horizontal="left"/>
    </xf>
    <xf numFmtId="0" fontId="11" fillId="0" borderId="1" xfId="0" applyFont="1" applyBorder="1" applyAlignment="1">
      <alignment horizontal="center"/>
    </xf>
    <xf numFmtId="0" fontId="12" fillId="0" borderId="0" xfId="0" applyFont="1" applyAlignment="1">
      <alignment horizontal="center"/>
    </xf>
    <xf numFmtId="0" fontId="3" fillId="0" borderId="0" xfId="0" applyFont="1" applyBorder="1" applyAlignment="1">
      <alignment horizontal="left" vertical="top" wrapText="1"/>
    </xf>
    <xf numFmtId="0" fontId="0" fillId="0" borderId="0" xfId="0" applyAlignment="1">
      <alignment horizontal="left" vertical="top" wrapText="1"/>
    </xf>
    <xf numFmtId="0" fontId="3" fillId="0" borderId="0" xfId="0" applyFont="1" applyAlignment="1">
      <alignment horizontal="left" vertical="top" wrapText="1"/>
    </xf>
    <xf numFmtId="0" fontId="3" fillId="0" borderId="0" xfId="0" applyFont="1" applyAlignment="1">
      <alignment wrapText="1"/>
    </xf>
    <xf numFmtId="0" fontId="5" fillId="0" borderId="1" xfId="0" applyFont="1" applyBorder="1" applyAlignment="1">
      <alignment horizontal="center"/>
    </xf>
    <xf numFmtId="0" fontId="3" fillId="0" borderId="0" xfId="0" applyFont="1" applyAlignment="1">
      <alignment horizontal="left" wrapText="1"/>
    </xf>
    <xf numFmtId="44" fontId="3" fillId="0" borderId="8" xfId="1" applyFont="1" applyFill="1" applyBorder="1" applyAlignment="1">
      <alignment horizontal="left"/>
    </xf>
    <xf numFmtId="0" fontId="3" fillId="0" borderId="0" xfId="0" applyFont="1" applyAlignment="1">
      <alignment vertical="top" wrapText="1"/>
    </xf>
    <xf numFmtId="0" fontId="22" fillId="0" borderId="0" xfId="11" applyAlignment="1">
      <alignment horizontal="left" vertical="top" wrapText="1"/>
    </xf>
    <xf numFmtId="0" fontId="22" fillId="0" borderId="0" xfId="11" applyFont="1" applyAlignment="1">
      <alignment horizontal="left"/>
    </xf>
    <xf numFmtId="0" fontId="3" fillId="0" borderId="8" xfId="0" applyFont="1" applyBorder="1" applyAlignment="1">
      <alignment horizontal="left"/>
    </xf>
  </cellXfs>
  <cellStyles count="13">
    <cellStyle name="Comma" xfId="12" builtinId="3"/>
    <cellStyle name="Comma 2" xfId="3"/>
    <cellStyle name="Comma 2 2" xfId="7"/>
    <cellStyle name="Currency" xfId="1" builtinId="4"/>
    <cellStyle name="Currency 2" xfId="4"/>
    <cellStyle name="Currency 2 2" xfId="8"/>
    <cellStyle name="Hyperlink" xfId="11" builtinId="8"/>
    <cellStyle name="n_nvision1" xfId="5"/>
    <cellStyle name="n_nvision1 2" xfId="9"/>
    <cellStyle name="Normal" xfId="0" builtinId="0"/>
    <cellStyle name="Normal 2" xfId="2"/>
    <cellStyle name="Percent 2" xfId="6"/>
    <cellStyle name="Percent 2 2"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2.ed.gov/policy/fund/guid/uniform-guidance/index.html"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2.ed.gov/policy/fund/guid/uniform-guidance/index.html"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2.ed.gov/policy/fund/guid/uniform-guidance/index.html"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www2.ed.gov/policy/fund/guid/uniform-guidance/index.html"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www2.ed.gov/policy/fund/guid/uniform-guidance/index.html"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2.ed.gov/policy/fund/guid/uniform-guidance/index.html"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s://www2.ed.gov/policy/fund/guid/uniform-guidance/index.html"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www2.ed.gov/policy/fund/guid/uniform-guidance/index.html"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s://www2.ed.gov/policy/fund/guid/uniform-guidance/index.html" TargetMode="Externa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s://www2.ed.gov/policy/fund/guid/uniform-guidance/index.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2.ed.gov/policy/fund/guid/uniform-guidance/index.html" TargetMode="Externa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s://www2.ed.gov/policy/fund/guid/uniform-guidance/index.html" TargetMode="External"/></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s://www2.ed.gov/policy/fund/guid/uniform-guidance/index.html" TargetMode="External"/></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https://www2.ed.gov/policy/fund/guid/uniform-guidance/index.html" TargetMode="External"/></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hyperlink" Target="https://www2.ed.gov/policy/fund/guid/uniform-guidance/index.html" TargetMode="External"/></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hyperlink" Target="https://www2.ed.gov/policy/fund/guid/uniform-guidance/index.html" TargetMode="External"/></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https://www2.ed.gov/policy/fund/guid/uniform-guidance/index.html" TargetMode="External"/></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hyperlink" Target="https://www2.ed.gov/policy/fund/guid/uniform-guidance/index.html" TargetMode="External"/></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hyperlink" Target="https://www2.ed.gov/policy/fund/guid/uniform-guidance/index.html" TargetMode="External"/></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hyperlink" Target="https://www2.ed.gov/policy/fund/guid/uniform-guidance/index.html" TargetMode="External"/></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hyperlink" Target="https://www2.ed.gov/policy/fund/guid/uniform-guidance/index.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2.ed.gov/policy/fund/guid/uniform-guidance/index.html" TargetMode="External"/></Relationships>
</file>

<file path=xl/worksheets/_rels/sheet30.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hyperlink" Target="https://www2.ed.gov/policy/fund/guid/uniform-guidance/index.html" TargetMode="External"/></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hyperlink" Target="https://www2.ed.gov/policy/fund/guid/uniform-guidance/index.html" TargetMode="External"/></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s://www2.ed.gov/policy/fund/guid/uniform-guidance/index.html" TargetMode="External"/></Relationships>
</file>

<file path=xl/worksheets/_rels/sheet33.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hyperlink" Target="https://www2.ed.gov/policy/fund/guid/uniform-guidance/index.html" TargetMode="External"/></Relationships>
</file>

<file path=xl/worksheets/_rels/sheet34.xml.rels><?xml version="1.0" encoding="UTF-8" standalone="yes"?>
<Relationships xmlns="http://schemas.openxmlformats.org/package/2006/relationships"><Relationship Id="rId2" Type="http://schemas.openxmlformats.org/officeDocument/2006/relationships/printerSettings" Target="../printerSettings/printerSettings33.bin"/><Relationship Id="rId1" Type="http://schemas.openxmlformats.org/officeDocument/2006/relationships/hyperlink" Target="https://www2.ed.gov/policy/fund/guid/uniform-guidance/index.html" TargetMode="External"/></Relationships>
</file>

<file path=xl/worksheets/_rels/sheet35.xml.rels><?xml version="1.0" encoding="UTF-8" standalone="yes"?>
<Relationships xmlns="http://schemas.openxmlformats.org/package/2006/relationships"><Relationship Id="rId2" Type="http://schemas.openxmlformats.org/officeDocument/2006/relationships/printerSettings" Target="../printerSettings/printerSettings34.bin"/><Relationship Id="rId1" Type="http://schemas.openxmlformats.org/officeDocument/2006/relationships/hyperlink" Target="https://www2.ed.gov/policy/fund/guid/uniform-guidance/index.html" TargetMode="External"/></Relationships>
</file>

<file path=xl/worksheets/_rels/sheet36.xml.rels><?xml version="1.0" encoding="UTF-8" standalone="yes"?>
<Relationships xmlns="http://schemas.openxmlformats.org/package/2006/relationships"><Relationship Id="rId2" Type="http://schemas.openxmlformats.org/officeDocument/2006/relationships/printerSettings" Target="../printerSettings/printerSettings35.bin"/><Relationship Id="rId1" Type="http://schemas.openxmlformats.org/officeDocument/2006/relationships/hyperlink" Target="https://www2.ed.gov/policy/fund/guid/uniform-guidance/index.html" TargetMode="External"/></Relationships>
</file>

<file path=xl/worksheets/_rels/sheet37.xml.rels><?xml version="1.0" encoding="UTF-8" standalone="yes"?>
<Relationships xmlns="http://schemas.openxmlformats.org/package/2006/relationships"><Relationship Id="rId2" Type="http://schemas.openxmlformats.org/officeDocument/2006/relationships/printerSettings" Target="../printerSettings/printerSettings36.bin"/><Relationship Id="rId1" Type="http://schemas.openxmlformats.org/officeDocument/2006/relationships/hyperlink" Target="https://www2.ed.gov/policy/fund/guid/uniform-guidance/index.html" TargetMode="External"/></Relationships>
</file>

<file path=xl/worksheets/_rels/sheet38.xml.rels><?xml version="1.0" encoding="UTF-8" standalone="yes"?>
<Relationships xmlns="http://schemas.openxmlformats.org/package/2006/relationships"><Relationship Id="rId2" Type="http://schemas.openxmlformats.org/officeDocument/2006/relationships/printerSettings" Target="../printerSettings/printerSettings37.bin"/><Relationship Id="rId1" Type="http://schemas.openxmlformats.org/officeDocument/2006/relationships/hyperlink" Target="https://www2.ed.gov/policy/fund/guid/uniform-guidance/index.html" TargetMode="External"/></Relationships>
</file>

<file path=xl/worksheets/_rels/sheet39.xml.rels><?xml version="1.0" encoding="UTF-8" standalone="yes"?>
<Relationships xmlns="http://schemas.openxmlformats.org/package/2006/relationships"><Relationship Id="rId2" Type="http://schemas.openxmlformats.org/officeDocument/2006/relationships/printerSettings" Target="../printerSettings/printerSettings38.bin"/><Relationship Id="rId1" Type="http://schemas.openxmlformats.org/officeDocument/2006/relationships/hyperlink" Target="https://www2.ed.gov/policy/fund/guid/uniform-guidance/index.html"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palmbeachschools.net/accounting/wp-content/uploads/sites/40/2018/11/00-FY-2019-FDOE-IC-Rate-Ltr-2018-04-11.pdf" TargetMode="External"/><Relationship Id="rId1" Type="http://schemas.openxmlformats.org/officeDocument/2006/relationships/hyperlink" Target="https://www2.ed.gov/policy/fund/guid/uniform-guidance/index.html" TargetMode="External"/></Relationships>
</file>

<file path=xl/worksheets/_rels/sheet40.xml.rels><?xml version="1.0" encoding="UTF-8" standalone="yes"?>
<Relationships xmlns="http://schemas.openxmlformats.org/package/2006/relationships"><Relationship Id="rId2" Type="http://schemas.openxmlformats.org/officeDocument/2006/relationships/printerSettings" Target="../printerSettings/printerSettings39.bin"/><Relationship Id="rId1" Type="http://schemas.openxmlformats.org/officeDocument/2006/relationships/hyperlink" Target="https://www2.ed.gov/policy/fund/guid/uniform-guidance/index.html" TargetMode="External"/></Relationships>
</file>

<file path=xl/worksheets/_rels/sheet41.xml.rels><?xml version="1.0" encoding="UTF-8" standalone="yes"?>
<Relationships xmlns="http://schemas.openxmlformats.org/package/2006/relationships"><Relationship Id="rId2" Type="http://schemas.openxmlformats.org/officeDocument/2006/relationships/printerSettings" Target="../printerSettings/printerSettings40.bin"/><Relationship Id="rId1" Type="http://schemas.openxmlformats.org/officeDocument/2006/relationships/hyperlink" Target="https://www2.ed.gov/policy/fund/guid/uniform-guidance/index.html" TargetMode="External"/></Relationships>
</file>

<file path=xl/worksheets/_rels/sheet42.xml.rels><?xml version="1.0" encoding="UTF-8" standalone="yes"?>
<Relationships xmlns="http://schemas.openxmlformats.org/package/2006/relationships"><Relationship Id="rId2" Type="http://schemas.openxmlformats.org/officeDocument/2006/relationships/printerSettings" Target="../printerSettings/printerSettings41.bin"/><Relationship Id="rId1" Type="http://schemas.openxmlformats.org/officeDocument/2006/relationships/hyperlink" Target="https://www2.ed.gov/policy/fund/guid/uniform-guidance/index.html" TargetMode="External"/></Relationships>
</file>

<file path=xl/worksheets/_rels/sheet43.xml.rels><?xml version="1.0" encoding="UTF-8" standalone="yes"?>
<Relationships xmlns="http://schemas.openxmlformats.org/package/2006/relationships"><Relationship Id="rId2" Type="http://schemas.openxmlformats.org/officeDocument/2006/relationships/printerSettings" Target="../printerSettings/printerSettings42.bin"/><Relationship Id="rId1" Type="http://schemas.openxmlformats.org/officeDocument/2006/relationships/hyperlink" Target="https://www2.ed.gov/policy/fund/guid/uniform-guidance/index.html" TargetMode="External"/></Relationships>
</file>

<file path=xl/worksheets/_rels/sheet44.xml.rels><?xml version="1.0" encoding="UTF-8" standalone="yes"?>
<Relationships xmlns="http://schemas.openxmlformats.org/package/2006/relationships"><Relationship Id="rId2" Type="http://schemas.openxmlformats.org/officeDocument/2006/relationships/printerSettings" Target="../printerSettings/printerSettings43.bin"/><Relationship Id="rId1" Type="http://schemas.openxmlformats.org/officeDocument/2006/relationships/hyperlink" Target="https://www2.ed.gov/policy/fund/guid/uniform-guidance/index.html" TargetMode="External"/></Relationships>
</file>

<file path=xl/worksheets/_rels/sheet45.xml.rels><?xml version="1.0" encoding="UTF-8" standalone="yes"?>
<Relationships xmlns="http://schemas.openxmlformats.org/package/2006/relationships"><Relationship Id="rId2" Type="http://schemas.openxmlformats.org/officeDocument/2006/relationships/printerSettings" Target="../printerSettings/printerSettings44.bin"/><Relationship Id="rId1" Type="http://schemas.openxmlformats.org/officeDocument/2006/relationships/hyperlink" Target="https://www2.ed.gov/policy/fund/guid/uniform-guidance/index.html" TargetMode="External"/></Relationships>
</file>

<file path=xl/worksheets/_rels/sheet46.xml.rels><?xml version="1.0" encoding="UTF-8" standalone="yes"?>
<Relationships xmlns="http://schemas.openxmlformats.org/package/2006/relationships"><Relationship Id="rId2" Type="http://schemas.openxmlformats.org/officeDocument/2006/relationships/printerSettings" Target="../printerSettings/printerSettings45.bin"/><Relationship Id="rId1" Type="http://schemas.openxmlformats.org/officeDocument/2006/relationships/hyperlink" Target="https://www2.ed.gov/policy/fund/guid/uniform-guidance/index.html" TargetMode="External"/></Relationships>
</file>

<file path=xl/worksheets/_rels/sheet47.xml.rels><?xml version="1.0" encoding="UTF-8" standalone="yes"?>
<Relationships xmlns="http://schemas.openxmlformats.org/package/2006/relationships"><Relationship Id="rId2" Type="http://schemas.openxmlformats.org/officeDocument/2006/relationships/printerSettings" Target="../printerSettings/printerSettings46.bin"/><Relationship Id="rId1" Type="http://schemas.openxmlformats.org/officeDocument/2006/relationships/hyperlink" Target="https://www2.ed.gov/policy/fund/guid/uniform-guidance/index.html" TargetMode="External"/></Relationships>
</file>

<file path=xl/worksheets/_rels/sheet48.xml.rels><?xml version="1.0" encoding="UTF-8" standalone="yes"?>
<Relationships xmlns="http://schemas.openxmlformats.org/package/2006/relationships"><Relationship Id="rId2" Type="http://schemas.openxmlformats.org/officeDocument/2006/relationships/printerSettings" Target="../printerSettings/printerSettings47.bin"/><Relationship Id="rId1" Type="http://schemas.openxmlformats.org/officeDocument/2006/relationships/hyperlink" Target="https://www2.ed.gov/policy/fund/guid/uniform-guidance/index.html" TargetMode="External"/></Relationships>
</file>

<file path=xl/worksheets/_rels/sheet49.xml.rels><?xml version="1.0" encoding="UTF-8" standalone="yes"?>
<Relationships xmlns="http://schemas.openxmlformats.org/package/2006/relationships"><Relationship Id="rId2" Type="http://schemas.openxmlformats.org/officeDocument/2006/relationships/printerSettings" Target="../printerSettings/printerSettings48.bin"/><Relationship Id="rId1" Type="http://schemas.openxmlformats.org/officeDocument/2006/relationships/hyperlink" Target="https://www2.ed.gov/policy/fund/guid/uniform-guidance/index.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2.ed.gov/policy/fund/guid/uniform-guidance/index.html" TargetMode="External"/></Relationships>
</file>

<file path=xl/worksheets/_rels/sheet50.xml.rels><?xml version="1.0" encoding="UTF-8" standalone="yes"?>
<Relationships xmlns="http://schemas.openxmlformats.org/package/2006/relationships"><Relationship Id="rId2" Type="http://schemas.openxmlformats.org/officeDocument/2006/relationships/printerSettings" Target="../printerSettings/printerSettings49.bin"/><Relationship Id="rId1" Type="http://schemas.openxmlformats.org/officeDocument/2006/relationships/hyperlink" Target="https://www2.ed.gov/policy/fund/guid/uniform-guidance/index.html" TargetMode="External"/></Relationships>
</file>

<file path=xl/worksheets/_rels/sheet51.xml.rels><?xml version="1.0" encoding="UTF-8" standalone="yes"?>
<Relationships xmlns="http://schemas.openxmlformats.org/package/2006/relationships"><Relationship Id="rId2" Type="http://schemas.openxmlformats.org/officeDocument/2006/relationships/printerSettings" Target="../printerSettings/printerSettings50.bin"/><Relationship Id="rId1" Type="http://schemas.openxmlformats.org/officeDocument/2006/relationships/hyperlink" Target="https://www2.ed.gov/policy/fund/guid/uniform-guidance/index.html" TargetMode="External"/></Relationships>
</file>

<file path=xl/worksheets/_rels/sheet52.xml.rels><?xml version="1.0" encoding="UTF-8" standalone="yes"?>
<Relationships xmlns="http://schemas.openxmlformats.org/package/2006/relationships"><Relationship Id="rId2" Type="http://schemas.openxmlformats.org/officeDocument/2006/relationships/printerSettings" Target="../printerSettings/printerSettings51.bin"/><Relationship Id="rId1" Type="http://schemas.openxmlformats.org/officeDocument/2006/relationships/hyperlink" Target="https://www2.ed.gov/policy/fund/guid/uniform-guidance/index.html" TargetMode="External"/></Relationships>
</file>

<file path=xl/worksheets/_rels/sheet53.xml.rels><?xml version="1.0" encoding="UTF-8" standalone="yes"?>
<Relationships xmlns="http://schemas.openxmlformats.org/package/2006/relationships"><Relationship Id="rId2" Type="http://schemas.openxmlformats.org/officeDocument/2006/relationships/printerSettings" Target="../printerSettings/printerSettings52.bin"/><Relationship Id="rId1" Type="http://schemas.openxmlformats.org/officeDocument/2006/relationships/hyperlink" Target="https://www2.ed.gov/policy/fund/guid/uniform-guidance/index.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2.ed.gov/policy/fund/guid/uniform-guidance/index.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2.ed.gov/policy/fund/guid/uniform-guidance/index.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2.ed.gov/policy/fund/guid/uniform-guidance/index.html"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2.ed.gov/policy/fund/guid/uniform-guidance/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1"/>
  <sheetViews>
    <sheetView workbookViewId="0">
      <selection activeCell="B7" sqref="B7"/>
    </sheetView>
  </sheetViews>
  <sheetFormatPr defaultRowHeight="15" x14ac:dyDescent="0.25"/>
  <cols>
    <col min="2" max="2" width="17.7109375" customWidth="1"/>
    <col min="4" max="4" width="13.42578125" customWidth="1"/>
  </cols>
  <sheetData>
    <row r="2" spans="2:4" ht="15.75" thickBot="1" x14ac:dyDescent="0.3"/>
    <row r="3" spans="2:4" x14ac:dyDescent="0.25">
      <c r="B3" s="89" t="s">
        <v>23</v>
      </c>
    </row>
    <row r="4" spans="2:4" x14ac:dyDescent="0.25">
      <c r="B4" s="90" t="s">
        <v>30</v>
      </c>
    </row>
    <row r="5" spans="2:4" ht="15.75" thickBot="1" x14ac:dyDescent="0.3">
      <c r="B5" s="98"/>
    </row>
    <row r="7" spans="2:4" x14ac:dyDescent="0.25">
      <c r="B7" s="308">
        <f>SUM('#0664 Academy Positive Learning:#4111 SLAM Academy High School'!S55)</f>
        <v>18351104.43</v>
      </c>
    </row>
    <row r="9" spans="2:4" x14ac:dyDescent="0.25">
      <c r="B9" s="332"/>
    </row>
    <row r="11" spans="2:4" x14ac:dyDescent="0.25">
      <c r="B11" s="316"/>
      <c r="D11" s="332"/>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4"/>
  <sheetViews>
    <sheetView topLeftCell="C5" zoomScale="90" zoomScaleNormal="90" workbookViewId="0">
      <selection activeCell="Q18" sqref="Q18"/>
    </sheetView>
  </sheetViews>
  <sheetFormatPr defaultColWidth="9.140625" defaultRowHeight="15" x14ac:dyDescent="0.25"/>
  <cols>
    <col min="1" max="1" width="9.140625" style="2" hidden="1" customWidth="1"/>
    <col min="2" max="2" width="62.7109375" style="2" customWidth="1"/>
    <col min="3" max="3" width="26.42578125" style="2" customWidth="1"/>
    <col min="4" max="4" width="13.7109375" style="2" customWidth="1"/>
    <col min="5" max="5" width="18.140625" style="2" customWidth="1"/>
    <col min="6" max="6" width="21.28515625" style="2" customWidth="1"/>
    <col min="7" max="7" width="8.5703125" style="2" customWidth="1"/>
    <col min="8" max="8" width="13.28515625" style="2" customWidth="1"/>
    <col min="9" max="9" width="13.5703125" style="2" customWidth="1"/>
    <col min="10" max="10" width="15.28515625" style="2" customWidth="1"/>
    <col min="11" max="11" width="8" style="2" customWidth="1"/>
    <col min="12" max="12" width="18.285156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6.7109375" style="2" customWidth="1"/>
    <col min="20" max="16384" width="9.140625" style="2"/>
  </cols>
  <sheetData>
    <row r="1" spans="1:20" ht="15.6" customHeight="1" x14ac:dyDescent="0.25">
      <c r="B1" s="1" t="s">
        <v>47</v>
      </c>
      <c r="Q1" s="338" t="s">
        <v>296</v>
      </c>
      <c r="R1" s="338"/>
      <c r="S1" s="338"/>
    </row>
    <row r="2" spans="1:20" x14ac:dyDescent="0.25">
      <c r="B2" s="88" t="s">
        <v>148</v>
      </c>
      <c r="C2" s="182">
        <v>44742</v>
      </c>
      <c r="M2" s="71"/>
      <c r="N2" s="71"/>
      <c r="P2" s="29"/>
      <c r="Q2" s="337" t="s">
        <v>375</v>
      </c>
      <c r="R2" s="337"/>
      <c r="S2" s="337"/>
    </row>
    <row r="3" spans="1:20" ht="15.75" thickBot="1" x14ac:dyDescent="0.3">
      <c r="A3" s="2" t="s">
        <v>16</v>
      </c>
      <c r="B3" s="44" t="s">
        <v>77</v>
      </c>
      <c r="C3" s="8"/>
      <c r="D3" s="8"/>
      <c r="E3" s="8"/>
      <c r="P3" s="29"/>
      <c r="Q3" s="45"/>
      <c r="R3" s="30"/>
    </row>
    <row r="4" spans="1:20" x14ac:dyDescent="0.25">
      <c r="B4" s="8" t="s">
        <v>174</v>
      </c>
      <c r="M4" s="85" t="s">
        <v>28</v>
      </c>
      <c r="N4" s="85" t="s">
        <v>28</v>
      </c>
      <c r="O4" s="85" t="s">
        <v>28</v>
      </c>
      <c r="P4" s="9"/>
      <c r="Q4" s="89" t="s">
        <v>29</v>
      </c>
      <c r="R4" s="89" t="s">
        <v>31</v>
      </c>
      <c r="S4" s="89" t="s">
        <v>23</v>
      </c>
      <c r="T4" s="7"/>
    </row>
    <row r="5" spans="1:20" ht="15.75" thickBot="1" x14ac:dyDescent="0.3">
      <c r="G5" s="183" t="s">
        <v>295</v>
      </c>
      <c r="H5" s="183" t="s">
        <v>295</v>
      </c>
      <c r="M5" s="86" t="s">
        <v>27</v>
      </c>
      <c r="N5" s="86" t="s">
        <v>26</v>
      </c>
      <c r="O5" s="86" t="s">
        <v>25</v>
      </c>
      <c r="P5" s="9"/>
      <c r="Q5" s="90" t="s">
        <v>30</v>
      </c>
      <c r="R5" s="90" t="s">
        <v>30</v>
      </c>
      <c r="S5" s="90" t="s">
        <v>30</v>
      </c>
      <c r="T5" s="7"/>
    </row>
    <row r="6" spans="1:20" ht="116.25" customHeight="1" thickBot="1" x14ac:dyDescent="0.3">
      <c r="B6" s="84" t="s">
        <v>1</v>
      </c>
      <c r="C6" s="84" t="s">
        <v>389</v>
      </c>
      <c r="D6" s="84" t="s">
        <v>107</v>
      </c>
      <c r="E6" s="84" t="s">
        <v>3</v>
      </c>
      <c r="F6" s="84" t="s">
        <v>4</v>
      </c>
      <c r="G6" s="107" t="s">
        <v>136</v>
      </c>
      <c r="H6" s="107" t="s">
        <v>137</v>
      </c>
      <c r="I6" s="107" t="s">
        <v>133</v>
      </c>
      <c r="J6" s="107" t="s">
        <v>134</v>
      </c>
      <c r="K6" s="107" t="s">
        <v>121</v>
      </c>
      <c r="L6" s="83" t="s">
        <v>5</v>
      </c>
      <c r="M6" s="87" t="s">
        <v>6</v>
      </c>
      <c r="N6" s="87" t="s">
        <v>6</v>
      </c>
      <c r="O6" s="87" t="s">
        <v>6</v>
      </c>
      <c r="P6" s="9"/>
      <c r="Q6" s="91"/>
      <c r="R6" s="97" t="s">
        <v>32</v>
      </c>
      <c r="S6" s="98" t="s">
        <v>33</v>
      </c>
    </row>
    <row r="7" spans="1:20" ht="20.45" hidden="1" customHeight="1" x14ac:dyDescent="0.25">
      <c r="B7" s="2" t="s">
        <v>138</v>
      </c>
      <c r="C7" s="110" t="s">
        <v>184</v>
      </c>
      <c r="D7" s="92" t="s">
        <v>173</v>
      </c>
      <c r="E7" s="2" t="s">
        <v>217</v>
      </c>
      <c r="F7" s="2" t="s">
        <v>7</v>
      </c>
      <c r="G7" s="186">
        <v>2.9600000000000001E-2</v>
      </c>
      <c r="H7" s="186">
        <v>0.1744</v>
      </c>
      <c r="I7" s="187">
        <v>44377</v>
      </c>
      <c r="J7" s="187">
        <v>44378</v>
      </c>
      <c r="K7" s="187">
        <v>44013</v>
      </c>
      <c r="L7" s="188" t="s">
        <v>219</v>
      </c>
      <c r="M7" s="70"/>
      <c r="N7" s="70"/>
      <c r="O7" s="67">
        <f>+M7+N7</f>
        <v>0</v>
      </c>
      <c r="P7" s="42"/>
      <c r="Q7" s="43"/>
      <c r="R7" s="67"/>
      <c r="S7" s="68">
        <f>+Q7+R7</f>
        <v>0</v>
      </c>
    </row>
    <row r="8" spans="1:20" ht="33" customHeight="1" x14ac:dyDescent="0.25">
      <c r="B8" s="2" t="s">
        <v>312</v>
      </c>
      <c r="C8" s="110" t="s">
        <v>188</v>
      </c>
      <c r="D8" s="92" t="s">
        <v>311</v>
      </c>
      <c r="E8" s="2" t="s">
        <v>313</v>
      </c>
      <c r="F8" s="2" t="s">
        <v>7</v>
      </c>
      <c r="G8" s="186">
        <v>2.63E-2</v>
      </c>
      <c r="H8" s="186">
        <v>0.1845</v>
      </c>
      <c r="I8" s="187">
        <v>44742</v>
      </c>
      <c r="J8" s="187">
        <v>44743</v>
      </c>
      <c r="K8" s="187">
        <v>44378</v>
      </c>
      <c r="L8" s="188" t="s">
        <v>297</v>
      </c>
      <c r="M8" s="70">
        <v>7000</v>
      </c>
      <c r="N8" s="70"/>
      <c r="O8" s="67">
        <f>M8+N8</f>
        <v>7000</v>
      </c>
      <c r="P8" s="42"/>
      <c r="Q8" s="43">
        <v>6766.7</v>
      </c>
      <c r="R8" s="67"/>
      <c r="S8" s="68">
        <f t="shared" ref="S8:S13" si="0">Q8+R8</f>
        <v>6766.7</v>
      </c>
    </row>
    <row r="9" spans="1:20" ht="27" customHeight="1" x14ac:dyDescent="0.25">
      <c r="B9" s="2" t="s">
        <v>257</v>
      </c>
      <c r="C9" s="236" t="s">
        <v>260</v>
      </c>
      <c r="D9" s="93" t="s">
        <v>258</v>
      </c>
      <c r="E9" s="2" t="s">
        <v>259</v>
      </c>
      <c r="F9" s="2" t="s">
        <v>7</v>
      </c>
      <c r="G9" s="186">
        <v>2.63E-2</v>
      </c>
      <c r="H9" s="186">
        <v>0.1845</v>
      </c>
      <c r="I9" s="187">
        <v>44439</v>
      </c>
      <c r="J9" s="187">
        <v>44454</v>
      </c>
      <c r="K9" s="187">
        <v>44013</v>
      </c>
      <c r="L9" s="188" t="s">
        <v>290</v>
      </c>
      <c r="M9" s="79">
        <v>10424.34</v>
      </c>
      <c r="N9" s="67">
        <v>538.88</v>
      </c>
      <c r="O9" s="67">
        <f t="shared" ref="O9" si="1">M9+N9</f>
        <v>10963.22</v>
      </c>
      <c r="P9" s="67"/>
      <c r="Q9" s="67">
        <v>10963.22</v>
      </c>
      <c r="R9" s="67"/>
      <c r="S9" s="68">
        <f>Q9+R9</f>
        <v>10963.22</v>
      </c>
    </row>
    <row r="10" spans="1:20" ht="30" x14ac:dyDescent="0.25">
      <c r="B10" s="2" t="s">
        <v>128</v>
      </c>
      <c r="C10" s="226" t="s">
        <v>122</v>
      </c>
      <c r="D10" s="93" t="s">
        <v>310</v>
      </c>
      <c r="E10" s="2" t="s">
        <v>309</v>
      </c>
      <c r="F10" s="2" t="s">
        <v>7</v>
      </c>
      <c r="G10" s="186">
        <v>2.63E-2</v>
      </c>
      <c r="H10" s="186">
        <v>0.1845</v>
      </c>
      <c r="I10" s="187">
        <f>I8</f>
        <v>44742</v>
      </c>
      <c r="J10" s="187">
        <f>J8</f>
        <v>44743</v>
      </c>
      <c r="K10" s="187">
        <f>K8</f>
        <v>44378</v>
      </c>
      <c r="L10" s="188" t="str">
        <f>L8</f>
        <v>07/01/21 - 06/30/22</v>
      </c>
      <c r="M10" s="70">
        <v>11147.5</v>
      </c>
      <c r="N10" s="70">
        <v>8284.7800000000007</v>
      </c>
      <c r="O10" s="67">
        <f>M10+N10</f>
        <v>19432.28</v>
      </c>
      <c r="P10" s="42"/>
      <c r="Q10" s="43">
        <f>11147.5+8284.78</f>
        <v>19432.28</v>
      </c>
      <c r="R10" s="67">
        <v>0</v>
      </c>
      <c r="S10" s="68">
        <f t="shared" si="0"/>
        <v>19432.28</v>
      </c>
    </row>
    <row r="11" spans="1:20" ht="25.5" customHeight="1" x14ac:dyDescent="0.25">
      <c r="B11" s="330" t="s">
        <v>371</v>
      </c>
      <c r="C11" s="236" t="s">
        <v>373</v>
      </c>
      <c r="D11" s="331" t="s">
        <v>372</v>
      </c>
      <c r="E11" s="29" t="s">
        <v>374</v>
      </c>
      <c r="F11" s="2" t="s">
        <v>7</v>
      </c>
      <c r="G11" s="186">
        <v>2.63E-2</v>
      </c>
      <c r="H11" s="186">
        <v>0.1845</v>
      </c>
      <c r="I11" s="187">
        <v>45199</v>
      </c>
      <c r="J11" s="187">
        <v>45214</v>
      </c>
      <c r="K11" s="187">
        <v>44378</v>
      </c>
      <c r="L11" s="188" t="s">
        <v>325</v>
      </c>
      <c r="M11" s="70">
        <v>5817.16</v>
      </c>
      <c r="N11" s="70"/>
      <c r="O11" s="67">
        <f>M11+N11</f>
        <v>5817.16</v>
      </c>
      <c r="P11" s="42"/>
      <c r="Q11" s="43">
        <v>5817.16</v>
      </c>
      <c r="R11" s="67"/>
      <c r="S11" s="68">
        <f t="shared" si="0"/>
        <v>5817.16</v>
      </c>
    </row>
    <row r="12" spans="1:20" ht="30.75" customHeight="1" x14ac:dyDescent="0.25">
      <c r="B12" s="2" t="s">
        <v>223</v>
      </c>
      <c r="C12" s="236" t="s">
        <v>333</v>
      </c>
      <c r="D12" s="93" t="s">
        <v>224</v>
      </c>
      <c r="E12" s="2" t="s">
        <v>225</v>
      </c>
      <c r="F12" s="2" t="s">
        <v>7</v>
      </c>
      <c r="G12" s="186">
        <v>2.63E-2</v>
      </c>
      <c r="H12" s="186">
        <v>0.1845</v>
      </c>
      <c r="I12" s="187">
        <v>44834</v>
      </c>
      <c r="J12" s="187">
        <v>44849</v>
      </c>
      <c r="K12" s="187">
        <v>43614</v>
      </c>
      <c r="L12" s="188" t="s">
        <v>274</v>
      </c>
      <c r="M12" s="70">
        <v>99014.83</v>
      </c>
      <c r="N12" s="70"/>
      <c r="O12" s="67">
        <f>M12+N12</f>
        <v>99014.83</v>
      </c>
      <c r="P12" s="42"/>
      <c r="Q12" s="43">
        <v>0</v>
      </c>
      <c r="R12" s="67"/>
      <c r="S12" s="68">
        <f t="shared" si="0"/>
        <v>0</v>
      </c>
    </row>
    <row r="13" spans="1:20" ht="30.75" customHeight="1" x14ac:dyDescent="0.25">
      <c r="B13" s="2" t="s">
        <v>275</v>
      </c>
      <c r="C13" s="236" t="s">
        <v>333</v>
      </c>
      <c r="D13" s="93" t="s">
        <v>224</v>
      </c>
      <c r="E13" s="2" t="s">
        <v>276</v>
      </c>
      <c r="F13" s="2" t="s">
        <v>7</v>
      </c>
      <c r="G13" s="186">
        <v>2.63E-2</v>
      </c>
      <c r="H13" s="186">
        <v>0.1845</v>
      </c>
      <c r="I13" s="187">
        <v>44773</v>
      </c>
      <c r="J13" s="187">
        <v>44788</v>
      </c>
      <c r="K13" s="187">
        <v>43980</v>
      </c>
      <c r="L13" s="188" t="s">
        <v>277</v>
      </c>
      <c r="M13" s="79">
        <v>3391.88</v>
      </c>
      <c r="N13" s="70"/>
      <c r="O13" s="67">
        <f>M13+N13</f>
        <v>3391.88</v>
      </c>
      <c r="P13" s="67"/>
      <c r="Q13" s="67">
        <v>3391.88</v>
      </c>
      <c r="R13" s="67"/>
      <c r="S13" s="68">
        <f t="shared" si="0"/>
        <v>3391.88</v>
      </c>
    </row>
    <row r="14" spans="1:20" ht="30.75" customHeight="1" x14ac:dyDescent="0.25">
      <c r="B14" s="2" t="s">
        <v>279</v>
      </c>
      <c r="C14" s="236" t="s">
        <v>333</v>
      </c>
      <c r="D14" s="93" t="s">
        <v>224</v>
      </c>
      <c r="E14" s="2" t="s">
        <v>280</v>
      </c>
      <c r="F14" s="2" t="s">
        <v>7</v>
      </c>
      <c r="G14" s="186">
        <v>2.63E-2</v>
      </c>
      <c r="H14" s="186">
        <v>0.1845</v>
      </c>
      <c r="I14" s="187">
        <v>44592</v>
      </c>
      <c r="J14" s="187">
        <v>44592</v>
      </c>
      <c r="K14" s="187">
        <v>43980</v>
      </c>
      <c r="L14" s="188" t="s">
        <v>332</v>
      </c>
      <c r="M14" s="79">
        <v>3000</v>
      </c>
      <c r="N14" s="67"/>
      <c r="O14" s="67">
        <f t="shared" ref="O14:O23" si="2">M14+N14</f>
        <v>3000</v>
      </c>
      <c r="P14" s="66"/>
      <c r="Q14" s="67">
        <v>450</v>
      </c>
      <c r="R14" s="67"/>
      <c r="S14" s="68">
        <f t="shared" ref="S14:S21" si="3">Q14+R14</f>
        <v>450</v>
      </c>
    </row>
    <row r="15" spans="1:20" ht="30.75" customHeight="1" x14ac:dyDescent="0.25">
      <c r="B15" s="2" t="s">
        <v>281</v>
      </c>
      <c r="C15" s="236" t="s">
        <v>334</v>
      </c>
      <c r="D15" s="93" t="s">
        <v>231</v>
      </c>
      <c r="E15" s="2" t="s">
        <v>282</v>
      </c>
      <c r="F15" s="2" t="s">
        <v>7</v>
      </c>
      <c r="G15" s="186">
        <v>2.63E-2</v>
      </c>
      <c r="H15" s="186">
        <v>0.1845</v>
      </c>
      <c r="I15" s="187">
        <v>44742</v>
      </c>
      <c r="J15" s="187">
        <v>44757</v>
      </c>
      <c r="K15" s="187">
        <v>43979</v>
      </c>
      <c r="L15" s="188" t="s">
        <v>283</v>
      </c>
      <c r="M15" s="79">
        <v>1027</v>
      </c>
      <c r="N15" s="67"/>
      <c r="O15" s="67">
        <f t="shared" si="2"/>
        <v>1027</v>
      </c>
      <c r="P15" s="66"/>
      <c r="Q15" s="67">
        <v>1027</v>
      </c>
      <c r="R15" s="67"/>
      <c r="S15" s="68">
        <f t="shared" si="3"/>
        <v>1027</v>
      </c>
    </row>
    <row r="16" spans="1:20" ht="30.75" customHeight="1" x14ac:dyDescent="0.25">
      <c r="B16" s="2" t="s">
        <v>321</v>
      </c>
      <c r="C16" s="236" t="s">
        <v>333</v>
      </c>
      <c r="D16" s="93" t="s">
        <v>288</v>
      </c>
      <c r="E16" s="2" t="s">
        <v>322</v>
      </c>
      <c r="F16" s="2" t="s">
        <v>7</v>
      </c>
      <c r="G16" s="186">
        <f>G15:H15</f>
        <v>2.63E-2</v>
      </c>
      <c r="H16" s="186">
        <f>H15</f>
        <v>0.1845</v>
      </c>
      <c r="I16" s="187">
        <v>45199</v>
      </c>
      <c r="J16" s="187">
        <v>45214</v>
      </c>
      <c r="K16" s="187">
        <v>44201</v>
      </c>
      <c r="L16" s="188" t="s">
        <v>323</v>
      </c>
      <c r="M16" s="79">
        <v>88003.12</v>
      </c>
      <c r="N16" s="67"/>
      <c r="O16" s="67">
        <f t="shared" si="2"/>
        <v>88003.12</v>
      </c>
      <c r="P16" s="66"/>
      <c r="Q16" s="67">
        <v>88003.12</v>
      </c>
      <c r="R16" s="67"/>
      <c r="S16" s="68">
        <f t="shared" si="3"/>
        <v>88003.12</v>
      </c>
    </row>
    <row r="17" spans="2:19" ht="30.75" customHeight="1" x14ac:dyDescent="0.25">
      <c r="B17" s="2" t="s">
        <v>326</v>
      </c>
      <c r="C17" s="236" t="s">
        <v>333</v>
      </c>
      <c r="D17" s="93" t="s">
        <v>288</v>
      </c>
      <c r="E17" s="2" t="s">
        <v>330</v>
      </c>
      <c r="F17" s="2" t="s">
        <v>7</v>
      </c>
      <c r="G17" s="186">
        <f t="shared" ref="G17:G18" si="4">G16:H16</f>
        <v>2.63E-2</v>
      </c>
      <c r="H17" s="186">
        <f t="shared" ref="H17:H18" si="5">H16</f>
        <v>0.1845</v>
      </c>
      <c r="I17" s="187">
        <v>45199</v>
      </c>
      <c r="J17" s="187">
        <v>45214</v>
      </c>
      <c r="K17" s="187">
        <v>44201</v>
      </c>
      <c r="L17" s="188" t="s">
        <v>323</v>
      </c>
      <c r="M17" s="79">
        <v>23100.82</v>
      </c>
      <c r="N17" s="67"/>
      <c r="O17" s="67">
        <f t="shared" si="2"/>
        <v>23100.82</v>
      </c>
      <c r="P17" s="66"/>
      <c r="Q17" s="67">
        <v>23100.82</v>
      </c>
      <c r="R17" s="67"/>
      <c r="S17" s="68">
        <f t="shared" si="3"/>
        <v>23100.82</v>
      </c>
    </row>
    <row r="18" spans="2:19" ht="30.75" customHeight="1" x14ac:dyDescent="0.25">
      <c r="B18" s="2" t="s">
        <v>370</v>
      </c>
      <c r="C18" s="236" t="s">
        <v>333</v>
      </c>
      <c r="D18" s="93" t="s">
        <v>288</v>
      </c>
      <c r="E18" s="2" t="s">
        <v>331</v>
      </c>
      <c r="F18" s="2" t="s">
        <v>7</v>
      </c>
      <c r="G18" s="186">
        <f t="shared" si="4"/>
        <v>2.63E-2</v>
      </c>
      <c r="H18" s="186">
        <f t="shared" si="5"/>
        <v>0.1845</v>
      </c>
      <c r="I18" s="187">
        <v>45199</v>
      </c>
      <c r="J18" s="187">
        <v>45214</v>
      </c>
      <c r="K18" s="187">
        <v>44201</v>
      </c>
      <c r="L18" s="188" t="s">
        <v>325</v>
      </c>
      <c r="M18" s="79">
        <v>109343.88</v>
      </c>
      <c r="N18" s="67"/>
      <c r="O18" s="67">
        <f t="shared" si="2"/>
        <v>109343.88</v>
      </c>
      <c r="P18" s="66"/>
      <c r="Q18" s="67">
        <f>80119.94+22651.07</f>
        <v>102771.01000000001</v>
      </c>
      <c r="R18" s="67"/>
      <c r="S18" s="68">
        <f t="shared" si="3"/>
        <v>102771.01000000001</v>
      </c>
    </row>
    <row r="19" spans="2:19" ht="30.75" customHeight="1" x14ac:dyDescent="0.25">
      <c r="B19" s="2" t="s">
        <v>287</v>
      </c>
      <c r="C19" s="236" t="s">
        <v>333</v>
      </c>
      <c r="D19" s="93" t="s">
        <v>288</v>
      </c>
      <c r="E19" s="2" t="s">
        <v>289</v>
      </c>
      <c r="F19" s="2" t="s">
        <v>7</v>
      </c>
      <c r="G19" s="186">
        <v>2.63E-2</v>
      </c>
      <c r="H19" s="186">
        <v>0.1845</v>
      </c>
      <c r="I19" s="187">
        <v>45199</v>
      </c>
      <c r="J19" s="187">
        <v>45199</v>
      </c>
      <c r="K19" s="187">
        <v>44201</v>
      </c>
      <c r="L19" s="188" t="s">
        <v>320</v>
      </c>
      <c r="M19" s="79">
        <v>202407.18</v>
      </c>
      <c r="N19" s="67"/>
      <c r="O19" s="67">
        <f t="shared" si="2"/>
        <v>202407.18</v>
      </c>
      <c r="P19" s="66"/>
      <c r="Q19" s="67">
        <f>117940.05+47707.77+36759.36</f>
        <v>202407.18</v>
      </c>
      <c r="R19" s="67"/>
      <c r="S19" s="68">
        <f t="shared" si="3"/>
        <v>202407.18</v>
      </c>
    </row>
    <row r="20" spans="2:19" ht="30.75" customHeight="1" x14ac:dyDescent="0.25">
      <c r="B20" s="2" t="s">
        <v>352</v>
      </c>
      <c r="C20" s="236" t="s">
        <v>353</v>
      </c>
      <c r="D20" s="93" t="s">
        <v>354</v>
      </c>
      <c r="E20" s="2" t="s">
        <v>355</v>
      </c>
      <c r="F20" s="2" t="s">
        <v>7</v>
      </c>
      <c r="G20" s="186">
        <v>2.63E-2</v>
      </c>
      <c r="H20" s="186">
        <v>0.1845</v>
      </c>
      <c r="I20" s="187">
        <v>45565</v>
      </c>
      <c r="J20" s="187">
        <v>45580</v>
      </c>
      <c r="K20" s="187">
        <v>44279</v>
      </c>
      <c r="L20" s="188" t="s">
        <v>356</v>
      </c>
      <c r="M20" s="79">
        <v>791384.64</v>
      </c>
      <c r="N20" s="67"/>
      <c r="O20" s="67">
        <f t="shared" si="2"/>
        <v>791384.64</v>
      </c>
      <c r="P20" s="66"/>
      <c r="Q20" s="67"/>
      <c r="R20" s="67"/>
      <c r="S20" s="68">
        <f t="shared" si="3"/>
        <v>0</v>
      </c>
    </row>
    <row r="21" spans="2:19" ht="30.75" customHeight="1" x14ac:dyDescent="0.25">
      <c r="B21" s="2" t="s">
        <v>357</v>
      </c>
      <c r="C21" s="236" t="s">
        <v>353</v>
      </c>
      <c r="D21" s="93" t="s">
        <v>354</v>
      </c>
      <c r="E21" s="2" t="s">
        <v>358</v>
      </c>
      <c r="F21" s="2" t="s">
        <v>7</v>
      </c>
      <c r="G21" s="186">
        <v>2.63E-2</v>
      </c>
      <c r="H21" s="186">
        <v>0.1845</v>
      </c>
      <c r="I21" s="187">
        <v>45565</v>
      </c>
      <c r="J21" s="187">
        <v>45580</v>
      </c>
      <c r="K21" s="187">
        <v>44279</v>
      </c>
      <c r="L21" s="188" t="s">
        <v>356</v>
      </c>
      <c r="M21" s="79">
        <v>197846.16</v>
      </c>
      <c r="N21" s="67"/>
      <c r="O21" s="67">
        <f t="shared" si="2"/>
        <v>197846.16</v>
      </c>
      <c r="P21" s="66"/>
      <c r="Q21" s="67"/>
      <c r="R21" s="67"/>
      <c r="S21" s="68">
        <f t="shared" si="3"/>
        <v>0</v>
      </c>
    </row>
    <row r="22" spans="2:19" ht="30.75" customHeight="1" x14ac:dyDescent="0.25">
      <c r="B22" s="2" t="s">
        <v>363</v>
      </c>
      <c r="C22" s="236" t="s">
        <v>333</v>
      </c>
      <c r="D22" s="93" t="s">
        <v>288</v>
      </c>
      <c r="E22" s="2" t="s">
        <v>364</v>
      </c>
      <c r="F22" s="2" t="s">
        <v>7</v>
      </c>
      <c r="G22" s="186">
        <v>2.63E-2</v>
      </c>
      <c r="H22" s="186">
        <v>0.1845</v>
      </c>
      <c r="I22" s="187">
        <v>45199</v>
      </c>
      <c r="J22" s="187">
        <v>45214</v>
      </c>
      <c r="K22" s="187">
        <v>44201</v>
      </c>
      <c r="L22" s="188" t="s">
        <v>365</v>
      </c>
      <c r="M22" s="79">
        <v>1862.68</v>
      </c>
      <c r="N22" s="67"/>
      <c r="O22" s="67">
        <f t="shared" si="2"/>
        <v>1862.68</v>
      </c>
      <c r="P22" s="66"/>
      <c r="Q22" s="67"/>
      <c r="R22" s="67"/>
      <c r="S22" s="68"/>
    </row>
    <row r="23" spans="2:19" ht="30.75" customHeight="1" x14ac:dyDescent="0.25">
      <c r="B23" s="2" t="s">
        <v>366</v>
      </c>
      <c r="C23" s="236" t="s">
        <v>333</v>
      </c>
      <c r="D23" s="93" t="s">
        <v>367</v>
      </c>
      <c r="E23" s="2" t="s">
        <v>368</v>
      </c>
      <c r="F23" s="2" t="s">
        <v>7</v>
      </c>
      <c r="G23" s="186">
        <v>2.63E-2</v>
      </c>
      <c r="H23" s="186">
        <v>0.1845</v>
      </c>
      <c r="I23" s="187">
        <v>45199</v>
      </c>
      <c r="J23" s="187">
        <v>45214</v>
      </c>
      <c r="K23" s="187">
        <v>44201</v>
      </c>
      <c r="L23" s="188" t="s">
        <v>369</v>
      </c>
      <c r="M23" s="79">
        <v>10952.79</v>
      </c>
      <c r="N23" s="67"/>
      <c r="O23" s="67">
        <f t="shared" si="2"/>
        <v>10952.79</v>
      </c>
      <c r="P23" s="66"/>
      <c r="Q23" s="67"/>
      <c r="R23" s="67"/>
      <c r="S23" s="68"/>
    </row>
    <row r="24" spans="2:19" x14ac:dyDescent="0.25">
      <c r="C24" s="110"/>
      <c r="D24" s="92"/>
      <c r="G24" s="186"/>
      <c r="H24" s="186"/>
      <c r="I24" s="187"/>
      <c r="J24" s="187"/>
      <c r="K24" s="187"/>
      <c r="L24" s="205"/>
      <c r="M24" s="25"/>
      <c r="N24" s="25"/>
      <c r="O24" s="25"/>
      <c r="Q24" s="25"/>
      <c r="R24" s="25"/>
      <c r="S24" s="26"/>
    </row>
    <row r="25" spans="2:19" ht="21.75" customHeight="1" x14ac:dyDescent="0.25">
      <c r="C25" s="92"/>
      <c r="D25" s="92"/>
      <c r="G25" s="123"/>
      <c r="H25" s="124"/>
      <c r="I25" s="116"/>
      <c r="J25" s="116"/>
      <c r="K25" s="116"/>
      <c r="L25" s="5" t="s">
        <v>38</v>
      </c>
      <c r="M25" s="66">
        <f>SUM(M8:M24)</f>
        <v>1565723.98</v>
      </c>
      <c r="N25" s="66">
        <f>SUM(N8:N24)</f>
        <v>8823.66</v>
      </c>
      <c r="O25" s="66">
        <f>SUM(O8:O24)</f>
        <v>1574547.64</v>
      </c>
      <c r="P25" s="66"/>
      <c r="Q25" s="66">
        <f>SUM(Q8:Q24)</f>
        <v>464130.37</v>
      </c>
      <c r="R25" s="66">
        <f>SUM(R8:R24)</f>
        <v>0</v>
      </c>
      <c r="S25" s="23">
        <f>SUM(S8:S24)</f>
        <v>464130.37</v>
      </c>
    </row>
    <row r="26" spans="2:19" x14ac:dyDescent="0.25">
      <c r="C26" s="92"/>
      <c r="D26" s="92"/>
      <c r="I26" s="116"/>
      <c r="J26" s="116"/>
      <c r="K26" s="116"/>
      <c r="L26" s="5"/>
      <c r="M26" s="66"/>
      <c r="N26" s="66"/>
      <c r="O26" s="66"/>
      <c r="Q26" s="66"/>
      <c r="R26" s="66"/>
      <c r="S26" s="68"/>
    </row>
    <row r="27" spans="2:19" x14ac:dyDescent="0.25">
      <c r="C27" s="92"/>
      <c r="D27" s="92"/>
      <c r="L27" s="5"/>
      <c r="M27" s="66"/>
      <c r="N27" s="66"/>
      <c r="O27" s="66"/>
      <c r="Q27" s="66"/>
      <c r="R27" s="66"/>
      <c r="S27" s="68"/>
    </row>
    <row r="28" spans="2:19" x14ac:dyDescent="0.25">
      <c r="B28" s="8" t="s">
        <v>125</v>
      </c>
      <c r="C28" s="92"/>
      <c r="D28" s="92"/>
      <c r="L28" s="5"/>
      <c r="M28" s="66"/>
      <c r="N28" s="66"/>
      <c r="O28" s="66"/>
      <c r="Q28" s="66"/>
      <c r="R28" s="66"/>
      <c r="S28" s="68"/>
    </row>
    <row r="29" spans="2:19" ht="28.5" customHeight="1" x14ac:dyDescent="0.25">
      <c r="B29" s="341" t="s">
        <v>126</v>
      </c>
      <c r="C29" s="341"/>
      <c r="D29" s="341"/>
      <c r="E29" s="341"/>
      <c r="F29" s="341"/>
      <c r="G29" s="117"/>
      <c r="H29" s="117"/>
      <c r="I29" s="111"/>
      <c r="L29" s="5"/>
      <c r="M29" s="66"/>
      <c r="N29" s="66"/>
      <c r="O29" s="66"/>
      <c r="Q29" s="66"/>
      <c r="R29" s="66"/>
      <c r="S29" s="68"/>
    </row>
    <row r="30" spans="2:19" x14ac:dyDescent="0.25">
      <c r="C30" s="92"/>
      <c r="D30" s="92"/>
      <c r="L30" s="5"/>
      <c r="M30" s="66"/>
      <c r="N30" s="66"/>
      <c r="O30" s="66"/>
      <c r="Q30" s="66"/>
      <c r="R30" s="66"/>
      <c r="S30" s="68"/>
    </row>
    <row r="31" spans="2:19" ht="47.25" customHeight="1" x14ac:dyDescent="0.25">
      <c r="B31" s="341" t="s">
        <v>129</v>
      </c>
      <c r="C31" s="341"/>
      <c r="D31" s="341"/>
      <c r="E31" s="341"/>
      <c r="F31" s="341"/>
      <c r="G31" s="117"/>
      <c r="H31" s="117"/>
      <c r="I31" s="111"/>
      <c r="L31" s="5"/>
      <c r="M31" s="66"/>
      <c r="N31" s="66"/>
      <c r="O31" s="66"/>
      <c r="Q31" s="66"/>
      <c r="R31" s="66"/>
      <c r="S31" s="68"/>
    </row>
    <row r="32" spans="2:19" x14ac:dyDescent="0.25">
      <c r="B32" s="193"/>
      <c r="C32" s="193"/>
      <c r="D32" s="193"/>
      <c r="E32" s="193"/>
      <c r="F32" s="193"/>
      <c r="G32" s="193"/>
      <c r="H32" s="193"/>
      <c r="I32" s="193"/>
      <c r="L32" s="5"/>
      <c r="M32" s="66"/>
      <c r="N32" s="66"/>
      <c r="O32" s="66"/>
      <c r="Q32" s="66"/>
      <c r="R32" s="66"/>
      <c r="S32" s="68"/>
    </row>
    <row r="33" spans="2:19" ht="31.5" customHeight="1" x14ac:dyDescent="0.25">
      <c r="B33" s="341" t="s">
        <v>160</v>
      </c>
      <c r="C33" s="341"/>
      <c r="D33" s="341"/>
      <c r="E33" s="341"/>
      <c r="F33" s="341"/>
      <c r="G33" s="193"/>
      <c r="H33" s="193"/>
      <c r="I33" s="193"/>
      <c r="L33" s="5"/>
      <c r="M33" s="66"/>
      <c r="N33" s="66"/>
      <c r="O33" s="66"/>
      <c r="Q33" s="66"/>
      <c r="R33" s="66"/>
      <c r="S33" s="68"/>
    </row>
    <row r="34" spans="2:19" ht="15" customHeight="1" x14ac:dyDescent="0.25">
      <c r="B34" s="347" t="s">
        <v>159</v>
      </c>
      <c r="C34" s="341"/>
      <c r="D34" s="341"/>
      <c r="E34" s="341"/>
      <c r="F34" s="341"/>
      <c r="G34" s="193"/>
      <c r="H34" s="193"/>
      <c r="I34" s="193"/>
      <c r="L34" s="5"/>
      <c r="M34" s="66"/>
      <c r="N34" s="66"/>
      <c r="O34" s="66"/>
      <c r="Q34" s="66"/>
      <c r="R34" s="66"/>
      <c r="S34" s="68"/>
    </row>
    <row r="35" spans="2:19" ht="15" customHeight="1" x14ac:dyDescent="0.25">
      <c r="B35" s="195"/>
      <c r="C35" s="195"/>
      <c r="D35" s="195"/>
      <c r="E35" s="195"/>
      <c r="F35" s="195"/>
      <c r="G35" s="195"/>
      <c r="H35" s="195"/>
      <c r="I35" s="195"/>
      <c r="L35" s="5"/>
      <c r="M35" s="66"/>
      <c r="N35" s="66"/>
      <c r="O35" s="66"/>
      <c r="Q35" s="66"/>
      <c r="R35" s="66"/>
      <c r="S35" s="68"/>
    </row>
    <row r="36" spans="2:19" x14ac:dyDescent="0.25">
      <c r="B36" s="108"/>
      <c r="C36" s="108"/>
      <c r="D36" s="108"/>
      <c r="E36" s="108"/>
      <c r="F36" s="108"/>
      <c r="G36" s="117"/>
      <c r="H36" s="117"/>
      <c r="I36" s="111"/>
      <c r="L36" s="5"/>
      <c r="M36" s="66"/>
      <c r="N36" s="66"/>
      <c r="O36" s="66"/>
      <c r="Q36" s="66"/>
      <c r="R36" s="66"/>
      <c r="S36" s="68"/>
    </row>
    <row r="37" spans="2:19" x14ac:dyDescent="0.25">
      <c r="B37" s="7" t="s">
        <v>109</v>
      </c>
      <c r="C37" s="101" t="s">
        <v>112</v>
      </c>
      <c r="D37" s="101" t="s">
        <v>113</v>
      </c>
      <c r="E37" s="108"/>
      <c r="F37" s="108"/>
      <c r="G37" s="117"/>
      <c r="H37" s="117"/>
      <c r="I37" s="111"/>
      <c r="L37" s="5"/>
      <c r="M37" s="66"/>
      <c r="N37" s="66"/>
      <c r="O37" s="66"/>
      <c r="Q37" s="66"/>
      <c r="R37" s="66"/>
      <c r="S37" s="68"/>
    </row>
    <row r="38" spans="2:19" x14ac:dyDescent="0.25">
      <c r="C38" s="92"/>
      <c r="D38" s="92"/>
      <c r="E38" s="108"/>
      <c r="F38" s="108"/>
      <c r="G38" s="117"/>
      <c r="H38" s="117"/>
      <c r="I38" s="111"/>
      <c r="L38" s="5"/>
      <c r="M38" s="66"/>
      <c r="N38" s="66"/>
      <c r="O38" s="66"/>
      <c r="Q38" s="66"/>
      <c r="R38" s="66"/>
      <c r="S38" s="68"/>
    </row>
    <row r="39" spans="2:19" hidden="1" x14ac:dyDescent="0.25">
      <c r="B39" s="2" t="s">
        <v>138</v>
      </c>
      <c r="C39" s="92" t="s">
        <v>180</v>
      </c>
      <c r="D39" s="92" t="s">
        <v>181</v>
      </c>
      <c r="E39" s="256"/>
      <c r="F39" s="256"/>
      <c r="G39" s="256"/>
      <c r="H39" s="256"/>
      <c r="I39" s="256"/>
      <c r="L39" s="5"/>
      <c r="M39" s="66"/>
      <c r="N39" s="66"/>
      <c r="O39" s="66"/>
      <c r="Q39" s="66"/>
      <c r="R39" s="66"/>
      <c r="S39" s="68"/>
    </row>
    <row r="40" spans="2:19" x14ac:dyDescent="0.25">
      <c r="B40" s="2" t="s">
        <v>111</v>
      </c>
      <c r="C40" s="92" t="s">
        <v>300</v>
      </c>
      <c r="D40" s="92" t="s">
        <v>303</v>
      </c>
      <c r="L40" s="5"/>
      <c r="M40" s="66"/>
      <c r="N40" s="66"/>
      <c r="O40" s="66"/>
      <c r="Q40" s="66"/>
      <c r="R40" s="66"/>
      <c r="S40" s="68"/>
    </row>
    <row r="41" spans="2:19" x14ac:dyDescent="0.25">
      <c r="B41" s="2" t="s">
        <v>262</v>
      </c>
      <c r="C41" s="92" t="s">
        <v>180</v>
      </c>
      <c r="D41" s="92" t="s">
        <v>181</v>
      </c>
      <c r="L41" s="5"/>
      <c r="M41" s="66"/>
      <c r="N41" s="66"/>
      <c r="O41" s="66"/>
      <c r="Q41" s="66"/>
      <c r="R41" s="66"/>
      <c r="S41" s="68"/>
    </row>
    <row r="42" spans="2:19" x14ac:dyDescent="0.25">
      <c r="B42" s="2" t="s">
        <v>230</v>
      </c>
      <c r="C42" s="92" t="s">
        <v>135</v>
      </c>
      <c r="D42" s="92" t="s">
        <v>147</v>
      </c>
      <c r="L42" s="5"/>
      <c r="M42" s="66"/>
      <c r="N42" s="66"/>
      <c r="O42" s="66"/>
      <c r="Q42" s="66"/>
      <c r="R42" s="66"/>
      <c r="S42" s="68"/>
    </row>
    <row r="43" spans="2:19" x14ac:dyDescent="0.25">
      <c r="B43" s="2" t="s">
        <v>275</v>
      </c>
      <c r="C43" s="92" t="s">
        <v>135</v>
      </c>
      <c r="D43" s="92" t="s">
        <v>147</v>
      </c>
      <c r="L43" s="5"/>
      <c r="M43" s="66"/>
      <c r="N43" s="66"/>
      <c r="O43" s="66"/>
      <c r="Q43" s="66"/>
      <c r="R43" s="66"/>
      <c r="S43" s="68"/>
    </row>
    <row r="44" spans="2:19" x14ac:dyDescent="0.25">
      <c r="B44" s="2" t="s">
        <v>279</v>
      </c>
      <c r="C44" s="92" t="s">
        <v>135</v>
      </c>
      <c r="D44" s="92" t="s">
        <v>147</v>
      </c>
      <c r="L44" s="5"/>
      <c r="M44" s="66"/>
      <c r="N44" s="66"/>
      <c r="O44" s="66"/>
      <c r="Q44" s="66"/>
      <c r="R44" s="66"/>
      <c r="S44" s="68"/>
    </row>
    <row r="45" spans="2:19" x14ac:dyDescent="0.25">
      <c r="B45" s="2" t="s">
        <v>281</v>
      </c>
      <c r="C45" s="92" t="s">
        <v>135</v>
      </c>
      <c r="D45" s="92" t="s">
        <v>147</v>
      </c>
      <c r="L45" s="5"/>
      <c r="M45" s="66"/>
      <c r="N45" s="66"/>
      <c r="O45" s="66"/>
      <c r="Q45" s="66"/>
      <c r="R45" s="66"/>
      <c r="S45" s="68"/>
    </row>
    <row r="46" spans="2:19" x14ac:dyDescent="0.25">
      <c r="B46" s="2" t="s">
        <v>286</v>
      </c>
      <c r="C46" s="92" t="s">
        <v>135</v>
      </c>
      <c r="D46" s="92" t="s">
        <v>147</v>
      </c>
      <c r="L46" s="5"/>
      <c r="M46" s="66"/>
      <c r="N46" s="66"/>
      <c r="O46" s="66"/>
      <c r="Q46" s="66"/>
      <c r="R46" s="66"/>
      <c r="S46" s="68"/>
    </row>
    <row r="47" spans="2:19" x14ac:dyDescent="0.25">
      <c r="C47" s="92"/>
      <c r="D47" s="92"/>
      <c r="L47" s="5"/>
      <c r="M47" s="66"/>
      <c r="N47" s="66"/>
      <c r="O47" s="66"/>
      <c r="Q47" s="66"/>
      <c r="R47" s="66"/>
      <c r="S47" s="68"/>
    </row>
    <row r="48" spans="2:19" x14ac:dyDescent="0.25">
      <c r="B48" s="258" t="s">
        <v>298</v>
      </c>
      <c r="C48" s="92"/>
      <c r="D48" s="92"/>
      <c r="L48" s="5"/>
      <c r="M48" s="66"/>
      <c r="N48" s="66"/>
      <c r="O48" s="66"/>
      <c r="Q48" s="66"/>
      <c r="R48" s="66"/>
      <c r="S48" s="68"/>
    </row>
    <row r="49" spans="2:20" x14ac:dyDescent="0.25">
      <c r="B49" s="336" t="s">
        <v>299</v>
      </c>
      <c r="C49" s="336"/>
      <c r="D49" s="336"/>
      <c r="E49" s="336"/>
      <c r="F49" s="336"/>
      <c r="G49" s="336"/>
      <c r="H49" s="336"/>
      <c r="L49" s="5"/>
      <c r="M49" s="66"/>
      <c r="N49" s="66"/>
      <c r="O49" s="66"/>
      <c r="Q49" s="66"/>
      <c r="R49" s="66"/>
      <c r="S49" s="68"/>
    </row>
    <row r="50" spans="2:20" ht="15" customHeight="1" x14ac:dyDescent="0.25">
      <c r="B50" s="10"/>
      <c r="C50" s="10"/>
      <c r="D50" s="10"/>
      <c r="E50" s="10"/>
      <c r="F50" s="10"/>
      <c r="G50" s="10"/>
      <c r="H50" s="10"/>
      <c r="I50" s="10"/>
      <c r="J50" s="10"/>
      <c r="K50" s="10"/>
      <c r="L50" s="10"/>
      <c r="M50" s="10"/>
      <c r="N50" s="29"/>
      <c r="O50" s="29"/>
      <c r="P50" s="29"/>
      <c r="Q50" s="29"/>
      <c r="R50" s="29"/>
      <c r="S50" s="27"/>
    </row>
    <row r="51" spans="2:20" ht="15" customHeight="1" x14ac:dyDescent="0.25">
      <c r="N51" s="109"/>
      <c r="O51" s="109"/>
      <c r="P51" s="109"/>
      <c r="Q51" s="170" t="s">
        <v>90</v>
      </c>
      <c r="R51" s="171"/>
      <c r="S51" s="172"/>
    </row>
    <row r="52" spans="2:20" ht="15" customHeight="1" x14ac:dyDescent="0.25">
      <c r="B52" s="17" t="s">
        <v>39</v>
      </c>
      <c r="C52" s="96" t="s">
        <v>2</v>
      </c>
      <c r="D52" s="96"/>
      <c r="E52" s="96" t="s">
        <v>34</v>
      </c>
      <c r="F52" s="96" t="s">
        <v>35</v>
      </c>
      <c r="G52" s="120"/>
      <c r="H52" s="120"/>
      <c r="I52" s="114"/>
      <c r="J52" s="96"/>
      <c r="K52" s="96"/>
      <c r="L52" s="96" t="s">
        <v>36</v>
      </c>
      <c r="M52" s="96" t="s">
        <v>37</v>
      </c>
      <c r="N52" s="10"/>
      <c r="O52" s="10"/>
      <c r="P52" s="10"/>
      <c r="Q52" s="54" t="s">
        <v>88</v>
      </c>
      <c r="R52" s="54"/>
      <c r="S52" s="55"/>
    </row>
    <row r="53" spans="2:20" x14ac:dyDescent="0.25">
      <c r="B53" s="63"/>
      <c r="C53" s="9"/>
      <c r="D53" s="9"/>
      <c r="E53" s="9"/>
      <c r="F53" s="9"/>
      <c r="G53" s="9"/>
      <c r="H53" s="9"/>
      <c r="I53" s="9"/>
      <c r="J53" s="9"/>
      <c r="K53" s="9"/>
      <c r="L53" s="9"/>
      <c r="M53" s="9"/>
      <c r="Q53" s="58"/>
      <c r="R53" s="51"/>
      <c r="S53" s="51"/>
    </row>
    <row r="54" spans="2:20" x14ac:dyDescent="0.25">
      <c r="B54" s="63"/>
      <c r="C54" s="148"/>
      <c r="D54" s="148"/>
      <c r="E54" s="148"/>
      <c r="F54" s="148"/>
      <c r="G54" s="148"/>
      <c r="H54" s="148"/>
      <c r="I54" s="148"/>
      <c r="J54" s="148"/>
      <c r="K54" s="148"/>
      <c r="L54" s="148"/>
      <c r="M54" s="148"/>
      <c r="Q54" s="58"/>
      <c r="R54" s="51"/>
      <c r="S54" s="51"/>
    </row>
    <row r="55" spans="2:20" x14ac:dyDescent="0.25">
      <c r="B55" s="12"/>
      <c r="C55" s="13"/>
      <c r="D55" s="13"/>
      <c r="E55" s="41"/>
      <c r="F55" s="15"/>
      <c r="G55" s="15"/>
      <c r="H55" s="15"/>
      <c r="I55" s="15"/>
      <c r="J55" s="15"/>
      <c r="K55" s="15"/>
      <c r="L55" s="16"/>
      <c r="M55" s="20"/>
      <c r="N55" s="46"/>
      <c r="O55" s="46"/>
      <c r="P55" s="46"/>
      <c r="Q55" s="309" t="s">
        <v>316</v>
      </c>
      <c r="R55" s="309"/>
      <c r="S55" s="310">
        <f>S25</f>
        <v>464130.37</v>
      </c>
      <c r="T55" s="51"/>
    </row>
    <row r="56" spans="2:20" ht="15" customHeight="1" x14ac:dyDescent="0.25">
      <c r="B56" s="12"/>
      <c r="C56" s="13"/>
      <c r="D56" s="13"/>
      <c r="E56" s="41"/>
      <c r="F56" s="15"/>
      <c r="G56" s="15"/>
      <c r="H56" s="15"/>
      <c r="I56" s="15"/>
      <c r="J56" s="15"/>
      <c r="K56" s="15"/>
      <c r="L56" s="33"/>
      <c r="M56" s="31"/>
      <c r="N56" s="104"/>
      <c r="O56" s="29"/>
      <c r="P56" s="18"/>
      <c r="T56" s="51"/>
    </row>
    <row r="57" spans="2:20" x14ac:dyDescent="0.25">
      <c r="B57" s="36"/>
      <c r="C57" s="40"/>
      <c r="D57" s="40"/>
      <c r="E57" s="41"/>
      <c r="F57" s="38"/>
      <c r="G57" s="38"/>
      <c r="H57" s="38"/>
      <c r="I57" s="38"/>
      <c r="J57" s="38"/>
      <c r="K57" s="38"/>
      <c r="L57" s="33"/>
      <c r="M57" s="31"/>
      <c r="N57" s="99"/>
    </row>
    <row r="58" spans="2:20" x14ac:dyDescent="0.25">
      <c r="B58" s="36"/>
      <c r="C58" s="40"/>
      <c r="D58" s="40"/>
      <c r="E58" s="41"/>
      <c r="F58" s="38"/>
      <c r="G58" s="38"/>
      <c r="H58" s="38"/>
      <c r="I58" s="38"/>
      <c r="J58" s="38"/>
      <c r="K58" s="38"/>
      <c r="L58" s="33"/>
      <c r="M58" s="31"/>
      <c r="N58" s="99"/>
    </row>
    <row r="59" spans="2:20" ht="16.5" customHeight="1" x14ac:dyDescent="0.25">
      <c r="B59" s="36"/>
      <c r="C59" s="40"/>
      <c r="D59" s="40"/>
      <c r="E59" s="41"/>
      <c r="F59" s="38"/>
      <c r="G59" s="38"/>
      <c r="H59" s="38"/>
      <c r="I59" s="38"/>
      <c r="J59" s="38"/>
      <c r="K59" s="38"/>
      <c r="L59" s="39"/>
      <c r="M59" s="20"/>
      <c r="N59" s="99"/>
      <c r="O59" s="99"/>
      <c r="P59" s="29"/>
    </row>
    <row r="60" spans="2:20" ht="18.75" customHeight="1" x14ac:dyDescent="0.25"/>
    <row r="61" spans="2:20" ht="15" customHeight="1" x14ac:dyDescent="0.25">
      <c r="E61" s="21"/>
      <c r="F61" s="102"/>
      <c r="G61" s="102"/>
      <c r="H61" s="102"/>
      <c r="I61" s="102"/>
      <c r="J61" s="102"/>
      <c r="K61" s="102"/>
    </row>
    <row r="64" spans="2:20" ht="15" customHeight="1" x14ac:dyDescent="0.25"/>
  </sheetData>
  <mergeCells count="7">
    <mergeCell ref="B49:H49"/>
    <mergeCell ref="B34:F34"/>
    <mergeCell ref="Q2:S2"/>
    <mergeCell ref="Q1:S1"/>
    <mergeCell ref="B29:F29"/>
    <mergeCell ref="B31:F31"/>
    <mergeCell ref="B33:F33"/>
  </mergeCells>
  <hyperlinks>
    <hyperlink ref="B34" r:id="rId1"/>
  </hyperlinks>
  <printOptions horizontalCentered="1" gridLines="1"/>
  <pageMargins left="0" right="0" top="0.75" bottom="0.75" header="0.3" footer="0.3"/>
  <pageSetup scale="54" orientation="landscape" horizontalDpi="1200" verticalDpi="1200"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4"/>
  <sheetViews>
    <sheetView topLeftCell="F14" zoomScale="90" zoomScaleNormal="90" workbookViewId="0">
      <selection activeCell="R17" sqref="R17"/>
    </sheetView>
  </sheetViews>
  <sheetFormatPr defaultColWidth="9.140625" defaultRowHeight="15" x14ac:dyDescent="0.25"/>
  <cols>
    <col min="1" max="1" width="9.140625" style="2" hidden="1" customWidth="1"/>
    <col min="2" max="2" width="57.5703125" style="2" customWidth="1"/>
    <col min="3" max="3" width="28" style="2" customWidth="1"/>
    <col min="4" max="4" width="13.7109375" style="2" customWidth="1"/>
    <col min="5" max="5" width="18" style="2" customWidth="1"/>
    <col min="6" max="6" width="21.7109375" style="2" customWidth="1"/>
    <col min="7" max="7" width="11.7109375" style="2" customWidth="1"/>
    <col min="8" max="8" width="12.85546875" style="2" customWidth="1"/>
    <col min="9" max="9" width="13.28515625" style="2" customWidth="1"/>
    <col min="10" max="10" width="14.7109375" style="2" customWidth="1"/>
    <col min="11" max="11" width="10.42578125" style="2" customWidth="1"/>
    <col min="12" max="12" width="17.7109375" style="2" customWidth="1"/>
    <col min="13" max="13" width="14" style="2" bestFit="1" customWidth="1"/>
    <col min="14" max="14" width="13.7109375" style="2" customWidth="1"/>
    <col min="15" max="15" width="14.42578125" style="2" customWidth="1"/>
    <col min="16" max="16" width="3.140625" style="2" customWidth="1"/>
    <col min="17" max="17" width="19.7109375" style="2" customWidth="1"/>
    <col min="18" max="18" width="14.140625" style="2" customWidth="1"/>
    <col min="19" max="19" width="16.7109375" style="2" customWidth="1"/>
    <col min="20" max="16384" width="9.140625" style="2"/>
  </cols>
  <sheetData>
    <row r="1" spans="1:20" ht="18" customHeight="1" x14ac:dyDescent="0.25">
      <c r="B1" s="1" t="s">
        <v>14</v>
      </c>
      <c r="Q1" s="338" t="s">
        <v>296</v>
      </c>
      <c r="R1" s="338"/>
      <c r="S1" s="338"/>
    </row>
    <row r="2" spans="1:20" ht="18" customHeight="1" x14ac:dyDescent="0.25">
      <c r="B2" s="88" t="s">
        <v>148</v>
      </c>
      <c r="C2" s="182">
        <v>44742</v>
      </c>
      <c r="M2" s="71"/>
      <c r="N2" s="71"/>
      <c r="P2" s="29"/>
      <c r="Q2" s="337" t="s">
        <v>375</v>
      </c>
      <c r="R2" s="337"/>
      <c r="S2" s="337"/>
    </row>
    <row r="3" spans="1:20" ht="18" customHeight="1" thickBot="1" x14ac:dyDescent="0.3">
      <c r="A3" s="2" t="s">
        <v>16</v>
      </c>
      <c r="B3" s="44" t="s">
        <v>65</v>
      </c>
      <c r="C3" s="8"/>
      <c r="D3" s="8"/>
      <c r="E3" s="8"/>
      <c r="P3" s="29"/>
      <c r="Q3" s="45"/>
      <c r="R3" s="30"/>
    </row>
    <row r="4" spans="1:20" ht="18.75" customHeight="1" x14ac:dyDescent="0.25">
      <c r="B4" s="8" t="s">
        <v>174</v>
      </c>
      <c r="M4" s="85" t="s">
        <v>28</v>
      </c>
      <c r="N4" s="85" t="s">
        <v>28</v>
      </c>
      <c r="O4" s="85" t="s">
        <v>28</v>
      </c>
      <c r="P4" s="9"/>
      <c r="Q4" s="89" t="s">
        <v>29</v>
      </c>
      <c r="R4" s="89" t="s">
        <v>31</v>
      </c>
      <c r="S4" s="89" t="s">
        <v>23</v>
      </c>
      <c r="T4" s="7"/>
    </row>
    <row r="5" spans="1:20" ht="15.75" thickBot="1" x14ac:dyDescent="0.3">
      <c r="G5" s="183" t="s">
        <v>295</v>
      </c>
      <c r="H5" s="183" t="s">
        <v>295</v>
      </c>
      <c r="M5" s="86" t="s">
        <v>27</v>
      </c>
      <c r="N5" s="86" t="s">
        <v>26</v>
      </c>
      <c r="O5" s="86" t="s">
        <v>25</v>
      </c>
      <c r="P5" s="9"/>
      <c r="Q5" s="90" t="s">
        <v>30</v>
      </c>
      <c r="R5" s="90" t="s">
        <v>30</v>
      </c>
      <c r="S5" s="90" t="s">
        <v>30</v>
      </c>
      <c r="T5" s="7"/>
    </row>
    <row r="6" spans="1:20" ht="85.5" customHeight="1" thickBot="1" x14ac:dyDescent="0.3">
      <c r="B6" s="84" t="s">
        <v>1</v>
      </c>
      <c r="C6" s="84" t="s">
        <v>389</v>
      </c>
      <c r="D6" s="84" t="s">
        <v>107</v>
      </c>
      <c r="E6" s="84" t="s">
        <v>3</v>
      </c>
      <c r="F6" s="84" t="s">
        <v>4</v>
      </c>
      <c r="G6" s="107" t="s">
        <v>136</v>
      </c>
      <c r="H6" s="107" t="s">
        <v>137</v>
      </c>
      <c r="I6" s="107" t="s">
        <v>133</v>
      </c>
      <c r="J6" s="107" t="s">
        <v>134</v>
      </c>
      <c r="K6" s="107" t="s">
        <v>121</v>
      </c>
      <c r="L6" s="83" t="s">
        <v>5</v>
      </c>
      <c r="M6" s="87" t="s">
        <v>6</v>
      </c>
      <c r="N6" s="87" t="s">
        <v>6</v>
      </c>
      <c r="O6" s="87" t="s">
        <v>6</v>
      </c>
      <c r="P6" s="9"/>
      <c r="Q6" s="91"/>
      <c r="R6" s="97" t="s">
        <v>32</v>
      </c>
      <c r="S6" s="98" t="s">
        <v>33</v>
      </c>
    </row>
    <row r="7" spans="1:20" ht="28.5" customHeight="1" x14ac:dyDescent="0.25">
      <c r="B7" s="2" t="s">
        <v>8</v>
      </c>
      <c r="C7" s="92" t="s">
        <v>106</v>
      </c>
      <c r="D7" s="92" t="s">
        <v>306</v>
      </c>
      <c r="E7" s="2" t="s">
        <v>307</v>
      </c>
      <c r="F7" s="2" t="s">
        <v>7</v>
      </c>
      <c r="G7" s="186">
        <v>2.63E-2</v>
      </c>
      <c r="H7" s="186">
        <v>0.1845</v>
      </c>
      <c r="I7" s="187">
        <v>44742</v>
      </c>
      <c r="J7" s="187">
        <v>44743</v>
      </c>
      <c r="K7" s="187">
        <v>44378</v>
      </c>
      <c r="L7" s="188" t="s">
        <v>297</v>
      </c>
      <c r="M7" s="67"/>
      <c r="N7" s="67"/>
      <c r="O7" s="67">
        <f t="shared" ref="O7:O22" si="0">M7+N7</f>
        <v>0</v>
      </c>
      <c r="P7" s="29"/>
      <c r="Q7" s="67"/>
      <c r="R7" s="67"/>
      <c r="S7" s="68">
        <f t="shared" ref="S7:S22" si="1">Q7+R7</f>
        <v>0</v>
      </c>
    </row>
    <row r="8" spans="1:20" ht="30" customHeight="1" x14ac:dyDescent="0.25">
      <c r="B8" s="2" t="s">
        <v>128</v>
      </c>
      <c r="C8" s="225" t="s">
        <v>122</v>
      </c>
      <c r="D8" s="93" t="s">
        <v>310</v>
      </c>
      <c r="E8" s="2" t="s">
        <v>309</v>
      </c>
      <c r="F8" s="2" t="s">
        <v>7</v>
      </c>
      <c r="G8" s="186">
        <v>2.63E-2</v>
      </c>
      <c r="H8" s="186">
        <v>0.1845</v>
      </c>
      <c r="I8" s="187">
        <f>I7</f>
        <v>44742</v>
      </c>
      <c r="J8" s="187">
        <f>J7</f>
        <v>44743</v>
      </c>
      <c r="K8" s="187">
        <v>44378</v>
      </c>
      <c r="L8" s="188" t="str">
        <f>L7</f>
        <v>07/01/21 - 06/30/22</v>
      </c>
      <c r="M8" s="67">
        <v>1019732.01</v>
      </c>
      <c r="N8" s="67"/>
      <c r="O8" s="67">
        <f t="shared" si="0"/>
        <v>1019732.01</v>
      </c>
      <c r="P8" s="29"/>
      <c r="Q8" s="67">
        <v>1019732.01</v>
      </c>
      <c r="R8" s="67"/>
      <c r="S8" s="68">
        <f t="shared" si="1"/>
        <v>1019732.01</v>
      </c>
    </row>
    <row r="9" spans="1:20" ht="30.75" customHeight="1" x14ac:dyDescent="0.25">
      <c r="B9" s="2" t="s">
        <v>130</v>
      </c>
      <c r="C9" s="95" t="s">
        <v>131</v>
      </c>
      <c r="D9" s="93" t="s">
        <v>310</v>
      </c>
      <c r="E9" s="2" t="s">
        <v>314</v>
      </c>
      <c r="F9" s="2" t="s">
        <v>7</v>
      </c>
      <c r="G9" s="186">
        <v>2.63E-2</v>
      </c>
      <c r="H9" s="186">
        <v>0.1845</v>
      </c>
      <c r="I9" s="187">
        <f>+I8</f>
        <v>44742</v>
      </c>
      <c r="J9" s="187">
        <f>J7</f>
        <v>44743</v>
      </c>
      <c r="K9" s="187">
        <f>+K8</f>
        <v>44378</v>
      </c>
      <c r="L9" s="204" t="str">
        <f>+L8</f>
        <v>07/01/21 - 06/30/22</v>
      </c>
      <c r="M9" s="67">
        <v>16826.349999999999</v>
      </c>
      <c r="N9" s="67"/>
      <c r="O9" s="67">
        <f t="shared" si="0"/>
        <v>16826.349999999999</v>
      </c>
      <c r="P9" s="29"/>
      <c r="Q9" s="67">
        <v>16826.349999999999</v>
      </c>
      <c r="R9" s="67"/>
      <c r="S9" s="68">
        <f t="shared" si="1"/>
        <v>16826.349999999999</v>
      </c>
    </row>
    <row r="10" spans="1:20" ht="30.75" customHeight="1" x14ac:dyDescent="0.25">
      <c r="B10" s="334" t="s">
        <v>387</v>
      </c>
      <c r="C10" s="327" t="s">
        <v>373</v>
      </c>
      <c r="D10" s="328" t="s">
        <v>372</v>
      </c>
      <c r="E10" s="29" t="s">
        <v>374</v>
      </c>
      <c r="F10" s="2" t="s">
        <v>7</v>
      </c>
      <c r="G10" s="186">
        <v>2.63E-2</v>
      </c>
      <c r="H10" s="186">
        <v>0.1845</v>
      </c>
      <c r="I10" s="187">
        <v>45199</v>
      </c>
      <c r="J10" s="187">
        <v>45214</v>
      </c>
      <c r="K10" s="187">
        <v>44378</v>
      </c>
      <c r="L10" s="188" t="s">
        <v>325</v>
      </c>
      <c r="M10" s="70">
        <v>125910.62</v>
      </c>
      <c r="N10" s="70"/>
      <c r="O10" s="67">
        <f t="shared" si="0"/>
        <v>125910.62</v>
      </c>
      <c r="P10" s="29"/>
      <c r="Q10" s="67">
        <v>125910.62</v>
      </c>
      <c r="R10" s="67"/>
      <c r="S10" s="68">
        <f t="shared" si="1"/>
        <v>125910.62</v>
      </c>
    </row>
    <row r="11" spans="1:20" ht="30.75" customHeight="1" x14ac:dyDescent="0.25">
      <c r="B11" s="334" t="s">
        <v>386</v>
      </c>
      <c r="C11" s="327" t="s">
        <v>388</v>
      </c>
      <c r="D11" s="328" t="s">
        <v>384</v>
      </c>
      <c r="E11" s="29" t="s">
        <v>385</v>
      </c>
      <c r="F11" s="2" t="s">
        <v>7</v>
      </c>
      <c r="G11" s="186">
        <v>2.63E-2</v>
      </c>
      <c r="H11" s="186">
        <v>0.1845</v>
      </c>
      <c r="I11" s="187">
        <v>45199</v>
      </c>
      <c r="J11" s="187">
        <v>45214</v>
      </c>
      <c r="K11" s="187">
        <v>44378</v>
      </c>
      <c r="L11" s="188" t="s">
        <v>325</v>
      </c>
      <c r="M11" s="70">
        <v>10321.35</v>
      </c>
      <c r="N11" s="70"/>
      <c r="O11" s="67">
        <f t="shared" si="0"/>
        <v>10321.35</v>
      </c>
      <c r="P11" s="29"/>
      <c r="Q11" s="67">
        <v>10321.35</v>
      </c>
      <c r="R11" s="67"/>
      <c r="S11" s="68">
        <f t="shared" si="1"/>
        <v>10321.35</v>
      </c>
    </row>
    <row r="12" spans="1:20" ht="24.75" customHeight="1" x14ac:dyDescent="0.25">
      <c r="B12" s="2" t="s">
        <v>223</v>
      </c>
      <c r="C12" s="236" t="s">
        <v>333</v>
      </c>
      <c r="D12" s="93" t="s">
        <v>224</v>
      </c>
      <c r="E12" s="2" t="s">
        <v>225</v>
      </c>
      <c r="F12" s="2" t="s">
        <v>7</v>
      </c>
      <c r="G12" s="186">
        <v>2.63E-2</v>
      </c>
      <c r="H12" s="186">
        <v>0.1845</v>
      </c>
      <c r="I12" s="187">
        <v>44834</v>
      </c>
      <c r="J12" s="187">
        <v>44849</v>
      </c>
      <c r="K12" s="187">
        <v>43614</v>
      </c>
      <c r="L12" s="188" t="s">
        <v>274</v>
      </c>
      <c r="M12" s="67">
        <v>71155.63</v>
      </c>
      <c r="N12" s="67"/>
      <c r="O12" s="67">
        <f t="shared" si="0"/>
        <v>71155.63</v>
      </c>
      <c r="P12" s="29"/>
      <c r="Q12" s="67">
        <v>70831.28</v>
      </c>
      <c r="R12" s="67"/>
      <c r="S12" s="68">
        <f t="shared" si="1"/>
        <v>70831.28</v>
      </c>
    </row>
    <row r="13" spans="1:20" ht="24.75" customHeight="1" x14ac:dyDescent="0.25">
      <c r="B13" s="2" t="s">
        <v>275</v>
      </c>
      <c r="C13" s="236" t="s">
        <v>333</v>
      </c>
      <c r="D13" s="93" t="s">
        <v>224</v>
      </c>
      <c r="E13" s="2" t="s">
        <v>276</v>
      </c>
      <c r="F13" s="2" t="s">
        <v>7</v>
      </c>
      <c r="G13" s="186">
        <v>2.63E-2</v>
      </c>
      <c r="H13" s="186">
        <v>0.1845</v>
      </c>
      <c r="I13" s="187">
        <v>44773</v>
      </c>
      <c r="J13" s="187">
        <v>44788</v>
      </c>
      <c r="K13" s="187">
        <v>43980</v>
      </c>
      <c r="L13" s="188" t="s">
        <v>277</v>
      </c>
      <c r="M13" s="79">
        <v>2976.3</v>
      </c>
      <c r="N13" s="70"/>
      <c r="O13" s="67">
        <f t="shared" si="0"/>
        <v>2976.3</v>
      </c>
      <c r="P13" s="67"/>
      <c r="Q13" s="67"/>
      <c r="R13" s="67"/>
      <c r="S13" s="68">
        <f t="shared" si="1"/>
        <v>0</v>
      </c>
    </row>
    <row r="14" spans="1:20" ht="24.75" customHeight="1" x14ac:dyDescent="0.25">
      <c r="B14" s="2" t="s">
        <v>279</v>
      </c>
      <c r="C14" s="236" t="s">
        <v>333</v>
      </c>
      <c r="D14" s="93" t="s">
        <v>224</v>
      </c>
      <c r="E14" s="2" t="s">
        <v>280</v>
      </c>
      <c r="F14" s="2" t="s">
        <v>7</v>
      </c>
      <c r="G14" s="186">
        <v>2.63E-2</v>
      </c>
      <c r="H14" s="186">
        <v>0.1845</v>
      </c>
      <c r="I14" s="187">
        <v>44592</v>
      </c>
      <c r="J14" s="187">
        <v>44592</v>
      </c>
      <c r="K14" s="187">
        <v>43980</v>
      </c>
      <c r="L14" s="188" t="s">
        <v>332</v>
      </c>
      <c r="M14" s="79">
        <v>3000</v>
      </c>
      <c r="N14" s="67"/>
      <c r="O14" s="67">
        <f t="shared" si="0"/>
        <v>3000</v>
      </c>
      <c r="P14" s="66"/>
      <c r="Q14" s="67"/>
      <c r="R14" s="67"/>
      <c r="S14" s="68">
        <f t="shared" si="1"/>
        <v>0</v>
      </c>
    </row>
    <row r="15" spans="1:20" ht="24.75" customHeight="1" x14ac:dyDescent="0.25">
      <c r="B15" s="2" t="s">
        <v>281</v>
      </c>
      <c r="C15" s="236" t="s">
        <v>334</v>
      </c>
      <c r="D15" s="93" t="s">
        <v>231</v>
      </c>
      <c r="E15" s="2" t="s">
        <v>282</v>
      </c>
      <c r="F15" s="2" t="s">
        <v>7</v>
      </c>
      <c r="G15" s="186">
        <v>2.63E-2</v>
      </c>
      <c r="H15" s="186">
        <v>0.1845</v>
      </c>
      <c r="I15" s="187">
        <v>44742</v>
      </c>
      <c r="J15" s="187">
        <v>44757</v>
      </c>
      <c r="K15" s="187">
        <v>43979</v>
      </c>
      <c r="L15" s="188" t="s">
        <v>283</v>
      </c>
      <c r="M15" s="79">
        <v>1027</v>
      </c>
      <c r="N15" s="67"/>
      <c r="O15" s="67">
        <f t="shared" si="0"/>
        <v>1027</v>
      </c>
      <c r="P15" s="66"/>
      <c r="Q15" s="67"/>
      <c r="R15" s="67"/>
      <c r="S15" s="68">
        <f t="shared" si="1"/>
        <v>0</v>
      </c>
    </row>
    <row r="16" spans="1:20" ht="24.75" customHeight="1" x14ac:dyDescent="0.25">
      <c r="B16" s="2" t="s">
        <v>321</v>
      </c>
      <c r="C16" s="236" t="s">
        <v>333</v>
      </c>
      <c r="D16" s="93" t="s">
        <v>288</v>
      </c>
      <c r="E16" s="2" t="s">
        <v>322</v>
      </c>
      <c r="F16" s="2" t="s">
        <v>7</v>
      </c>
      <c r="G16" s="186">
        <f>G15:H15</f>
        <v>2.63E-2</v>
      </c>
      <c r="H16" s="186">
        <f>H15</f>
        <v>0.1845</v>
      </c>
      <c r="I16" s="187">
        <v>45199</v>
      </c>
      <c r="J16" s="187">
        <v>45214</v>
      </c>
      <c r="K16" s="187">
        <v>44201</v>
      </c>
      <c r="L16" s="188" t="s">
        <v>323</v>
      </c>
      <c r="M16" s="79">
        <v>66998.039999999994</v>
      </c>
      <c r="N16" s="67"/>
      <c r="O16" s="67">
        <f t="shared" si="0"/>
        <v>66998.039999999994</v>
      </c>
      <c r="P16" s="66"/>
      <c r="Q16" s="67">
        <v>66998.039999999994</v>
      </c>
      <c r="R16" s="67"/>
      <c r="S16" s="68">
        <f t="shared" si="1"/>
        <v>66998.039999999994</v>
      </c>
    </row>
    <row r="17" spans="2:19" ht="24.75" customHeight="1" x14ac:dyDescent="0.25">
      <c r="B17" s="2" t="s">
        <v>324</v>
      </c>
      <c r="C17" s="236" t="s">
        <v>333</v>
      </c>
      <c r="D17" s="93" t="s">
        <v>288</v>
      </c>
      <c r="E17" s="2" t="s">
        <v>329</v>
      </c>
      <c r="F17" s="2" t="s">
        <v>7</v>
      </c>
      <c r="G17" s="186">
        <f>G16:H16</f>
        <v>2.63E-2</v>
      </c>
      <c r="H17" s="186">
        <f>H16</f>
        <v>0.1845</v>
      </c>
      <c r="I17" s="187">
        <v>45199</v>
      </c>
      <c r="J17" s="187">
        <v>45214</v>
      </c>
      <c r="K17" s="187">
        <v>44201</v>
      </c>
      <c r="L17" s="188" t="s">
        <v>325</v>
      </c>
      <c r="M17" s="79">
        <v>11644</v>
      </c>
      <c r="N17" s="67"/>
      <c r="O17" s="67">
        <f t="shared" si="0"/>
        <v>11644</v>
      </c>
      <c r="P17" s="66"/>
      <c r="Q17" s="67"/>
      <c r="R17" s="67"/>
      <c r="S17" s="68">
        <f t="shared" si="1"/>
        <v>0</v>
      </c>
    </row>
    <row r="18" spans="2:19" ht="24.75" customHeight="1" x14ac:dyDescent="0.25">
      <c r="B18" s="2" t="s">
        <v>326</v>
      </c>
      <c r="C18" s="236" t="s">
        <v>333</v>
      </c>
      <c r="D18" s="93" t="s">
        <v>288</v>
      </c>
      <c r="E18" s="2" t="s">
        <v>330</v>
      </c>
      <c r="F18" s="2" t="s">
        <v>7</v>
      </c>
      <c r="G18" s="186">
        <f>G17:H17</f>
        <v>2.63E-2</v>
      </c>
      <c r="H18" s="186">
        <f>H17</f>
        <v>0.1845</v>
      </c>
      <c r="I18" s="187">
        <v>45199</v>
      </c>
      <c r="J18" s="187">
        <v>45214</v>
      </c>
      <c r="K18" s="187">
        <v>44201</v>
      </c>
      <c r="L18" s="188" t="s">
        <v>323</v>
      </c>
      <c r="M18" s="79">
        <v>17586.990000000002</v>
      </c>
      <c r="N18" s="67"/>
      <c r="O18" s="67">
        <f t="shared" si="0"/>
        <v>17586.990000000002</v>
      </c>
      <c r="P18" s="66"/>
      <c r="Q18" s="67"/>
      <c r="R18" s="67"/>
      <c r="S18" s="68">
        <f t="shared" si="1"/>
        <v>0</v>
      </c>
    </row>
    <row r="19" spans="2:19" ht="24.75" customHeight="1" x14ac:dyDescent="0.25">
      <c r="B19" s="2" t="s">
        <v>370</v>
      </c>
      <c r="C19" s="236" t="s">
        <v>333</v>
      </c>
      <c r="D19" s="93" t="s">
        <v>288</v>
      </c>
      <c r="E19" s="2" t="s">
        <v>331</v>
      </c>
      <c r="F19" s="2" t="s">
        <v>7</v>
      </c>
      <c r="G19" s="186">
        <f t="shared" ref="G19" si="2">G18:H18</f>
        <v>2.63E-2</v>
      </c>
      <c r="H19" s="186">
        <f t="shared" ref="H19" si="3">H18</f>
        <v>0.1845</v>
      </c>
      <c r="I19" s="187">
        <v>45199</v>
      </c>
      <c r="J19" s="187">
        <v>45214</v>
      </c>
      <c r="K19" s="187">
        <v>44201</v>
      </c>
      <c r="L19" s="188" t="s">
        <v>325</v>
      </c>
      <c r="M19" s="79">
        <v>83245.070000000007</v>
      </c>
      <c r="N19" s="67"/>
      <c r="O19" s="67">
        <f t="shared" si="0"/>
        <v>83245.070000000007</v>
      </c>
      <c r="P19" s="66"/>
      <c r="Q19" s="67"/>
      <c r="R19" s="67"/>
      <c r="S19" s="68">
        <f t="shared" si="1"/>
        <v>0</v>
      </c>
    </row>
    <row r="20" spans="2:19" ht="24.75" customHeight="1" x14ac:dyDescent="0.25">
      <c r="B20" s="2" t="s">
        <v>287</v>
      </c>
      <c r="C20" s="236" t="s">
        <v>333</v>
      </c>
      <c r="D20" s="93" t="s">
        <v>288</v>
      </c>
      <c r="E20" s="2" t="s">
        <v>289</v>
      </c>
      <c r="F20" s="2" t="s">
        <v>7</v>
      </c>
      <c r="G20" s="186">
        <v>2.63E-2</v>
      </c>
      <c r="H20" s="186">
        <v>0.1845</v>
      </c>
      <c r="I20" s="187">
        <v>45199</v>
      </c>
      <c r="J20" s="187">
        <v>45199</v>
      </c>
      <c r="K20" s="187">
        <v>44201</v>
      </c>
      <c r="L20" s="188" t="s">
        <v>320</v>
      </c>
      <c r="M20" s="79">
        <v>154095.5</v>
      </c>
      <c r="N20" s="67"/>
      <c r="O20" s="67">
        <f t="shared" si="0"/>
        <v>154095.5</v>
      </c>
      <c r="P20" s="66"/>
      <c r="Q20" s="67">
        <f>115993.9+18390.04+19556.8</f>
        <v>153940.74</v>
      </c>
      <c r="R20" s="67"/>
      <c r="S20" s="68">
        <f t="shared" si="1"/>
        <v>153940.74</v>
      </c>
    </row>
    <row r="21" spans="2:19" ht="24.75" customHeight="1" x14ac:dyDescent="0.25">
      <c r="B21" s="2" t="s">
        <v>352</v>
      </c>
      <c r="C21" s="236" t="s">
        <v>353</v>
      </c>
      <c r="D21" s="93" t="s">
        <v>354</v>
      </c>
      <c r="E21" s="2" t="s">
        <v>355</v>
      </c>
      <c r="F21" s="2" t="s">
        <v>7</v>
      </c>
      <c r="G21" s="186">
        <v>2.63E-2</v>
      </c>
      <c r="H21" s="186">
        <v>0.1845</v>
      </c>
      <c r="I21" s="187">
        <v>45565</v>
      </c>
      <c r="J21" s="187">
        <v>45580</v>
      </c>
      <c r="K21" s="187">
        <v>44279</v>
      </c>
      <c r="L21" s="188" t="s">
        <v>356</v>
      </c>
      <c r="M21" s="79">
        <v>602492.52</v>
      </c>
      <c r="N21" s="67"/>
      <c r="O21" s="67">
        <f t="shared" si="0"/>
        <v>602492.52</v>
      </c>
      <c r="P21" s="66"/>
      <c r="Q21" s="67"/>
      <c r="R21" s="67"/>
      <c r="S21" s="68">
        <f t="shared" si="1"/>
        <v>0</v>
      </c>
    </row>
    <row r="22" spans="2:19" ht="24.75" customHeight="1" x14ac:dyDescent="0.25">
      <c r="B22" s="2" t="s">
        <v>357</v>
      </c>
      <c r="C22" s="236" t="s">
        <v>353</v>
      </c>
      <c r="D22" s="93" t="s">
        <v>354</v>
      </c>
      <c r="E22" s="2" t="s">
        <v>358</v>
      </c>
      <c r="F22" s="2" t="s">
        <v>7</v>
      </c>
      <c r="G22" s="186">
        <v>2.63E-2</v>
      </c>
      <c r="H22" s="186">
        <v>0.1845</v>
      </c>
      <c r="I22" s="187">
        <v>45565</v>
      </c>
      <c r="J22" s="187">
        <v>45580</v>
      </c>
      <c r="K22" s="187">
        <v>44279</v>
      </c>
      <c r="L22" s="188" t="s">
        <v>356</v>
      </c>
      <c r="M22" s="79">
        <v>150623.13</v>
      </c>
      <c r="N22" s="67"/>
      <c r="O22" s="67">
        <f t="shared" si="0"/>
        <v>150623.13</v>
      </c>
      <c r="P22" s="66"/>
      <c r="Q22" s="67"/>
      <c r="R22" s="67"/>
      <c r="S22" s="68">
        <f t="shared" si="1"/>
        <v>0</v>
      </c>
    </row>
    <row r="23" spans="2:19" x14ac:dyDescent="0.25">
      <c r="C23" s="45"/>
      <c r="D23" s="45"/>
      <c r="G23" s="123"/>
      <c r="H23" s="124" t="s">
        <v>100</v>
      </c>
      <c r="I23" s="116"/>
      <c r="J23" s="116"/>
      <c r="K23" s="116"/>
      <c r="M23" s="25"/>
      <c r="N23" s="25"/>
      <c r="O23" s="25"/>
      <c r="P23" s="29"/>
      <c r="Q23" s="25"/>
      <c r="R23" s="25"/>
      <c r="S23" s="26"/>
    </row>
    <row r="24" spans="2:19" ht="21" customHeight="1" x14ac:dyDescent="0.25">
      <c r="C24" s="4"/>
      <c r="D24" s="4"/>
      <c r="I24" s="116"/>
      <c r="J24" s="116"/>
      <c r="K24" s="116"/>
      <c r="L24" s="5" t="s">
        <v>38</v>
      </c>
      <c r="M24" s="66">
        <f>SUM(M7:M23)</f>
        <v>2337634.5099999998</v>
      </c>
      <c r="N24" s="66">
        <f t="shared" ref="N24:S24" si="4">SUM(N7:N23)</f>
        <v>0</v>
      </c>
      <c r="O24" s="66">
        <f t="shared" si="4"/>
        <v>2337634.5099999998</v>
      </c>
      <c r="P24" s="66"/>
      <c r="Q24" s="66">
        <f t="shared" si="4"/>
        <v>1464560.3900000001</v>
      </c>
      <c r="R24" s="66">
        <f t="shared" si="4"/>
        <v>0</v>
      </c>
      <c r="S24" s="23">
        <f t="shared" si="4"/>
        <v>1464560.3900000001</v>
      </c>
    </row>
    <row r="25" spans="2:19" x14ac:dyDescent="0.25">
      <c r="C25" s="4"/>
      <c r="D25" s="4"/>
      <c r="L25" s="5"/>
      <c r="M25" s="66"/>
      <c r="N25" s="66"/>
      <c r="O25" s="66"/>
      <c r="Q25" s="66"/>
      <c r="R25" s="66"/>
      <c r="S25" s="68"/>
    </row>
    <row r="26" spans="2:19" x14ac:dyDescent="0.25">
      <c r="B26" s="8" t="s">
        <v>125</v>
      </c>
      <c r="C26" s="92"/>
      <c r="D26" s="92"/>
      <c r="L26" s="5"/>
      <c r="M26" s="66"/>
      <c r="N26" s="66"/>
      <c r="O26" s="66"/>
      <c r="Q26" s="66"/>
      <c r="R26" s="66"/>
      <c r="S26" s="68"/>
    </row>
    <row r="27" spans="2:19" ht="27.75" customHeight="1" x14ac:dyDescent="0.25">
      <c r="B27" s="341" t="s">
        <v>126</v>
      </c>
      <c r="C27" s="341"/>
      <c r="D27" s="341"/>
      <c r="E27" s="341"/>
      <c r="F27" s="341"/>
      <c r="G27" s="117"/>
      <c r="H27" s="117"/>
      <c r="I27" s="111"/>
      <c r="L27" s="5"/>
      <c r="M27" s="66"/>
      <c r="N27" s="66"/>
      <c r="O27" s="66"/>
      <c r="Q27" s="66"/>
      <c r="R27" s="66"/>
      <c r="S27" s="68"/>
    </row>
    <row r="28" spans="2:19" x14ac:dyDescent="0.25">
      <c r="C28" s="92"/>
      <c r="D28" s="92"/>
      <c r="L28" s="5"/>
      <c r="M28" s="66"/>
      <c r="N28" s="66"/>
      <c r="O28" s="66"/>
      <c r="Q28" s="66"/>
      <c r="R28" s="66"/>
      <c r="S28" s="68"/>
    </row>
    <row r="29" spans="2:19" ht="48.75" customHeight="1" x14ac:dyDescent="0.25">
      <c r="B29" s="341" t="s">
        <v>129</v>
      </c>
      <c r="C29" s="341"/>
      <c r="D29" s="341"/>
      <c r="E29" s="341"/>
      <c r="F29" s="341"/>
      <c r="G29" s="117"/>
      <c r="H29" s="117"/>
      <c r="I29" s="111"/>
      <c r="L29" s="5"/>
      <c r="M29" s="66"/>
      <c r="N29" s="66"/>
      <c r="O29" s="66"/>
      <c r="Q29" s="66"/>
      <c r="R29" s="66"/>
      <c r="S29" s="68"/>
    </row>
    <row r="30" spans="2:19" x14ac:dyDescent="0.25">
      <c r="B30" s="193"/>
      <c r="C30" s="193"/>
      <c r="D30" s="193"/>
      <c r="E30" s="193"/>
      <c r="F30" s="193"/>
      <c r="G30" s="193"/>
      <c r="H30" s="193"/>
      <c r="I30" s="193"/>
      <c r="L30" s="5"/>
      <c r="M30" s="66"/>
      <c r="N30" s="66"/>
      <c r="O30" s="66"/>
      <c r="Q30" s="66"/>
      <c r="R30" s="66"/>
      <c r="S30" s="68"/>
    </row>
    <row r="31" spans="2:19" ht="33.75" customHeight="1" x14ac:dyDescent="0.25">
      <c r="B31" s="341" t="s">
        <v>160</v>
      </c>
      <c r="C31" s="341"/>
      <c r="D31" s="341"/>
      <c r="E31" s="341"/>
      <c r="F31" s="341"/>
      <c r="G31" s="193"/>
      <c r="H31" s="193"/>
      <c r="I31" s="193"/>
      <c r="L31" s="5"/>
      <c r="M31" s="66"/>
      <c r="N31" s="66"/>
      <c r="O31" s="66"/>
      <c r="Q31" s="66"/>
      <c r="R31" s="66"/>
      <c r="S31" s="68"/>
    </row>
    <row r="32" spans="2:19" ht="15" customHeight="1" x14ac:dyDescent="0.25">
      <c r="B32" s="347" t="s">
        <v>159</v>
      </c>
      <c r="C32" s="341"/>
      <c r="D32" s="341"/>
      <c r="E32" s="341"/>
      <c r="F32" s="341"/>
      <c r="G32" s="193"/>
      <c r="H32" s="193"/>
      <c r="I32" s="193"/>
      <c r="L32" s="5"/>
      <c r="M32" s="66"/>
      <c r="N32" s="66"/>
      <c r="O32" s="66"/>
      <c r="Q32" s="66"/>
      <c r="R32" s="66"/>
      <c r="S32" s="68"/>
    </row>
    <row r="33" spans="1:20" ht="15" customHeight="1" x14ac:dyDescent="0.25">
      <c r="B33" s="195"/>
      <c r="C33" s="195"/>
      <c r="D33" s="195"/>
      <c r="E33" s="195"/>
      <c r="F33" s="195"/>
      <c r="G33" s="195"/>
      <c r="H33" s="195"/>
      <c r="I33" s="195"/>
      <c r="L33" s="5"/>
      <c r="M33" s="66"/>
      <c r="N33" s="66"/>
      <c r="O33" s="66"/>
      <c r="Q33" s="66"/>
      <c r="R33" s="66"/>
      <c r="S33" s="68"/>
    </row>
    <row r="34" spans="1:20" x14ac:dyDescent="0.25">
      <c r="B34" s="108"/>
      <c r="C34" s="108"/>
      <c r="D34" s="108"/>
      <c r="E34" s="108"/>
      <c r="F34" s="108"/>
      <c r="G34" s="117"/>
      <c r="H34" s="117"/>
      <c r="I34" s="111"/>
      <c r="L34" s="5"/>
      <c r="M34" s="66"/>
      <c r="N34" s="66"/>
      <c r="O34" s="66"/>
      <c r="Q34" s="66"/>
      <c r="R34" s="66"/>
      <c r="S34" s="68"/>
    </row>
    <row r="35" spans="1:20" x14ac:dyDescent="0.25">
      <c r="B35" s="7" t="s">
        <v>109</v>
      </c>
      <c r="C35" s="101" t="s">
        <v>112</v>
      </c>
      <c r="D35" s="101" t="s">
        <v>113</v>
      </c>
      <c r="E35" s="108"/>
      <c r="F35" s="108"/>
      <c r="G35" s="117"/>
      <c r="H35" s="117"/>
      <c r="I35" s="111"/>
      <c r="L35" s="5"/>
      <c r="M35" s="66"/>
      <c r="N35" s="66"/>
      <c r="O35" s="66"/>
      <c r="Q35" s="66"/>
      <c r="R35" s="66"/>
      <c r="S35" s="68"/>
    </row>
    <row r="36" spans="1:20" x14ac:dyDescent="0.25">
      <c r="A36" s="2" t="s">
        <v>110</v>
      </c>
      <c r="B36" s="2" t="s">
        <v>110</v>
      </c>
      <c r="C36" s="92" t="s">
        <v>327</v>
      </c>
      <c r="D36" s="92" t="s">
        <v>118</v>
      </c>
      <c r="L36" s="5"/>
      <c r="M36" s="66"/>
      <c r="N36" s="66"/>
      <c r="O36" s="66"/>
      <c r="Q36" s="66"/>
      <c r="R36" s="66"/>
      <c r="S36" s="68"/>
    </row>
    <row r="37" spans="1:20" x14ac:dyDescent="0.25">
      <c r="B37" s="2" t="s">
        <v>111</v>
      </c>
      <c r="C37" s="92" t="s">
        <v>300</v>
      </c>
      <c r="D37" s="92" t="s">
        <v>303</v>
      </c>
      <c r="L37" s="5"/>
      <c r="M37" s="66"/>
      <c r="N37" s="66"/>
      <c r="O37" s="66"/>
      <c r="Q37" s="66"/>
      <c r="R37" s="66"/>
      <c r="S37" s="68"/>
    </row>
    <row r="38" spans="1:20" x14ac:dyDescent="0.25">
      <c r="B38" s="2" t="s">
        <v>230</v>
      </c>
      <c r="C38" s="92" t="s">
        <v>135</v>
      </c>
      <c r="D38" s="92" t="s">
        <v>147</v>
      </c>
      <c r="L38" s="5"/>
      <c r="M38" s="66"/>
      <c r="N38" s="66"/>
      <c r="O38" s="66"/>
      <c r="Q38" s="66"/>
      <c r="R38" s="66"/>
      <c r="S38" s="68"/>
    </row>
    <row r="39" spans="1:20" x14ac:dyDescent="0.25">
      <c r="B39" s="2" t="s">
        <v>275</v>
      </c>
      <c r="C39" s="92" t="s">
        <v>135</v>
      </c>
      <c r="D39" s="92" t="s">
        <v>147</v>
      </c>
      <c r="L39" s="5"/>
      <c r="M39" s="66"/>
      <c r="N39" s="66"/>
      <c r="O39" s="66"/>
      <c r="Q39" s="66"/>
      <c r="R39" s="66"/>
      <c r="S39" s="68"/>
    </row>
    <row r="40" spans="1:20" x14ac:dyDescent="0.25">
      <c r="B40" s="2" t="s">
        <v>279</v>
      </c>
      <c r="C40" s="92" t="s">
        <v>135</v>
      </c>
      <c r="D40" s="92" t="s">
        <v>147</v>
      </c>
      <c r="L40" s="5"/>
      <c r="M40" s="66"/>
      <c r="N40" s="66"/>
      <c r="O40" s="66"/>
      <c r="Q40" s="66"/>
      <c r="R40" s="66"/>
      <c r="S40" s="68"/>
    </row>
    <row r="41" spans="1:20" x14ac:dyDescent="0.25">
      <c r="B41" s="2" t="s">
        <v>281</v>
      </c>
      <c r="C41" s="92" t="s">
        <v>135</v>
      </c>
      <c r="D41" s="92" t="s">
        <v>147</v>
      </c>
      <c r="L41" s="5"/>
      <c r="M41" s="66"/>
      <c r="N41" s="66"/>
      <c r="O41" s="66"/>
      <c r="Q41" s="66"/>
      <c r="R41" s="66"/>
      <c r="S41" s="68"/>
    </row>
    <row r="42" spans="1:20" x14ac:dyDescent="0.25">
      <c r="B42" s="2" t="s">
        <v>286</v>
      </c>
      <c r="C42" s="92" t="s">
        <v>135</v>
      </c>
      <c r="D42" s="92" t="s">
        <v>147</v>
      </c>
      <c r="L42" s="5"/>
      <c r="M42" s="66"/>
      <c r="N42" s="66"/>
      <c r="O42" s="66"/>
      <c r="Q42" s="66"/>
      <c r="R42" s="66"/>
      <c r="S42" s="68"/>
    </row>
    <row r="43" spans="1:20" x14ac:dyDescent="0.25">
      <c r="C43" s="92"/>
      <c r="D43" s="92"/>
      <c r="L43" s="5"/>
      <c r="M43" s="66"/>
      <c r="N43" s="66"/>
      <c r="O43" s="66"/>
      <c r="Q43" s="66"/>
      <c r="R43" s="66"/>
      <c r="S43" s="68"/>
    </row>
    <row r="44" spans="1:20" x14ac:dyDescent="0.25">
      <c r="B44" s="258" t="s">
        <v>298</v>
      </c>
      <c r="C44" s="92"/>
      <c r="D44" s="92"/>
      <c r="L44" s="5"/>
      <c r="M44" s="66"/>
      <c r="N44" s="66"/>
      <c r="O44" s="66"/>
      <c r="Q44" s="66"/>
      <c r="R44" s="66"/>
      <c r="S44" s="68"/>
    </row>
    <row r="45" spans="1:20" x14ac:dyDescent="0.25">
      <c r="B45" s="336" t="s">
        <v>299</v>
      </c>
      <c r="C45" s="336"/>
      <c r="D45" s="336"/>
      <c r="E45" s="336"/>
      <c r="F45" s="336"/>
      <c r="G45" s="336"/>
      <c r="H45" s="336"/>
      <c r="L45" s="5"/>
      <c r="M45" s="66"/>
      <c r="N45" s="66"/>
      <c r="O45" s="66"/>
      <c r="Q45" s="66"/>
      <c r="R45" s="66"/>
      <c r="S45" s="68"/>
    </row>
    <row r="46" spans="1:20" ht="15" customHeight="1" x14ac:dyDescent="0.25">
      <c r="B46" s="29"/>
      <c r="C46" s="29"/>
      <c r="I46" s="29"/>
      <c r="J46" s="29"/>
      <c r="K46" s="29"/>
      <c r="L46" s="29"/>
      <c r="M46" s="29"/>
      <c r="N46" s="29"/>
      <c r="O46" s="29"/>
      <c r="P46" s="29"/>
      <c r="Q46" s="59"/>
      <c r="R46" s="49"/>
      <c r="S46" s="165"/>
    </row>
    <row r="47" spans="1:20" ht="15" customHeight="1" x14ac:dyDescent="0.25">
      <c r="B47" s="109"/>
      <c r="C47" s="109"/>
      <c r="D47" s="109"/>
      <c r="E47" s="109"/>
      <c r="F47" s="109"/>
      <c r="G47" s="109"/>
      <c r="H47" s="109"/>
      <c r="I47" s="109"/>
      <c r="J47" s="109"/>
      <c r="K47" s="109"/>
      <c r="L47" s="109"/>
      <c r="M47" s="109"/>
      <c r="N47" s="109"/>
      <c r="O47" s="109"/>
      <c r="P47" s="109"/>
      <c r="Q47" s="170" t="s">
        <v>90</v>
      </c>
      <c r="R47" s="171"/>
      <c r="S47" s="172"/>
      <c r="T47" s="51"/>
    </row>
    <row r="48" spans="1:20" x14ac:dyDescent="0.25">
      <c r="B48" s="17" t="s">
        <v>39</v>
      </c>
      <c r="C48" s="241" t="s">
        <v>2</v>
      </c>
      <c r="D48" s="241"/>
      <c r="E48" s="241" t="s">
        <v>34</v>
      </c>
      <c r="F48" s="241" t="s">
        <v>35</v>
      </c>
      <c r="G48" s="241"/>
      <c r="H48" s="241"/>
      <c r="I48" s="241"/>
      <c r="J48" s="241"/>
      <c r="K48" s="241"/>
      <c r="L48" s="241" t="s">
        <v>36</v>
      </c>
      <c r="M48" s="241" t="s">
        <v>37</v>
      </c>
      <c r="N48" s="10"/>
      <c r="O48" s="10"/>
      <c r="P48" s="10"/>
      <c r="Q48" s="54" t="s">
        <v>88</v>
      </c>
      <c r="R48" s="54"/>
      <c r="S48" s="55"/>
      <c r="T48" s="51"/>
    </row>
    <row r="49" spans="2:20" x14ac:dyDescent="0.25">
      <c r="B49" s="63"/>
      <c r="C49" s="148"/>
      <c r="D49" s="148"/>
      <c r="E49" s="148"/>
      <c r="F49" s="148"/>
      <c r="G49" s="148"/>
      <c r="H49" s="148"/>
      <c r="I49" s="148"/>
      <c r="J49" s="148"/>
      <c r="K49" s="148"/>
      <c r="L49" s="148"/>
      <c r="M49" s="148"/>
      <c r="N49" s="29"/>
      <c r="O49" s="29"/>
      <c r="P49" s="29"/>
      <c r="Q49" s="56"/>
      <c r="R49" s="56"/>
      <c r="S49" s="56"/>
      <c r="T49" s="51"/>
    </row>
    <row r="50" spans="2:20" x14ac:dyDescent="0.25">
      <c r="B50" s="63"/>
      <c r="C50" s="148"/>
      <c r="D50" s="148"/>
      <c r="E50" s="148"/>
      <c r="F50" s="148"/>
      <c r="G50" s="148"/>
      <c r="H50" s="148"/>
      <c r="I50" s="148"/>
      <c r="J50" s="148"/>
      <c r="K50" s="148"/>
      <c r="L50" s="148"/>
      <c r="M50" s="148"/>
      <c r="N50" s="29"/>
      <c r="O50" s="29"/>
      <c r="P50" s="29"/>
      <c r="Q50" s="56"/>
      <c r="R50" s="56"/>
      <c r="S50" s="56"/>
      <c r="T50" s="51"/>
    </row>
    <row r="51" spans="2:20" x14ac:dyDescent="0.25">
      <c r="B51" s="63"/>
      <c r="C51" s="148"/>
      <c r="D51" s="148"/>
      <c r="E51" s="148"/>
      <c r="F51" s="148"/>
      <c r="G51" s="148"/>
      <c r="H51" s="148"/>
      <c r="I51" s="148"/>
      <c r="J51" s="148"/>
      <c r="K51" s="148"/>
      <c r="L51" s="148"/>
      <c r="M51" s="148"/>
      <c r="N51" s="29"/>
      <c r="O51" s="29"/>
      <c r="P51" s="29"/>
      <c r="Q51" s="56"/>
      <c r="R51" s="56"/>
      <c r="S51" s="56"/>
      <c r="T51" s="51"/>
    </row>
    <row r="52" spans="2:20" x14ac:dyDescent="0.25">
      <c r="B52" s="63"/>
      <c r="C52" s="148"/>
      <c r="D52" s="148"/>
      <c r="E52" s="148"/>
      <c r="F52" s="148"/>
      <c r="G52" s="148"/>
      <c r="H52" s="148"/>
      <c r="I52" s="148"/>
      <c r="J52" s="148"/>
      <c r="K52" s="148"/>
      <c r="L52" s="148"/>
      <c r="M52" s="148"/>
      <c r="N52" s="45"/>
      <c r="O52" s="45"/>
      <c r="P52" s="45"/>
      <c r="R52" s="51"/>
      <c r="S52" s="51"/>
      <c r="T52" s="51"/>
    </row>
    <row r="53" spans="2:20" x14ac:dyDescent="0.25">
      <c r="B53" s="63"/>
      <c r="C53" s="148"/>
      <c r="D53" s="148"/>
      <c r="E53" s="148"/>
      <c r="F53" s="148"/>
      <c r="G53" s="148"/>
      <c r="H53" s="148"/>
      <c r="I53" s="148"/>
      <c r="J53" s="148"/>
      <c r="K53" s="148"/>
      <c r="L53" s="148"/>
      <c r="M53" s="148"/>
      <c r="N53" s="45"/>
      <c r="O53" s="45"/>
      <c r="P53" s="45"/>
      <c r="R53" s="51"/>
      <c r="S53" s="51"/>
      <c r="T53" s="51"/>
    </row>
    <row r="54" spans="2:20" x14ac:dyDescent="0.25">
      <c r="B54" s="12"/>
      <c r="C54" s="13"/>
      <c r="D54" s="13"/>
      <c r="E54" s="41"/>
      <c r="F54" s="15"/>
      <c r="G54" s="15"/>
      <c r="H54" s="15"/>
      <c r="I54" s="15"/>
      <c r="J54" s="15"/>
      <c r="K54" s="15"/>
      <c r="L54" s="16"/>
      <c r="M54" s="31"/>
      <c r="Q54" s="51"/>
      <c r="R54" s="51"/>
      <c r="S54" s="51"/>
      <c r="T54" s="51"/>
    </row>
    <row r="55" spans="2:20" x14ac:dyDescent="0.25">
      <c r="C55" s="40"/>
      <c r="D55" s="40"/>
      <c r="E55" s="41"/>
      <c r="F55" s="69"/>
      <c r="G55" s="69"/>
      <c r="H55" s="69"/>
      <c r="I55" s="69"/>
      <c r="J55" s="69"/>
      <c r="K55" s="69"/>
      <c r="L55" s="33"/>
      <c r="M55" s="35"/>
      <c r="N55" s="37"/>
      <c r="O55" s="37"/>
      <c r="P55" s="29"/>
      <c r="Q55" s="309" t="s">
        <v>316</v>
      </c>
      <c r="R55" s="309"/>
      <c r="S55" s="310">
        <f>S24</f>
        <v>1464560.3900000001</v>
      </c>
    </row>
    <row r="56" spans="2:20" ht="15" customHeight="1" x14ac:dyDescent="0.25">
      <c r="C56" s="40"/>
      <c r="D56" s="40"/>
      <c r="E56" s="41"/>
      <c r="F56" s="38"/>
      <c r="G56" s="38"/>
      <c r="H56" s="38"/>
      <c r="I56" s="38"/>
      <c r="J56" s="38"/>
      <c r="K56" s="38"/>
      <c r="L56" s="33"/>
      <c r="M56" s="31"/>
      <c r="N56" s="99"/>
      <c r="O56" s="99"/>
      <c r="P56" s="29"/>
    </row>
    <row r="57" spans="2:20" x14ac:dyDescent="0.25">
      <c r="B57" s="36"/>
      <c r="C57" s="40"/>
      <c r="D57" s="40"/>
      <c r="E57" s="41"/>
      <c r="F57" s="38"/>
      <c r="G57" s="38"/>
      <c r="H57" s="38"/>
      <c r="I57" s="38"/>
      <c r="J57" s="38"/>
      <c r="K57" s="38"/>
      <c r="L57" s="33"/>
      <c r="M57" s="31"/>
      <c r="N57" s="99"/>
      <c r="O57" s="99"/>
      <c r="P57" s="29"/>
    </row>
    <row r="58" spans="2:20" x14ac:dyDescent="0.25">
      <c r="B58" s="36"/>
      <c r="C58" s="40"/>
      <c r="D58" s="40"/>
      <c r="E58" s="41"/>
      <c r="F58" s="38"/>
      <c r="G58" s="38"/>
      <c r="H58" s="38"/>
      <c r="I58" s="38"/>
      <c r="J58" s="38"/>
      <c r="K58" s="38"/>
      <c r="L58" s="33"/>
      <c r="M58" s="31"/>
      <c r="N58" s="99"/>
      <c r="O58" s="99"/>
      <c r="P58" s="29"/>
    </row>
    <row r="59" spans="2:20" ht="16.5" customHeight="1" x14ac:dyDescent="0.25">
      <c r="B59" s="36"/>
      <c r="C59" s="40"/>
      <c r="D59" s="40"/>
      <c r="E59" s="41"/>
      <c r="F59" s="38"/>
      <c r="G59" s="38"/>
      <c r="H59" s="38"/>
      <c r="I59" s="38"/>
      <c r="J59" s="38"/>
      <c r="K59" s="38"/>
      <c r="L59" s="39"/>
      <c r="M59" s="20"/>
      <c r="N59" s="99"/>
      <c r="O59" s="99"/>
      <c r="P59" s="29"/>
    </row>
    <row r="60" spans="2:20" ht="15" hidden="1" customHeight="1" x14ac:dyDescent="0.25">
      <c r="B60" s="36"/>
      <c r="C60" s="40"/>
    </row>
    <row r="61" spans="2:20" ht="15" customHeight="1" x14ac:dyDescent="0.25">
      <c r="E61" s="21"/>
      <c r="F61" s="102"/>
      <c r="G61" s="102"/>
      <c r="H61" s="102"/>
      <c r="I61" s="102"/>
      <c r="J61" s="102"/>
      <c r="K61" s="102"/>
    </row>
    <row r="64" spans="2:20" ht="15" customHeight="1" x14ac:dyDescent="0.25"/>
  </sheetData>
  <mergeCells count="7">
    <mergeCell ref="B45:H45"/>
    <mergeCell ref="B32:F32"/>
    <mergeCell ref="Q2:S2"/>
    <mergeCell ref="Q1:S1"/>
    <mergeCell ref="B27:F27"/>
    <mergeCell ref="B29:F29"/>
    <mergeCell ref="B31:F31"/>
  </mergeCells>
  <hyperlinks>
    <hyperlink ref="B32" r:id="rId1"/>
  </hyperlinks>
  <printOptions horizontalCentered="1" gridLines="1"/>
  <pageMargins left="0" right="0" top="0.75" bottom="0.75" header="0.3" footer="0.3"/>
  <pageSetup scale="53" orientation="landscape" horizontalDpi="1200" verticalDpi="1200"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3"/>
  <sheetViews>
    <sheetView topLeftCell="B6" zoomScale="90" zoomScaleNormal="90" workbookViewId="0">
      <selection activeCell="S20" sqref="S20"/>
    </sheetView>
  </sheetViews>
  <sheetFormatPr defaultColWidth="9.140625" defaultRowHeight="15" x14ac:dyDescent="0.25"/>
  <cols>
    <col min="1" max="1" width="9.140625" style="2" hidden="1" customWidth="1"/>
    <col min="2" max="2" width="61.28515625" style="2" customWidth="1"/>
    <col min="3" max="3" width="27.42578125" style="2" customWidth="1"/>
    <col min="4" max="4" width="13.7109375" style="2" customWidth="1"/>
    <col min="5" max="5" width="17.28515625" style="2" customWidth="1"/>
    <col min="6" max="6" width="21" style="2" customWidth="1"/>
    <col min="7" max="7" width="11.28515625" style="2" customWidth="1"/>
    <col min="8" max="8" width="14.42578125" style="2" customWidth="1"/>
    <col min="9" max="9" width="13.28515625" style="2" customWidth="1"/>
    <col min="10" max="10" width="14.85546875" style="2" customWidth="1"/>
    <col min="11" max="11" width="8" style="2" customWidth="1"/>
    <col min="12" max="12" width="18.85546875" style="2" customWidth="1"/>
    <col min="13" max="13" width="13.28515625" style="2" bestFit="1" customWidth="1"/>
    <col min="14" max="14" width="13.7109375" style="2" customWidth="1"/>
    <col min="15" max="15" width="14.42578125" style="2" customWidth="1"/>
    <col min="16" max="16" width="3.140625" style="2" customWidth="1"/>
    <col min="17" max="17" width="14.5703125" style="2" customWidth="1"/>
    <col min="18" max="18" width="14.140625" style="2" customWidth="1"/>
    <col min="19" max="19" width="16.7109375" style="2" customWidth="1"/>
    <col min="20" max="16384" width="9.140625" style="2"/>
  </cols>
  <sheetData>
    <row r="1" spans="1:20" ht="15.6" customHeight="1" x14ac:dyDescent="0.25">
      <c r="B1" s="1" t="s">
        <v>167</v>
      </c>
      <c r="Q1" s="338" t="s">
        <v>296</v>
      </c>
      <c r="R1" s="338"/>
      <c r="S1" s="338"/>
    </row>
    <row r="2" spans="1:20" x14ac:dyDescent="0.25">
      <c r="B2" s="88" t="s">
        <v>148</v>
      </c>
      <c r="C2" s="182">
        <v>44742</v>
      </c>
      <c r="M2" s="71"/>
      <c r="N2" s="71"/>
      <c r="P2" s="29"/>
      <c r="Q2" s="337" t="s">
        <v>375</v>
      </c>
      <c r="R2" s="337"/>
      <c r="S2" s="337"/>
    </row>
    <row r="3" spans="1:20" ht="15.75" thickBot="1" x14ac:dyDescent="0.3">
      <c r="A3" s="2" t="s">
        <v>16</v>
      </c>
      <c r="B3" s="44" t="s">
        <v>71</v>
      </c>
      <c r="C3" s="8"/>
      <c r="D3" s="8"/>
      <c r="E3" s="8"/>
      <c r="P3" s="29"/>
      <c r="Q3" s="45"/>
      <c r="R3" s="30"/>
    </row>
    <row r="4" spans="1:20" x14ac:dyDescent="0.25">
      <c r="B4" s="8" t="s">
        <v>174</v>
      </c>
      <c r="M4" s="85" t="s">
        <v>28</v>
      </c>
      <c r="N4" s="85" t="s">
        <v>28</v>
      </c>
      <c r="O4" s="85" t="s">
        <v>28</v>
      </c>
      <c r="P4" s="9"/>
      <c r="Q4" s="89" t="s">
        <v>29</v>
      </c>
      <c r="R4" s="89" t="s">
        <v>31</v>
      </c>
      <c r="S4" s="89" t="s">
        <v>23</v>
      </c>
      <c r="T4" s="7"/>
    </row>
    <row r="5" spans="1:20" ht="15.75" thickBot="1" x14ac:dyDescent="0.3">
      <c r="G5" s="183" t="s">
        <v>295</v>
      </c>
      <c r="H5" s="183" t="s">
        <v>295</v>
      </c>
      <c r="M5" s="86" t="s">
        <v>27</v>
      </c>
      <c r="N5" s="86" t="s">
        <v>26</v>
      </c>
      <c r="O5" s="86" t="s">
        <v>25</v>
      </c>
      <c r="P5" s="9"/>
      <c r="Q5" s="90" t="s">
        <v>30</v>
      </c>
      <c r="R5" s="90" t="s">
        <v>30</v>
      </c>
      <c r="S5" s="90" t="s">
        <v>30</v>
      </c>
      <c r="T5" s="7"/>
    </row>
    <row r="6" spans="1:20" ht="85.5" customHeight="1" thickBot="1" x14ac:dyDescent="0.3">
      <c r="B6" s="84" t="s">
        <v>1</v>
      </c>
      <c r="C6" s="84" t="s">
        <v>389</v>
      </c>
      <c r="D6" s="84" t="s">
        <v>107</v>
      </c>
      <c r="E6" s="84" t="s">
        <v>3</v>
      </c>
      <c r="F6" s="84" t="s">
        <v>4</v>
      </c>
      <c r="G6" s="107" t="s">
        <v>136</v>
      </c>
      <c r="H6" s="107" t="s">
        <v>137</v>
      </c>
      <c r="I6" s="107" t="s">
        <v>133</v>
      </c>
      <c r="J6" s="107" t="s">
        <v>134</v>
      </c>
      <c r="K6" s="107" t="s">
        <v>121</v>
      </c>
      <c r="L6" s="83" t="s">
        <v>5</v>
      </c>
      <c r="M6" s="87" t="s">
        <v>6</v>
      </c>
      <c r="N6" s="87" t="s">
        <v>6</v>
      </c>
      <c r="O6" s="87" t="s">
        <v>6</v>
      </c>
      <c r="P6" s="9"/>
      <c r="Q6" s="91"/>
      <c r="R6" s="97" t="s">
        <v>32</v>
      </c>
      <c r="S6" s="98" t="s">
        <v>33</v>
      </c>
    </row>
    <row r="7" spans="1:20" ht="41.25" customHeight="1" x14ac:dyDescent="0.25">
      <c r="B7" s="2" t="s">
        <v>128</v>
      </c>
      <c r="C7" s="225" t="s">
        <v>122</v>
      </c>
      <c r="D7" s="93" t="s">
        <v>310</v>
      </c>
      <c r="E7" s="2" t="s">
        <v>309</v>
      </c>
      <c r="F7" s="2" t="s">
        <v>7</v>
      </c>
      <c r="G7" s="186">
        <v>2.63E-2</v>
      </c>
      <c r="H7" s="186">
        <v>0.1845</v>
      </c>
      <c r="I7" s="187">
        <v>44742</v>
      </c>
      <c r="J7" s="187">
        <v>44743</v>
      </c>
      <c r="K7" s="187">
        <v>44378</v>
      </c>
      <c r="L7" s="188" t="s">
        <v>297</v>
      </c>
      <c r="M7" s="67">
        <v>389802.28</v>
      </c>
      <c r="N7" s="67"/>
      <c r="O7" s="67">
        <f>M7+N7</f>
        <v>389802.28</v>
      </c>
      <c r="P7" s="29"/>
      <c r="Q7" s="67">
        <v>389802.28</v>
      </c>
      <c r="R7" s="67"/>
      <c r="S7" s="68">
        <f>Q7+R7</f>
        <v>389802.28</v>
      </c>
    </row>
    <row r="8" spans="1:20" ht="30.75" customHeight="1" x14ac:dyDescent="0.25">
      <c r="B8" s="330" t="s">
        <v>387</v>
      </c>
      <c r="C8" s="327" t="s">
        <v>373</v>
      </c>
      <c r="D8" s="328" t="s">
        <v>372</v>
      </c>
      <c r="E8" s="29" t="s">
        <v>374</v>
      </c>
      <c r="F8" s="2" t="s">
        <v>7</v>
      </c>
      <c r="G8" s="186">
        <v>2.63E-2</v>
      </c>
      <c r="H8" s="186">
        <v>0.1845</v>
      </c>
      <c r="I8" s="187">
        <v>45199</v>
      </c>
      <c r="J8" s="187">
        <v>45214</v>
      </c>
      <c r="K8" s="187">
        <v>44378</v>
      </c>
      <c r="L8" s="188" t="s">
        <v>325</v>
      </c>
      <c r="M8" s="70">
        <v>116689.39</v>
      </c>
      <c r="N8" s="70"/>
      <c r="O8" s="67">
        <f>M8+N8</f>
        <v>116689.39</v>
      </c>
      <c r="P8" s="42"/>
      <c r="Q8" s="43">
        <v>116689.39</v>
      </c>
      <c r="R8" s="67"/>
      <c r="S8" s="68">
        <f>SUM(Q8:R8)</f>
        <v>116689.39</v>
      </c>
    </row>
    <row r="9" spans="1:20" ht="26.25" customHeight="1" x14ac:dyDescent="0.25">
      <c r="B9" s="2" t="s">
        <v>223</v>
      </c>
      <c r="C9" s="236" t="s">
        <v>333</v>
      </c>
      <c r="D9" s="93" t="s">
        <v>224</v>
      </c>
      <c r="E9" s="2" t="s">
        <v>225</v>
      </c>
      <c r="F9" s="2" t="s">
        <v>7</v>
      </c>
      <c r="G9" s="186">
        <v>2.63E-2</v>
      </c>
      <c r="H9" s="186">
        <v>0.1845</v>
      </c>
      <c r="I9" s="187">
        <v>44834</v>
      </c>
      <c r="J9" s="187">
        <v>44849</v>
      </c>
      <c r="K9" s="187">
        <v>43614</v>
      </c>
      <c r="L9" s="188" t="s">
        <v>274</v>
      </c>
      <c r="M9" s="67">
        <v>22158.99</v>
      </c>
      <c r="N9" s="67"/>
      <c r="O9" s="67">
        <f t="shared" ref="O9" si="0">M9+N9</f>
        <v>22158.99</v>
      </c>
      <c r="P9" s="29"/>
      <c r="Q9" s="67"/>
      <c r="R9" s="67"/>
      <c r="S9" s="68">
        <f t="shared" ref="S9" si="1">Q9+R9</f>
        <v>0</v>
      </c>
    </row>
    <row r="10" spans="1:20" ht="26.25" customHeight="1" x14ac:dyDescent="0.25">
      <c r="B10" s="2" t="s">
        <v>279</v>
      </c>
      <c r="C10" s="236" t="s">
        <v>333</v>
      </c>
      <c r="D10" s="93" t="s">
        <v>224</v>
      </c>
      <c r="E10" s="2" t="s">
        <v>280</v>
      </c>
      <c r="F10" s="2" t="s">
        <v>7</v>
      </c>
      <c r="G10" s="186">
        <v>2.63E-2</v>
      </c>
      <c r="H10" s="186">
        <v>0.1845</v>
      </c>
      <c r="I10" s="187">
        <v>44592</v>
      </c>
      <c r="J10" s="187">
        <v>44592</v>
      </c>
      <c r="K10" s="187">
        <v>43980</v>
      </c>
      <c r="L10" s="188" t="s">
        <v>332</v>
      </c>
      <c r="M10" s="79">
        <v>3000</v>
      </c>
      <c r="N10" s="67"/>
      <c r="O10" s="67">
        <f t="shared" ref="O10:O18" si="2">M10+N10</f>
        <v>3000</v>
      </c>
      <c r="P10" s="66"/>
      <c r="Q10" s="67"/>
      <c r="R10" s="67"/>
      <c r="S10" s="68">
        <f t="shared" ref="S10:S18" si="3">Q10+R10</f>
        <v>0</v>
      </c>
    </row>
    <row r="11" spans="1:20" ht="26.25" customHeight="1" x14ac:dyDescent="0.25">
      <c r="B11" s="2" t="s">
        <v>281</v>
      </c>
      <c r="C11" s="236" t="s">
        <v>334</v>
      </c>
      <c r="D11" s="93" t="s">
        <v>231</v>
      </c>
      <c r="E11" s="2" t="s">
        <v>282</v>
      </c>
      <c r="F11" s="2" t="s">
        <v>7</v>
      </c>
      <c r="G11" s="186">
        <v>2.63E-2</v>
      </c>
      <c r="H11" s="186">
        <v>0.1845</v>
      </c>
      <c r="I11" s="187">
        <v>44742</v>
      </c>
      <c r="J11" s="187">
        <v>44757</v>
      </c>
      <c r="K11" s="187">
        <v>43979</v>
      </c>
      <c r="L11" s="188" t="s">
        <v>283</v>
      </c>
      <c r="M11" s="79">
        <v>1027</v>
      </c>
      <c r="N11" s="67"/>
      <c r="O11" s="67">
        <f t="shared" si="2"/>
        <v>1027</v>
      </c>
      <c r="P11" s="66"/>
      <c r="Q11" s="67"/>
      <c r="R11" s="67"/>
      <c r="S11" s="68">
        <f t="shared" si="3"/>
        <v>0</v>
      </c>
    </row>
    <row r="12" spans="1:20" ht="26.25" customHeight="1" x14ac:dyDescent="0.25">
      <c r="B12" s="2" t="s">
        <v>321</v>
      </c>
      <c r="C12" s="236" t="s">
        <v>333</v>
      </c>
      <c r="D12" s="93" t="s">
        <v>288</v>
      </c>
      <c r="E12" s="2" t="s">
        <v>322</v>
      </c>
      <c r="F12" s="2" t="s">
        <v>7</v>
      </c>
      <c r="G12" s="186">
        <f>G11:H11</f>
        <v>2.63E-2</v>
      </c>
      <c r="H12" s="186">
        <f>H11</f>
        <v>0.1845</v>
      </c>
      <c r="I12" s="187">
        <v>45199</v>
      </c>
      <c r="J12" s="187">
        <v>45214</v>
      </c>
      <c r="K12" s="187">
        <v>44201</v>
      </c>
      <c r="L12" s="188" t="s">
        <v>323</v>
      </c>
      <c r="M12" s="79">
        <v>20440.14</v>
      </c>
      <c r="N12" s="67"/>
      <c r="O12" s="67">
        <f t="shared" si="2"/>
        <v>20440.14</v>
      </c>
      <c r="P12" s="66"/>
      <c r="Q12" s="67"/>
      <c r="R12" s="67"/>
      <c r="S12" s="68">
        <f t="shared" si="3"/>
        <v>0</v>
      </c>
    </row>
    <row r="13" spans="1:20" ht="26.25" customHeight="1" x14ac:dyDescent="0.25">
      <c r="B13" s="2" t="s">
        <v>324</v>
      </c>
      <c r="C13" s="236" t="s">
        <v>333</v>
      </c>
      <c r="D13" s="93" t="s">
        <v>288</v>
      </c>
      <c r="E13" s="2" t="s">
        <v>329</v>
      </c>
      <c r="F13" s="2" t="s">
        <v>7</v>
      </c>
      <c r="G13" s="186">
        <f>G12:H12</f>
        <v>2.63E-2</v>
      </c>
      <c r="H13" s="186">
        <f>H12</f>
        <v>0.1845</v>
      </c>
      <c r="I13" s="187">
        <v>45199</v>
      </c>
      <c r="J13" s="187">
        <v>45214</v>
      </c>
      <c r="K13" s="187">
        <v>44201</v>
      </c>
      <c r="L13" s="188" t="s">
        <v>325</v>
      </c>
      <c r="M13" s="79">
        <v>2911</v>
      </c>
      <c r="N13" s="67"/>
      <c r="O13" s="67">
        <f t="shared" si="2"/>
        <v>2911</v>
      </c>
      <c r="P13" s="66"/>
      <c r="Q13" s="67"/>
      <c r="R13" s="67"/>
      <c r="S13" s="68">
        <f t="shared" si="3"/>
        <v>0</v>
      </c>
    </row>
    <row r="14" spans="1:20" ht="26.25" customHeight="1" x14ac:dyDescent="0.25">
      <c r="B14" s="2" t="s">
        <v>326</v>
      </c>
      <c r="C14" s="236" t="s">
        <v>333</v>
      </c>
      <c r="D14" s="93" t="s">
        <v>288</v>
      </c>
      <c r="E14" s="2" t="s">
        <v>330</v>
      </c>
      <c r="F14" s="2" t="s">
        <v>7</v>
      </c>
      <c r="G14" s="186">
        <f>G13:H13</f>
        <v>2.63E-2</v>
      </c>
      <c r="H14" s="186">
        <f>H13</f>
        <v>0.1845</v>
      </c>
      <c r="I14" s="187">
        <v>45199</v>
      </c>
      <c r="J14" s="187">
        <v>45214</v>
      </c>
      <c r="K14" s="187">
        <v>44201</v>
      </c>
      <c r="L14" s="188" t="s">
        <v>323</v>
      </c>
      <c r="M14" s="79">
        <v>5365.54</v>
      </c>
      <c r="N14" s="67"/>
      <c r="O14" s="67">
        <f t="shared" si="2"/>
        <v>5365.54</v>
      </c>
      <c r="P14" s="66"/>
      <c r="Q14" s="67"/>
      <c r="R14" s="67"/>
      <c r="S14" s="68">
        <f t="shared" si="3"/>
        <v>0</v>
      </c>
    </row>
    <row r="15" spans="1:20" ht="26.25" customHeight="1" x14ac:dyDescent="0.25">
      <c r="B15" s="2" t="s">
        <v>370</v>
      </c>
      <c r="C15" s="236" t="s">
        <v>333</v>
      </c>
      <c r="D15" s="93" t="s">
        <v>288</v>
      </c>
      <c r="E15" s="2" t="s">
        <v>331</v>
      </c>
      <c r="F15" s="2" t="s">
        <v>7</v>
      </c>
      <c r="G15" s="186">
        <f t="shared" ref="G15" si="4">G14:H14</f>
        <v>2.63E-2</v>
      </c>
      <c r="H15" s="186">
        <f t="shared" ref="H15" si="5">H14</f>
        <v>0.1845</v>
      </c>
      <c r="I15" s="187">
        <v>45199</v>
      </c>
      <c r="J15" s="187">
        <v>45214</v>
      </c>
      <c r="K15" s="187">
        <v>44201</v>
      </c>
      <c r="L15" s="188" t="s">
        <v>325</v>
      </c>
      <c r="M15" s="79">
        <v>25396.87</v>
      </c>
      <c r="N15" s="67"/>
      <c r="O15" s="67">
        <f t="shared" si="2"/>
        <v>25396.87</v>
      </c>
      <c r="P15" s="66"/>
      <c r="Q15" s="67"/>
      <c r="R15" s="67"/>
      <c r="S15" s="68">
        <f t="shared" si="3"/>
        <v>0</v>
      </c>
    </row>
    <row r="16" spans="1:20" ht="26.25" customHeight="1" x14ac:dyDescent="0.25">
      <c r="B16" s="2" t="s">
        <v>287</v>
      </c>
      <c r="C16" s="236" t="s">
        <v>333</v>
      </c>
      <c r="D16" s="93" t="s">
        <v>288</v>
      </c>
      <c r="E16" s="2" t="s">
        <v>289</v>
      </c>
      <c r="F16" s="2" t="s">
        <v>7</v>
      </c>
      <c r="G16" s="186">
        <v>2.63E-2</v>
      </c>
      <c r="H16" s="186">
        <v>0.1845</v>
      </c>
      <c r="I16" s="187">
        <v>45199</v>
      </c>
      <c r="J16" s="187">
        <v>45199</v>
      </c>
      <c r="K16" s="187">
        <v>44201</v>
      </c>
      <c r="L16" s="188" t="s">
        <v>320</v>
      </c>
      <c r="M16" s="79">
        <v>47012.32</v>
      </c>
      <c r="N16" s="67"/>
      <c r="O16" s="67">
        <f t="shared" si="2"/>
        <v>47012.32</v>
      </c>
      <c r="P16" s="66"/>
      <c r="Q16" s="67">
        <v>0</v>
      </c>
      <c r="R16" s="67"/>
      <c r="S16" s="68">
        <f t="shared" si="3"/>
        <v>0</v>
      </c>
    </row>
    <row r="17" spans="2:19" ht="26.25" customHeight="1" x14ac:dyDescent="0.25">
      <c r="B17" s="2" t="s">
        <v>352</v>
      </c>
      <c r="C17" s="236" t="s">
        <v>353</v>
      </c>
      <c r="D17" s="93" t="s">
        <v>354</v>
      </c>
      <c r="E17" s="2" t="s">
        <v>355</v>
      </c>
      <c r="F17" s="2" t="s">
        <v>7</v>
      </c>
      <c r="G17" s="186">
        <v>2.63E-2</v>
      </c>
      <c r="H17" s="186">
        <v>0.1845</v>
      </c>
      <c r="I17" s="187">
        <v>45565</v>
      </c>
      <c r="J17" s="187">
        <v>45580</v>
      </c>
      <c r="K17" s="187">
        <v>44279</v>
      </c>
      <c r="L17" s="188" t="s">
        <v>356</v>
      </c>
      <c r="M17" s="79">
        <v>183811.81</v>
      </c>
      <c r="N17" s="67"/>
      <c r="O17" s="67">
        <f t="shared" si="2"/>
        <v>183811.81</v>
      </c>
      <c r="P17" s="66"/>
      <c r="Q17" s="67"/>
      <c r="R17" s="67"/>
      <c r="S17" s="68">
        <f t="shared" si="3"/>
        <v>0</v>
      </c>
    </row>
    <row r="18" spans="2:19" ht="26.25" customHeight="1" x14ac:dyDescent="0.25">
      <c r="B18" s="2" t="s">
        <v>357</v>
      </c>
      <c r="C18" s="236" t="s">
        <v>353</v>
      </c>
      <c r="D18" s="93" t="s">
        <v>354</v>
      </c>
      <c r="E18" s="2" t="s">
        <v>358</v>
      </c>
      <c r="F18" s="2" t="s">
        <v>7</v>
      </c>
      <c r="G18" s="186">
        <v>2.63E-2</v>
      </c>
      <c r="H18" s="186">
        <v>0.1845</v>
      </c>
      <c r="I18" s="187">
        <v>45565</v>
      </c>
      <c r="J18" s="187">
        <v>45580</v>
      </c>
      <c r="K18" s="187">
        <v>44279</v>
      </c>
      <c r="L18" s="188" t="s">
        <v>356</v>
      </c>
      <c r="M18" s="79">
        <v>45952.95</v>
      </c>
      <c r="N18" s="67"/>
      <c r="O18" s="67">
        <f t="shared" si="2"/>
        <v>45952.95</v>
      </c>
      <c r="P18" s="66"/>
      <c r="Q18" s="67"/>
      <c r="R18" s="67"/>
      <c r="S18" s="68">
        <f t="shared" si="3"/>
        <v>0</v>
      </c>
    </row>
    <row r="19" spans="2:19" ht="16.5" customHeight="1" x14ac:dyDescent="0.25">
      <c r="C19" s="236"/>
      <c r="D19" s="93"/>
      <c r="G19" s="186"/>
      <c r="H19" s="186"/>
      <c r="I19" s="187"/>
      <c r="J19" s="187"/>
      <c r="K19" s="187"/>
      <c r="L19" s="188"/>
      <c r="M19" s="25"/>
      <c r="N19" s="25"/>
      <c r="O19" s="25"/>
      <c r="P19" s="29"/>
      <c r="Q19" s="25"/>
      <c r="R19" s="25"/>
      <c r="S19" s="26"/>
    </row>
    <row r="20" spans="2:19" ht="23.25" customHeight="1" x14ac:dyDescent="0.25">
      <c r="C20" s="92"/>
      <c r="D20" s="92"/>
      <c r="G20" s="202"/>
      <c r="H20" s="186"/>
      <c r="I20" s="187"/>
      <c r="J20" s="187"/>
      <c r="K20" s="187"/>
      <c r="L20" s="205" t="s">
        <v>38</v>
      </c>
      <c r="M20" s="66">
        <f>SUM(M7:M19)</f>
        <v>863568.29</v>
      </c>
      <c r="N20" s="66">
        <f>SUM(N7:N19)</f>
        <v>0</v>
      </c>
      <c r="O20" s="66">
        <f>SUM(O7:O19)</f>
        <v>863568.29</v>
      </c>
      <c r="Q20" s="66">
        <f>SUM(Q7:Q19)</f>
        <v>506491.67000000004</v>
      </c>
      <c r="R20" s="66">
        <f>SUM(R7:R19)</f>
        <v>0</v>
      </c>
      <c r="S20" s="23">
        <f>SUM(S7:S19)</f>
        <v>506491.67000000004</v>
      </c>
    </row>
    <row r="21" spans="2:19" x14ac:dyDescent="0.25">
      <c r="C21" s="92"/>
      <c r="D21" s="92"/>
      <c r="I21" s="116"/>
      <c r="J21" s="116"/>
      <c r="K21" s="116"/>
      <c r="L21" s="5"/>
      <c r="M21" s="66"/>
      <c r="N21" s="66"/>
      <c r="O21" s="66"/>
      <c r="Q21" s="66"/>
      <c r="R21" s="66"/>
      <c r="S21" s="68"/>
    </row>
    <row r="22" spans="2:19" x14ac:dyDescent="0.25">
      <c r="C22" s="92"/>
      <c r="D22" s="92"/>
      <c r="I22" s="116"/>
      <c r="J22" s="116"/>
      <c r="K22" s="116"/>
      <c r="L22" s="5"/>
      <c r="M22" s="66"/>
      <c r="N22" s="66"/>
      <c r="O22" s="66"/>
      <c r="Q22" s="66"/>
      <c r="R22" s="66"/>
      <c r="S22" s="68"/>
    </row>
    <row r="23" spans="2:19" x14ac:dyDescent="0.25">
      <c r="C23" s="92"/>
      <c r="D23" s="92"/>
      <c r="I23" s="116"/>
      <c r="J23" s="116"/>
      <c r="K23" s="116"/>
      <c r="L23" s="5"/>
      <c r="M23" s="66"/>
      <c r="N23" s="66"/>
      <c r="O23" s="66"/>
      <c r="Q23" s="66"/>
      <c r="R23" s="66"/>
      <c r="S23" s="68"/>
    </row>
    <row r="24" spans="2:19" x14ac:dyDescent="0.25">
      <c r="B24" s="8" t="s">
        <v>125</v>
      </c>
      <c r="C24" s="92"/>
      <c r="D24" s="92"/>
      <c r="L24" s="5"/>
      <c r="M24" s="66"/>
      <c r="N24" s="66"/>
      <c r="O24" s="66"/>
      <c r="Q24" s="66"/>
      <c r="R24" s="66"/>
      <c r="S24" s="68"/>
    </row>
    <row r="25" spans="2:19" ht="32.25" customHeight="1" x14ac:dyDescent="0.25">
      <c r="B25" s="341" t="s">
        <v>126</v>
      </c>
      <c r="C25" s="341"/>
      <c r="D25" s="341"/>
      <c r="E25" s="341"/>
      <c r="F25" s="341"/>
      <c r="G25" s="117"/>
      <c r="H25" s="117"/>
      <c r="I25" s="111"/>
      <c r="L25" s="5"/>
      <c r="M25" s="66"/>
      <c r="N25" s="66"/>
      <c r="O25" s="66"/>
      <c r="Q25" s="66"/>
      <c r="R25" s="66"/>
      <c r="S25" s="68"/>
    </row>
    <row r="26" spans="2:19" x14ac:dyDescent="0.25">
      <c r="C26" s="92"/>
      <c r="D26" s="92"/>
      <c r="L26" s="5"/>
      <c r="M26" s="66"/>
      <c r="N26" s="66"/>
      <c r="O26" s="66"/>
      <c r="Q26" s="66"/>
      <c r="R26" s="66"/>
      <c r="S26" s="68"/>
    </row>
    <row r="27" spans="2:19" ht="49.5" customHeight="1" x14ac:dyDescent="0.25">
      <c r="B27" s="341" t="s">
        <v>129</v>
      </c>
      <c r="C27" s="341"/>
      <c r="D27" s="341"/>
      <c r="E27" s="341"/>
      <c r="F27" s="341"/>
      <c r="G27" s="117"/>
      <c r="H27" s="117"/>
      <c r="I27" s="111"/>
      <c r="L27" s="5"/>
      <c r="M27" s="66"/>
      <c r="N27" s="66"/>
      <c r="O27" s="66"/>
      <c r="Q27" s="66"/>
      <c r="R27" s="66"/>
      <c r="S27" s="68"/>
    </row>
    <row r="28" spans="2:19" x14ac:dyDescent="0.25">
      <c r="B28" s="108"/>
      <c r="C28" s="108"/>
      <c r="D28" s="108"/>
      <c r="E28" s="108"/>
      <c r="F28" s="108"/>
      <c r="G28" s="117"/>
      <c r="H28" s="117"/>
      <c r="I28" s="111"/>
      <c r="L28" s="5"/>
      <c r="M28" s="66"/>
      <c r="N28" s="66"/>
      <c r="O28" s="66"/>
      <c r="Q28" s="66"/>
      <c r="R28" s="66"/>
      <c r="S28" s="68"/>
    </row>
    <row r="29" spans="2:19" ht="30" customHeight="1" x14ac:dyDescent="0.25">
      <c r="B29" s="341" t="s">
        <v>160</v>
      </c>
      <c r="C29" s="341"/>
      <c r="D29" s="341"/>
      <c r="E29" s="341"/>
      <c r="F29" s="341"/>
      <c r="G29" s="193"/>
      <c r="H29" s="193"/>
      <c r="I29" s="193"/>
      <c r="L29" s="5"/>
      <c r="M29" s="66"/>
      <c r="N29" s="66"/>
      <c r="O29" s="66"/>
      <c r="Q29" s="66"/>
      <c r="R29" s="66"/>
      <c r="S29" s="68"/>
    </row>
    <row r="30" spans="2:19" ht="15" customHeight="1" x14ac:dyDescent="0.25">
      <c r="B30" s="347" t="s">
        <v>159</v>
      </c>
      <c r="C30" s="341"/>
      <c r="D30" s="341"/>
      <c r="E30" s="341"/>
      <c r="F30" s="341"/>
      <c r="G30" s="193"/>
      <c r="H30" s="193"/>
      <c r="I30" s="193"/>
      <c r="L30" s="5"/>
      <c r="M30" s="66"/>
      <c r="N30" s="66"/>
      <c r="O30" s="66"/>
      <c r="Q30" s="66"/>
      <c r="R30" s="66"/>
      <c r="S30" s="68"/>
    </row>
    <row r="31" spans="2:19" ht="15" customHeight="1" x14ac:dyDescent="0.25">
      <c r="B31" s="195"/>
      <c r="C31" s="195"/>
      <c r="D31" s="195"/>
      <c r="E31" s="195"/>
      <c r="F31" s="195"/>
      <c r="G31" s="195"/>
      <c r="H31" s="195"/>
      <c r="I31" s="195"/>
      <c r="L31" s="5"/>
      <c r="M31" s="66"/>
      <c r="N31" s="66"/>
      <c r="O31" s="66"/>
      <c r="Q31" s="66"/>
      <c r="R31" s="66"/>
      <c r="S31" s="68"/>
    </row>
    <row r="32" spans="2:19" x14ac:dyDescent="0.25">
      <c r="B32" s="7" t="s">
        <v>109</v>
      </c>
      <c r="C32" s="101" t="s">
        <v>112</v>
      </c>
      <c r="D32" s="101" t="s">
        <v>113</v>
      </c>
      <c r="E32" s="108"/>
      <c r="F32" s="108"/>
      <c r="G32" s="117"/>
      <c r="H32" s="117"/>
      <c r="I32" s="111"/>
      <c r="L32" s="5"/>
      <c r="M32" s="66"/>
      <c r="N32" s="66"/>
      <c r="O32" s="66"/>
      <c r="Q32" s="66"/>
      <c r="R32" s="66"/>
      <c r="S32" s="68"/>
    </row>
    <row r="33" spans="2:20" x14ac:dyDescent="0.25">
      <c r="B33" s="2" t="s">
        <v>111</v>
      </c>
      <c r="C33" s="92" t="s">
        <v>300</v>
      </c>
      <c r="D33" s="92" t="s">
        <v>303</v>
      </c>
      <c r="L33" s="5"/>
      <c r="M33" s="66"/>
      <c r="N33" s="66"/>
      <c r="O33" s="66"/>
      <c r="Q33" s="66"/>
      <c r="R33" s="66"/>
      <c r="S33" s="68"/>
    </row>
    <row r="34" spans="2:20" x14ac:dyDescent="0.25">
      <c r="B34" s="2" t="s">
        <v>230</v>
      </c>
      <c r="C34" s="92" t="s">
        <v>135</v>
      </c>
      <c r="D34" s="92" t="s">
        <v>147</v>
      </c>
      <c r="L34" s="5"/>
      <c r="M34" s="66"/>
      <c r="N34" s="66"/>
      <c r="O34" s="66"/>
      <c r="Q34" s="66"/>
      <c r="R34" s="66"/>
      <c r="S34" s="68"/>
    </row>
    <row r="35" spans="2:20" x14ac:dyDescent="0.25">
      <c r="B35" s="2" t="s">
        <v>279</v>
      </c>
      <c r="C35" s="92" t="s">
        <v>135</v>
      </c>
      <c r="D35" s="92" t="s">
        <v>147</v>
      </c>
      <c r="L35" s="5"/>
      <c r="M35" s="66"/>
      <c r="N35" s="66"/>
      <c r="O35" s="66"/>
      <c r="Q35" s="66"/>
      <c r="R35" s="66"/>
      <c r="S35" s="68"/>
    </row>
    <row r="36" spans="2:20" x14ac:dyDescent="0.25">
      <c r="B36" s="2" t="s">
        <v>281</v>
      </c>
      <c r="C36" s="92" t="s">
        <v>135</v>
      </c>
      <c r="D36" s="92" t="s">
        <v>147</v>
      </c>
      <c r="L36" s="5"/>
      <c r="M36" s="66"/>
      <c r="N36" s="66"/>
      <c r="O36" s="66"/>
      <c r="Q36" s="66"/>
      <c r="R36" s="66"/>
      <c r="S36" s="68"/>
    </row>
    <row r="37" spans="2:20" x14ac:dyDescent="0.25">
      <c r="B37" s="2" t="s">
        <v>286</v>
      </c>
      <c r="C37" s="92" t="s">
        <v>135</v>
      </c>
      <c r="D37" s="92" t="s">
        <v>147</v>
      </c>
      <c r="L37" s="5"/>
      <c r="M37" s="66"/>
      <c r="N37" s="66"/>
      <c r="O37" s="66"/>
      <c r="Q37" s="66"/>
      <c r="R37" s="66"/>
      <c r="S37" s="68"/>
    </row>
    <row r="38" spans="2:20" x14ac:dyDescent="0.25">
      <c r="C38" s="92"/>
      <c r="D38" s="92"/>
      <c r="L38" s="5"/>
      <c r="M38" s="66"/>
      <c r="N38" s="66"/>
      <c r="O38" s="66"/>
      <c r="Q38" s="66"/>
      <c r="R38" s="66"/>
      <c r="S38" s="68"/>
    </row>
    <row r="39" spans="2:20" x14ac:dyDescent="0.25">
      <c r="B39" s="258" t="s">
        <v>298</v>
      </c>
      <c r="C39" s="92"/>
      <c r="D39" s="92"/>
      <c r="L39" s="5"/>
      <c r="M39" s="66"/>
      <c r="N39" s="66"/>
      <c r="O39" s="66"/>
      <c r="Q39" s="66"/>
      <c r="R39" s="66"/>
      <c r="S39" s="68"/>
    </row>
    <row r="40" spans="2:20" x14ac:dyDescent="0.25">
      <c r="B40" s="336" t="s">
        <v>299</v>
      </c>
      <c r="C40" s="336"/>
      <c r="D40" s="336"/>
      <c r="E40" s="336"/>
      <c r="F40" s="336"/>
      <c r="G40" s="336"/>
      <c r="H40" s="336"/>
      <c r="L40" s="5"/>
      <c r="M40" s="66"/>
      <c r="N40" s="66"/>
      <c r="O40" s="66"/>
      <c r="Q40" s="66"/>
      <c r="R40" s="66"/>
      <c r="S40" s="68"/>
    </row>
    <row r="41" spans="2:20" ht="15" customHeight="1" x14ac:dyDescent="0.25">
      <c r="B41" s="10"/>
      <c r="C41" s="10"/>
      <c r="D41" s="10"/>
      <c r="E41" s="10"/>
      <c r="F41" s="10"/>
      <c r="G41" s="10"/>
      <c r="H41" s="10"/>
      <c r="I41" s="10"/>
      <c r="J41" s="10"/>
      <c r="K41" s="10"/>
      <c r="L41" s="10"/>
      <c r="M41" s="10"/>
      <c r="N41" s="29"/>
      <c r="O41" s="29"/>
      <c r="P41" s="29"/>
      <c r="Q41" s="29"/>
      <c r="R41" s="29"/>
      <c r="S41" s="27"/>
    </row>
    <row r="42" spans="2:20" ht="15" customHeight="1" x14ac:dyDescent="0.25">
      <c r="N42" s="109"/>
      <c r="O42" s="109"/>
      <c r="P42" s="109"/>
      <c r="Q42" s="170" t="s">
        <v>90</v>
      </c>
      <c r="R42" s="171"/>
      <c r="S42" s="172"/>
    </row>
    <row r="43" spans="2:20" ht="15" customHeight="1" x14ac:dyDescent="0.25">
      <c r="B43" s="17" t="s">
        <v>39</v>
      </c>
      <c r="C43" s="96" t="s">
        <v>2</v>
      </c>
      <c r="D43" s="96"/>
      <c r="E43" s="96" t="s">
        <v>34</v>
      </c>
      <c r="F43" s="96" t="s">
        <v>35</v>
      </c>
      <c r="G43" s="120"/>
      <c r="H43" s="120"/>
      <c r="I43" s="114"/>
      <c r="J43" s="96"/>
      <c r="K43" s="96"/>
      <c r="L43" s="96" t="s">
        <v>36</v>
      </c>
      <c r="M43" s="96" t="s">
        <v>37</v>
      </c>
      <c r="N43" s="10"/>
      <c r="O43" s="10"/>
      <c r="P43" s="10"/>
      <c r="Q43" s="54" t="s">
        <v>88</v>
      </c>
      <c r="R43" s="54"/>
      <c r="S43" s="55"/>
    </row>
    <row r="44" spans="2:20" x14ac:dyDescent="0.25">
      <c r="B44" s="63"/>
      <c r="C44" s="9"/>
      <c r="D44" s="9"/>
      <c r="E44" s="9"/>
      <c r="F44" s="9"/>
      <c r="G44" s="9"/>
      <c r="H44" s="9"/>
      <c r="I44" s="9"/>
      <c r="J44" s="9"/>
      <c r="K44" s="9"/>
      <c r="L44" s="9"/>
      <c r="M44" s="9"/>
    </row>
    <row r="45" spans="2:20" x14ac:dyDescent="0.25">
      <c r="B45" s="63"/>
      <c r="C45" s="9"/>
      <c r="D45" s="9"/>
      <c r="E45" s="9"/>
      <c r="F45" s="9"/>
      <c r="G45" s="9"/>
      <c r="H45" s="9"/>
      <c r="I45" s="9"/>
      <c r="J45" s="9"/>
      <c r="K45" s="9"/>
      <c r="L45" s="9"/>
      <c r="M45" s="9"/>
      <c r="Q45" s="58"/>
      <c r="R45" s="51"/>
      <c r="S45" s="51"/>
    </row>
    <row r="46" spans="2:20" x14ac:dyDescent="0.25">
      <c r="B46" s="12"/>
      <c r="C46" s="13"/>
      <c r="D46" s="13"/>
      <c r="E46" s="41"/>
      <c r="F46" s="15"/>
      <c r="G46" s="15"/>
      <c r="H46" s="15"/>
      <c r="I46" s="15"/>
      <c r="J46" s="15"/>
      <c r="K46" s="15"/>
      <c r="L46" s="16"/>
      <c r="M46" s="20"/>
      <c r="N46" s="46"/>
      <c r="O46" s="46"/>
      <c r="P46" s="46"/>
      <c r="R46" s="51"/>
      <c r="S46" s="51"/>
      <c r="T46" s="51"/>
    </row>
    <row r="47" spans="2:20" ht="15" customHeight="1" x14ac:dyDescent="0.25">
      <c r="B47" s="12"/>
      <c r="C47" s="13"/>
      <c r="D47" s="13"/>
      <c r="E47" s="41"/>
      <c r="F47" s="15"/>
      <c r="G47" s="15"/>
      <c r="H47" s="15"/>
      <c r="I47" s="15"/>
      <c r="J47" s="15"/>
      <c r="K47" s="15"/>
      <c r="L47" s="16"/>
      <c r="M47" s="20"/>
      <c r="N47" s="18"/>
      <c r="O47" s="18"/>
      <c r="P47" s="18"/>
      <c r="Q47" s="51"/>
      <c r="R47" s="51"/>
      <c r="S47" s="51"/>
      <c r="T47" s="51"/>
    </row>
    <row r="48" spans="2:20" ht="15" customHeight="1" x14ac:dyDescent="0.25">
      <c r="B48" s="12"/>
      <c r="C48" s="13"/>
      <c r="D48" s="13"/>
      <c r="E48" s="41"/>
      <c r="F48" s="15"/>
      <c r="G48" s="15"/>
      <c r="H48" s="15"/>
      <c r="I48" s="15"/>
      <c r="J48" s="15"/>
      <c r="K48" s="15"/>
      <c r="L48" s="16"/>
      <c r="M48" s="20"/>
      <c r="N48" s="18"/>
      <c r="O48" s="18"/>
      <c r="P48" s="18"/>
      <c r="Q48" s="51"/>
      <c r="R48" s="51"/>
      <c r="S48" s="51"/>
      <c r="T48" s="51"/>
    </row>
    <row r="49" spans="2:20" ht="15" customHeight="1" x14ac:dyDescent="0.25">
      <c r="B49" s="12"/>
      <c r="C49" s="13"/>
      <c r="D49" s="13"/>
      <c r="E49" s="41"/>
      <c r="F49" s="15"/>
      <c r="G49" s="15"/>
      <c r="H49" s="15"/>
      <c r="I49" s="15"/>
      <c r="J49" s="15"/>
      <c r="K49" s="15"/>
      <c r="L49" s="16"/>
      <c r="M49" s="20"/>
      <c r="N49" s="18"/>
      <c r="O49" s="18"/>
      <c r="P49" s="18"/>
      <c r="Q49" s="51"/>
      <c r="R49" s="51"/>
      <c r="S49" s="51"/>
      <c r="T49" s="51"/>
    </row>
    <row r="50" spans="2:20" ht="15" customHeight="1" x14ac:dyDescent="0.25">
      <c r="B50" s="12"/>
      <c r="C50" s="13"/>
      <c r="D50" s="13"/>
      <c r="E50" s="41"/>
      <c r="F50" s="15"/>
      <c r="G50" s="15"/>
      <c r="H50" s="15"/>
      <c r="I50" s="15"/>
      <c r="J50" s="15"/>
      <c r="K50" s="15"/>
      <c r="L50" s="16"/>
      <c r="M50" s="20"/>
      <c r="N50" s="18"/>
      <c r="O50" s="18"/>
      <c r="P50" s="18"/>
      <c r="Q50" s="51"/>
      <c r="R50" s="51"/>
      <c r="S50" s="51"/>
      <c r="T50" s="51"/>
    </row>
    <row r="51" spans="2:20" ht="15" customHeight="1" x14ac:dyDescent="0.25">
      <c r="B51" s="12"/>
      <c r="C51" s="13"/>
      <c r="D51" s="13"/>
      <c r="E51" s="41"/>
      <c r="F51" s="15"/>
      <c r="G51" s="15"/>
      <c r="H51" s="15"/>
      <c r="I51" s="15"/>
      <c r="J51" s="15"/>
      <c r="K51" s="15"/>
      <c r="L51" s="16"/>
      <c r="M51" s="20"/>
      <c r="N51" s="18"/>
      <c r="O51" s="18"/>
      <c r="P51" s="18"/>
      <c r="Q51" s="51"/>
      <c r="R51" s="51"/>
      <c r="S51" s="51"/>
      <c r="T51" s="51"/>
    </row>
    <row r="52" spans="2:20" ht="15" customHeight="1" x14ac:dyDescent="0.25">
      <c r="B52" s="12"/>
      <c r="C52" s="13"/>
      <c r="D52" s="13"/>
      <c r="E52" s="41"/>
      <c r="F52" s="15"/>
      <c r="G52" s="15"/>
      <c r="H52" s="15"/>
      <c r="I52" s="15"/>
      <c r="J52" s="15"/>
      <c r="K52" s="15"/>
      <c r="L52" s="16"/>
      <c r="M52" s="20"/>
      <c r="N52" s="18"/>
      <c r="O52" s="18"/>
      <c r="P52" s="18"/>
      <c r="Q52" s="51"/>
      <c r="R52" s="51"/>
      <c r="S52" s="51"/>
      <c r="T52" s="51"/>
    </row>
    <row r="53" spans="2:20" ht="15" customHeight="1" x14ac:dyDescent="0.25">
      <c r="B53" s="12"/>
      <c r="C53" s="13"/>
      <c r="D53" s="13"/>
      <c r="E53" s="41"/>
      <c r="F53" s="15"/>
      <c r="G53" s="15"/>
      <c r="H53" s="15"/>
      <c r="I53" s="15"/>
      <c r="J53" s="15"/>
      <c r="K53" s="15"/>
      <c r="L53" s="16"/>
      <c r="M53" s="20"/>
      <c r="N53" s="18"/>
      <c r="O53" s="18"/>
      <c r="P53" s="18"/>
      <c r="Q53" s="51"/>
      <c r="R53" s="51"/>
      <c r="S53" s="51"/>
      <c r="T53" s="51"/>
    </row>
    <row r="54" spans="2:20" x14ac:dyDescent="0.25">
      <c r="B54" s="36"/>
      <c r="C54" s="40"/>
      <c r="D54" s="40"/>
      <c r="E54" s="41"/>
      <c r="F54" s="38"/>
      <c r="G54" s="38"/>
      <c r="H54" s="38"/>
      <c r="I54" s="38"/>
      <c r="J54" s="38"/>
      <c r="K54" s="38"/>
      <c r="L54" s="39"/>
      <c r="M54" s="34"/>
      <c r="N54" s="104"/>
      <c r="O54" s="29"/>
      <c r="P54" s="29"/>
    </row>
    <row r="55" spans="2:20" ht="15" customHeight="1" x14ac:dyDescent="0.25">
      <c r="B55" s="36"/>
      <c r="C55" s="40"/>
      <c r="D55" s="40"/>
      <c r="E55" s="41"/>
      <c r="F55" s="38"/>
      <c r="G55" s="38"/>
      <c r="H55" s="38"/>
      <c r="I55" s="38"/>
      <c r="J55" s="38"/>
      <c r="K55" s="38"/>
      <c r="L55" s="33"/>
      <c r="M55" s="31"/>
      <c r="N55" s="99"/>
      <c r="O55" s="99"/>
      <c r="P55" s="29"/>
      <c r="Q55" s="309" t="s">
        <v>316</v>
      </c>
      <c r="R55" s="309"/>
      <c r="S55" s="310">
        <f>S20</f>
        <v>506491.67000000004</v>
      </c>
    </row>
    <row r="56" spans="2:20" x14ac:dyDescent="0.25">
      <c r="B56" s="36"/>
      <c r="C56" s="40"/>
      <c r="D56" s="40"/>
      <c r="E56" s="41"/>
      <c r="F56" s="38"/>
      <c r="G56" s="38"/>
      <c r="H56" s="38"/>
      <c r="I56" s="38"/>
      <c r="J56" s="38"/>
      <c r="K56" s="38"/>
      <c r="L56" s="33"/>
      <c r="M56" s="31"/>
      <c r="N56" s="99"/>
      <c r="O56" s="99"/>
      <c r="P56" s="29"/>
    </row>
    <row r="57" spans="2:20" x14ac:dyDescent="0.25">
      <c r="B57" s="36"/>
      <c r="C57" s="40"/>
      <c r="D57" s="40"/>
      <c r="E57" s="41"/>
      <c r="F57" s="38"/>
      <c r="G57" s="38"/>
      <c r="H57" s="38"/>
      <c r="I57" s="38"/>
      <c r="J57" s="38"/>
      <c r="K57" s="38"/>
      <c r="L57" s="33"/>
      <c r="M57" s="31"/>
      <c r="N57" s="99"/>
      <c r="O57" s="99"/>
      <c r="P57" s="29"/>
    </row>
    <row r="58" spans="2:20" ht="16.5" customHeight="1" x14ac:dyDescent="0.25">
      <c r="B58" s="36"/>
      <c r="C58" s="40"/>
      <c r="D58" s="40"/>
      <c r="E58" s="41"/>
      <c r="F58" s="38"/>
      <c r="G58" s="38"/>
      <c r="H58" s="38"/>
      <c r="I58" s="38"/>
      <c r="J58" s="38"/>
      <c r="K58" s="38"/>
      <c r="L58" s="39"/>
      <c r="M58" s="20"/>
      <c r="N58" s="99"/>
      <c r="O58" s="99"/>
      <c r="P58" s="29"/>
    </row>
    <row r="59" spans="2:20" ht="15" hidden="1" customHeight="1" x14ac:dyDescent="0.25"/>
    <row r="60" spans="2:20" ht="15" customHeight="1" x14ac:dyDescent="0.25">
      <c r="E60" s="21"/>
      <c r="F60" s="102"/>
      <c r="G60" s="102"/>
      <c r="H60" s="102"/>
      <c r="I60" s="102"/>
      <c r="J60" s="102"/>
      <c r="K60" s="102"/>
    </row>
    <row r="63" spans="2:20" ht="15" customHeight="1" x14ac:dyDescent="0.25"/>
  </sheetData>
  <mergeCells count="7">
    <mergeCell ref="B40:H40"/>
    <mergeCell ref="B30:F30"/>
    <mergeCell ref="Q2:S2"/>
    <mergeCell ref="Q1:S1"/>
    <mergeCell ref="B25:F25"/>
    <mergeCell ref="B27:F27"/>
    <mergeCell ref="B29:F29"/>
  </mergeCells>
  <hyperlinks>
    <hyperlink ref="B30" r:id="rId1"/>
  </hyperlinks>
  <printOptions horizontalCentered="1" gridLines="1"/>
  <pageMargins left="0" right="0" top="0.75" bottom="0.75" header="0.3" footer="0.3"/>
  <pageSetup scale="53" orientation="landscape" horizontalDpi="1200" verticalDpi="1200"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5"/>
  <sheetViews>
    <sheetView topLeftCell="K1" zoomScale="90" zoomScaleNormal="90" workbookViewId="0">
      <selection activeCell="R7" sqref="R7"/>
    </sheetView>
  </sheetViews>
  <sheetFormatPr defaultColWidth="9.140625" defaultRowHeight="15" x14ac:dyDescent="0.25"/>
  <cols>
    <col min="1" max="1" width="9.140625" style="2" hidden="1" customWidth="1"/>
    <col min="2" max="2" width="57.7109375" style="2" customWidth="1"/>
    <col min="3" max="3" width="30.85546875" style="2" customWidth="1"/>
    <col min="4" max="4" width="13.7109375" style="2" customWidth="1"/>
    <col min="5" max="5" width="18.140625" style="2" customWidth="1"/>
    <col min="6" max="6" width="22" style="2" customWidth="1"/>
    <col min="7" max="7" width="10.28515625" style="2" customWidth="1"/>
    <col min="8" max="8" width="12.85546875" style="2" customWidth="1"/>
    <col min="9" max="9" width="13.42578125" style="2" customWidth="1"/>
    <col min="10" max="10" width="15.7109375" style="2" customWidth="1"/>
    <col min="11" max="11" width="8.85546875" style="2" customWidth="1"/>
    <col min="12" max="12" width="17.285156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6.7109375" style="2" customWidth="1"/>
    <col min="20" max="16384" width="9.140625" style="2"/>
  </cols>
  <sheetData>
    <row r="1" spans="1:20" ht="18" customHeight="1" x14ac:dyDescent="0.25">
      <c r="B1" s="1" t="s">
        <v>41</v>
      </c>
      <c r="Q1" s="338" t="s">
        <v>296</v>
      </c>
      <c r="R1" s="338"/>
      <c r="S1" s="338"/>
    </row>
    <row r="2" spans="1:20" ht="18.75" customHeight="1" x14ac:dyDescent="0.25">
      <c r="B2" s="88" t="s">
        <v>148</v>
      </c>
      <c r="C2" s="182">
        <v>44742</v>
      </c>
      <c r="M2" s="71"/>
      <c r="N2" s="71"/>
      <c r="P2" s="29"/>
      <c r="Q2" s="337" t="s">
        <v>375</v>
      </c>
      <c r="R2" s="337"/>
      <c r="S2" s="337"/>
    </row>
    <row r="3" spans="1:20" ht="18.75" customHeight="1" thickBot="1" x14ac:dyDescent="0.3">
      <c r="A3" s="2" t="s">
        <v>16</v>
      </c>
      <c r="B3" s="44" t="s">
        <v>58</v>
      </c>
      <c r="C3" s="8"/>
      <c r="D3" s="8"/>
      <c r="E3" s="8"/>
      <c r="P3" s="29"/>
      <c r="Q3" s="45"/>
      <c r="R3" s="30"/>
    </row>
    <row r="4" spans="1:20" ht="18.75" customHeight="1" x14ac:dyDescent="0.25">
      <c r="B4" s="8" t="s">
        <v>174</v>
      </c>
      <c r="M4" s="85" t="s">
        <v>28</v>
      </c>
      <c r="N4" s="85" t="s">
        <v>28</v>
      </c>
      <c r="O4" s="85" t="s">
        <v>28</v>
      </c>
      <c r="P4" s="9"/>
      <c r="Q4" s="89" t="s">
        <v>29</v>
      </c>
      <c r="R4" s="89" t="s">
        <v>31</v>
      </c>
      <c r="S4" s="89" t="s">
        <v>23</v>
      </c>
      <c r="T4" s="7"/>
    </row>
    <row r="5" spans="1:20" ht="15.75" thickBot="1" x14ac:dyDescent="0.3">
      <c r="G5" s="183" t="s">
        <v>295</v>
      </c>
      <c r="H5" s="183" t="s">
        <v>295</v>
      </c>
      <c r="M5" s="86" t="s">
        <v>27</v>
      </c>
      <c r="N5" s="86" t="s">
        <v>26</v>
      </c>
      <c r="O5" s="86" t="s">
        <v>25</v>
      </c>
      <c r="P5" s="9"/>
      <c r="Q5" s="90" t="s">
        <v>30</v>
      </c>
      <c r="R5" s="90" t="s">
        <v>30</v>
      </c>
      <c r="S5" s="90" t="s">
        <v>30</v>
      </c>
      <c r="T5" s="7"/>
    </row>
    <row r="6" spans="1:20" ht="85.5" customHeight="1" thickBot="1" x14ac:dyDescent="0.3">
      <c r="B6" s="84" t="s">
        <v>1</v>
      </c>
      <c r="C6" s="84" t="s">
        <v>389</v>
      </c>
      <c r="D6" s="84" t="s">
        <v>107</v>
      </c>
      <c r="E6" s="84" t="s">
        <v>3</v>
      </c>
      <c r="F6" s="84" t="s">
        <v>4</v>
      </c>
      <c r="G6" s="107" t="s">
        <v>136</v>
      </c>
      <c r="H6" s="107" t="s">
        <v>137</v>
      </c>
      <c r="I6" s="107" t="s">
        <v>133</v>
      </c>
      <c r="J6" s="107" t="s">
        <v>134</v>
      </c>
      <c r="K6" s="107" t="s">
        <v>121</v>
      </c>
      <c r="L6" s="83" t="s">
        <v>5</v>
      </c>
      <c r="M6" s="87" t="s">
        <v>6</v>
      </c>
      <c r="N6" s="87" t="s">
        <v>6</v>
      </c>
      <c r="O6" s="87" t="s">
        <v>6</v>
      </c>
      <c r="P6" s="9"/>
      <c r="Q6" s="91"/>
      <c r="R6" s="97" t="s">
        <v>32</v>
      </c>
      <c r="S6" s="98" t="s">
        <v>33</v>
      </c>
    </row>
    <row r="7" spans="1:20" ht="33.75" customHeight="1" x14ac:dyDescent="0.25">
      <c r="B7" s="2" t="s">
        <v>128</v>
      </c>
      <c r="C7" s="226" t="s">
        <v>122</v>
      </c>
      <c r="D7" s="93" t="s">
        <v>310</v>
      </c>
      <c r="E7" s="2" t="s">
        <v>309</v>
      </c>
      <c r="F7" s="2" t="s">
        <v>7</v>
      </c>
      <c r="G7" s="186">
        <v>2.63E-2</v>
      </c>
      <c r="H7" s="186">
        <v>0.1845</v>
      </c>
      <c r="I7" s="187">
        <v>44377</v>
      </c>
      <c r="J7" s="187">
        <v>44743</v>
      </c>
      <c r="K7" s="187">
        <v>44378</v>
      </c>
      <c r="L7" s="188" t="s">
        <v>297</v>
      </c>
      <c r="M7" s="67">
        <v>5985.23</v>
      </c>
      <c r="N7" s="67">
        <f>18892.64+14549.78+5625.59+5754.45+15960.28</f>
        <v>60782.739999999991</v>
      </c>
      <c r="O7" s="67">
        <f>M7+N7</f>
        <v>66767.969999999987</v>
      </c>
      <c r="P7" s="29"/>
      <c r="Q7" s="67">
        <f>5985.23+18892.64+14549.78+5625.59+5754.45+15960.28</f>
        <v>66767.97</v>
      </c>
      <c r="R7" s="67"/>
      <c r="S7" s="68">
        <f>Q7+R7</f>
        <v>66767.97</v>
      </c>
    </row>
    <row r="8" spans="1:20" ht="33.75" customHeight="1" x14ac:dyDescent="0.25">
      <c r="B8" s="2" t="s">
        <v>223</v>
      </c>
      <c r="C8" s="236" t="s">
        <v>333</v>
      </c>
      <c r="D8" s="93" t="s">
        <v>224</v>
      </c>
      <c r="E8" s="2" t="s">
        <v>225</v>
      </c>
      <c r="F8" s="2" t="s">
        <v>7</v>
      </c>
      <c r="G8" s="186">
        <v>2.63E-2</v>
      </c>
      <c r="H8" s="186">
        <v>0.1845</v>
      </c>
      <c r="I8" s="187">
        <v>44834</v>
      </c>
      <c r="J8" s="187">
        <v>44849</v>
      </c>
      <c r="K8" s="187">
        <v>43614</v>
      </c>
      <c r="L8" s="188" t="s">
        <v>274</v>
      </c>
      <c r="M8" s="67">
        <v>13268.82</v>
      </c>
      <c r="N8" s="67"/>
      <c r="O8" s="67">
        <f>M8+N8</f>
        <v>13268.82</v>
      </c>
      <c r="P8" s="29"/>
      <c r="Q8" s="67">
        <v>4254.53</v>
      </c>
      <c r="R8" s="67"/>
      <c r="S8" s="68">
        <f>Q8+R8</f>
        <v>4254.53</v>
      </c>
    </row>
    <row r="9" spans="1:20" ht="29.25" customHeight="1" x14ac:dyDescent="0.25">
      <c r="B9" s="2" t="s">
        <v>241</v>
      </c>
      <c r="C9" s="236" t="s">
        <v>242</v>
      </c>
      <c r="D9" s="93" t="s">
        <v>164</v>
      </c>
      <c r="E9" s="2" t="s">
        <v>255</v>
      </c>
      <c r="F9" s="2" t="s">
        <v>7</v>
      </c>
      <c r="G9" s="186">
        <v>2.63E-2</v>
      </c>
      <c r="H9" s="186">
        <v>0.1845</v>
      </c>
      <c r="I9" s="187">
        <v>44393</v>
      </c>
      <c r="J9" s="187">
        <v>44408</v>
      </c>
      <c r="K9" s="187">
        <v>42644</v>
      </c>
      <c r="L9" s="188" t="s">
        <v>273</v>
      </c>
      <c r="M9" s="79">
        <v>49000</v>
      </c>
      <c r="N9" s="67"/>
      <c r="O9" s="67">
        <f>M9+N9</f>
        <v>49000</v>
      </c>
      <c r="P9" s="67"/>
      <c r="Q9" s="67">
        <v>0</v>
      </c>
      <c r="R9" s="67"/>
      <c r="S9" s="68">
        <f>Q9+R9</f>
        <v>0</v>
      </c>
    </row>
    <row r="10" spans="1:20" ht="29.25" customHeight="1" x14ac:dyDescent="0.25">
      <c r="B10" s="2" t="s">
        <v>279</v>
      </c>
      <c r="C10" s="236" t="s">
        <v>333</v>
      </c>
      <c r="D10" s="93" t="s">
        <v>224</v>
      </c>
      <c r="E10" s="2" t="s">
        <v>280</v>
      </c>
      <c r="F10" s="2" t="s">
        <v>7</v>
      </c>
      <c r="G10" s="186">
        <v>2.63E-2</v>
      </c>
      <c r="H10" s="186">
        <v>0.1845</v>
      </c>
      <c r="I10" s="187">
        <v>44592</v>
      </c>
      <c r="J10" s="187">
        <v>44592</v>
      </c>
      <c r="K10" s="187">
        <v>43980</v>
      </c>
      <c r="L10" s="188" t="s">
        <v>332</v>
      </c>
      <c r="M10" s="79">
        <v>3000</v>
      </c>
      <c r="N10" s="67"/>
      <c r="O10" s="67">
        <f t="shared" ref="O10:O15" si="0">M10+N10</f>
        <v>3000</v>
      </c>
      <c r="P10" s="66"/>
      <c r="Q10" s="67"/>
      <c r="R10" s="67"/>
      <c r="S10" s="68">
        <f t="shared" ref="S10:S15" si="1">Q10+R10</f>
        <v>0</v>
      </c>
    </row>
    <row r="11" spans="1:20" ht="29.25" customHeight="1" x14ac:dyDescent="0.25">
      <c r="B11" s="2" t="s">
        <v>281</v>
      </c>
      <c r="C11" s="236" t="s">
        <v>334</v>
      </c>
      <c r="D11" s="93" t="s">
        <v>231</v>
      </c>
      <c r="E11" s="2" t="s">
        <v>282</v>
      </c>
      <c r="F11" s="2" t="s">
        <v>7</v>
      </c>
      <c r="G11" s="186">
        <v>2.63E-2</v>
      </c>
      <c r="H11" s="186">
        <v>0.1845</v>
      </c>
      <c r="I11" s="187">
        <v>44742</v>
      </c>
      <c r="J11" s="187">
        <v>44757</v>
      </c>
      <c r="K11" s="187">
        <v>43979</v>
      </c>
      <c r="L11" s="188" t="s">
        <v>283</v>
      </c>
      <c r="M11" s="79">
        <v>1027</v>
      </c>
      <c r="N11" s="67"/>
      <c r="O11" s="67">
        <f t="shared" si="0"/>
        <v>1027</v>
      </c>
      <c r="P11" s="66"/>
      <c r="Q11" s="67"/>
      <c r="R11" s="67"/>
      <c r="S11" s="68">
        <f t="shared" si="1"/>
        <v>0</v>
      </c>
    </row>
    <row r="12" spans="1:20" ht="29.25" customHeight="1" x14ac:dyDescent="0.25">
      <c r="B12" s="2" t="s">
        <v>321</v>
      </c>
      <c r="C12" s="236" t="s">
        <v>333</v>
      </c>
      <c r="D12" s="93" t="s">
        <v>288</v>
      </c>
      <c r="E12" s="2" t="s">
        <v>322</v>
      </c>
      <c r="F12" s="2" t="s">
        <v>7</v>
      </c>
      <c r="G12" s="186">
        <f>G11:H11</f>
        <v>2.63E-2</v>
      </c>
      <c r="H12" s="186">
        <f>H11</f>
        <v>0.1845</v>
      </c>
      <c r="I12" s="187">
        <v>45199</v>
      </c>
      <c r="J12" s="187">
        <v>45214</v>
      </c>
      <c r="K12" s="187">
        <v>44201</v>
      </c>
      <c r="L12" s="188" t="s">
        <v>323</v>
      </c>
      <c r="M12" s="79">
        <v>11475.29</v>
      </c>
      <c r="N12" s="67"/>
      <c r="O12" s="67">
        <f t="shared" si="0"/>
        <v>11475.29</v>
      </c>
      <c r="P12" s="66"/>
      <c r="Q12" s="67">
        <v>11475.29</v>
      </c>
      <c r="R12" s="67"/>
      <c r="S12" s="68">
        <f t="shared" si="1"/>
        <v>11475.29</v>
      </c>
    </row>
    <row r="13" spans="1:20" ht="29.25" customHeight="1" x14ac:dyDescent="0.25">
      <c r="B13" s="2" t="s">
        <v>326</v>
      </c>
      <c r="C13" s="236" t="s">
        <v>333</v>
      </c>
      <c r="D13" s="93" t="s">
        <v>288</v>
      </c>
      <c r="E13" s="2" t="s">
        <v>330</v>
      </c>
      <c r="F13" s="2" t="s">
        <v>7</v>
      </c>
      <c r="G13" s="186">
        <f t="shared" ref="G13:G14" si="2">G12:H12</f>
        <v>2.63E-2</v>
      </c>
      <c r="H13" s="186">
        <f t="shared" ref="H13:H14" si="3">H12</f>
        <v>0.1845</v>
      </c>
      <c r="I13" s="187">
        <v>45199</v>
      </c>
      <c r="J13" s="187">
        <v>45214</v>
      </c>
      <c r="K13" s="187">
        <v>44201</v>
      </c>
      <c r="L13" s="188" t="s">
        <v>323</v>
      </c>
      <c r="M13" s="79">
        <v>3012.26</v>
      </c>
      <c r="N13" s="67"/>
      <c r="O13" s="67">
        <f t="shared" si="0"/>
        <v>3012.26</v>
      </c>
      <c r="P13" s="66"/>
      <c r="Q13" s="67"/>
      <c r="R13" s="67"/>
      <c r="S13" s="68">
        <f t="shared" si="1"/>
        <v>0</v>
      </c>
    </row>
    <row r="14" spans="1:20" ht="29.25" customHeight="1" x14ac:dyDescent="0.25">
      <c r="B14" s="2" t="s">
        <v>370</v>
      </c>
      <c r="C14" s="236" t="s">
        <v>333</v>
      </c>
      <c r="D14" s="93" t="s">
        <v>288</v>
      </c>
      <c r="E14" s="2" t="s">
        <v>331</v>
      </c>
      <c r="F14" s="2" t="s">
        <v>7</v>
      </c>
      <c r="G14" s="186">
        <f t="shared" si="2"/>
        <v>2.63E-2</v>
      </c>
      <c r="H14" s="186">
        <f t="shared" si="3"/>
        <v>0.1845</v>
      </c>
      <c r="I14" s="187">
        <v>45199</v>
      </c>
      <c r="J14" s="187">
        <v>45214</v>
      </c>
      <c r="K14" s="187">
        <v>44201</v>
      </c>
      <c r="L14" s="188" t="s">
        <v>325</v>
      </c>
      <c r="M14" s="79">
        <v>14258.05</v>
      </c>
      <c r="N14" s="67"/>
      <c r="O14" s="67">
        <f t="shared" si="0"/>
        <v>14258.05</v>
      </c>
      <c r="P14" s="66"/>
      <c r="Q14" s="67">
        <v>7805.58</v>
      </c>
      <c r="R14" s="67"/>
      <c r="S14" s="68">
        <f t="shared" si="1"/>
        <v>7805.58</v>
      </c>
    </row>
    <row r="15" spans="1:20" ht="29.25" customHeight="1" x14ac:dyDescent="0.25">
      <c r="B15" s="2" t="s">
        <v>287</v>
      </c>
      <c r="C15" s="236" t="s">
        <v>333</v>
      </c>
      <c r="D15" s="93" t="s">
        <v>288</v>
      </c>
      <c r="E15" s="2" t="s">
        <v>289</v>
      </c>
      <c r="F15" s="2" t="s">
        <v>7</v>
      </c>
      <c r="G15" s="186">
        <v>2.63E-2</v>
      </c>
      <c r="H15" s="186">
        <v>0.1845</v>
      </c>
      <c r="I15" s="187">
        <v>45199</v>
      </c>
      <c r="J15" s="187">
        <v>45199</v>
      </c>
      <c r="K15" s="187">
        <v>44201</v>
      </c>
      <c r="L15" s="188" t="s">
        <v>320</v>
      </c>
      <c r="M15" s="79">
        <v>26393.17</v>
      </c>
      <c r="N15" s="67"/>
      <c r="O15" s="67">
        <f t="shared" si="0"/>
        <v>26393.17</v>
      </c>
      <c r="P15" s="66"/>
      <c r="Q15" s="67">
        <f>6356.73+17197.95</f>
        <v>23554.68</v>
      </c>
      <c r="R15" s="67"/>
      <c r="S15" s="68">
        <f t="shared" si="1"/>
        <v>23554.68</v>
      </c>
    </row>
    <row r="16" spans="1:20" x14ac:dyDescent="0.25">
      <c r="C16" s="93"/>
      <c r="D16" s="93"/>
      <c r="G16" s="186"/>
      <c r="H16" s="186" t="s">
        <v>100</v>
      </c>
      <c r="I16" s="187"/>
      <c r="J16" s="187"/>
      <c r="K16" s="187"/>
      <c r="L16" s="188"/>
      <c r="M16" s="25"/>
      <c r="N16" s="25"/>
      <c r="O16" s="25"/>
      <c r="P16" s="29"/>
      <c r="Q16" s="25"/>
      <c r="R16" s="25"/>
      <c r="S16" s="26"/>
    </row>
    <row r="17" spans="2:19" ht="21.75" customHeight="1" x14ac:dyDescent="0.25">
      <c r="C17" s="92"/>
      <c r="D17" s="92"/>
      <c r="G17" s="202"/>
      <c r="H17" s="186" t="s">
        <v>100</v>
      </c>
      <c r="I17" s="187"/>
      <c r="J17" s="187"/>
      <c r="K17" s="187"/>
      <c r="L17" s="205" t="s">
        <v>38</v>
      </c>
      <c r="M17" s="66">
        <f>SUM(M7:M16)</f>
        <v>127419.81999999999</v>
      </c>
      <c r="N17" s="66">
        <f>SUM(N7:N16)</f>
        <v>60782.739999999991</v>
      </c>
      <c r="O17" s="66">
        <f>SUM(O7:O16)</f>
        <v>188202.56</v>
      </c>
      <c r="Q17" s="66">
        <f>SUM(Q7:Q16)</f>
        <v>113858.05000000002</v>
      </c>
      <c r="R17" s="66">
        <f>SUM(R7:R16)</f>
        <v>0</v>
      </c>
      <c r="S17" s="68">
        <f>SUM(S7:S16)</f>
        <v>113858.05000000002</v>
      </c>
    </row>
    <row r="18" spans="2:19" x14ac:dyDescent="0.25">
      <c r="C18" s="92"/>
      <c r="D18" s="92"/>
      <c r="I18" s="116"/>
      <c r="J18" s="116"/>
      <c r="K18" s="116"/>
      <c r="L18" s="5"/>
      <c r="M18" s="66"/>
      <c r="N18" s="66"/>
      <c r="O18" s="66"/>
      <c r="Q18" s="66"/>
      <c r="R18" s="66"/>
      <c r="S18" s="68"/>
    </row>
    <row r="19" spans="2:19" x14ac:dyDescent="0.25">
      <c r="C19" s="92"/>
      <c r="D19" s="92"/>
      <c r="I19" s="116"/>
      <c r="J19" s="116"/>
      <c r="K19" s="116"/>
      <c r="L19" s="5"/>
      <c r="M19" s="66"/>
      <c r="N19" s="66"/>
      <c r="O19" s="66"/>
      <c r="Q19" s="66"/>
      <c r="R19" s="66"/>
      <c r="S19" s="68"/>
    </row>
    <row r="20" spans="2:19" x14ac:dyDescent="0.25">
      <c r="C20" s="92"/>
      <c r="D20" s="92"/>
      <c r="I20" s="116"/>
      <c r="J20" s="116"/>
      <c r="K20" s="116"/>
      <c r="L20" s="5"/>
      <c r="M20" s="66"/>
      <c r="N20" s="66"/>
      <c r="O20" s="66"/>
      <c r="Q20" s="66"/>
      <c r="R20" s="66"/>
      <c r="S20" s="68"/>
    </row>
    <row r="21" spans="2:19" x14ac:dyDescent="0.25">
      <c r="B21" s="8" t="s">
        <v>125</v>
      </c>
      <c r="C21" s="92"/>
      <c r="D21" s="92"/>
      <c r="L21" s="5"/>
      <c r="M21" s="66"/>
      <c r="N21" s="66"/>
      <c r="O21" s="66"/>
      <c r="Q21" s="66"/>
      <c r="R21" s="66"/>
      <c r="S21" s="68"/>
    </row>
    <row r="22" spans="2:19" ht="32.25" customHeight="1" x14ac:dyDescent="0.25">
      <c r="B22" s="341" t="s">
        <v>126</v>
      </c>
      <c r="C22" s="341"/>
      <c r="D22" s="341"/>
      <c r="E22" s="341"/>
      <c r="F22" s="341"/>
      <c r="G22" s="117"/>
      <c r="H22" s="117"/>
      <c r="I22" s="111"/>
      <c r="L22" s="5"/>
      <c r="M22" s="66"/>
      <c r="N22" s="66"/>
      <c r="O22" s="66"/>
      <c r="Q22" s="66"/>
      <c r="R22" s="66"/>
      <c r="S22" s="68"/>
    </row>
    <row r="23" spans="2:19" x14ac:dyDescent="0.25">
      <c r="C23" s="92"/>
      <c r="D23" s="92"/>
      <c r="L23" s="5"/>
      <c r="M23" s="66"/>
      <c r="N23" s="66"/>
      <c r="O23" s="66"/>
      <c r="Q23" s="66"/>
      <c r="R23" s="66"/>
      <c r="S23" s="68"/>
    </row>
    <row r="24" spans="2:19" ht="47.25" customHeight="1" x14ac:dyDescent="0.25">
      <c r="B24" s="341" t="s">
        <v>129</v>
      </c>
      <c r="C24" s="341"/>
      <c r="D24" s="341"/>
      <c r="E24" s="341"/>
      <c r="F24" s="341"/>
      <c r="G24" s="117"/>
      <c r="H24" s="117"/>
      <c r="I24" s="111"/>
      <c r="L24" s="5"/>
      <c r="M24" s="66"/>
      <c r="N24" s="66"/>
      <c r="O24" s="66"/>
      <c r="Q24" s="66"/>
      <c r="R24" s="66"/>
      <c r="S24" s="68"/>
    </row>
    <row r="25" spans="2:19" x14ac:dyDescent="0.25">
      <c r="B25" s="108"/>
      <c r="C25" s="108"/>
      <c r="D25" s="108"/>
      <c r="E25" s="108"/>
      <c r="F25" s="108"/>
      <c r="G25" s="117"/>
      <c r="H25" s="117"/>
      <c r="I25" s="111"/>
      <c r="L25" s="5"/>
      <c r="M25" s="66"/>
      <c r="N25" s="66"/>
      <c r="O25" s="66"/>
      <c r="Q25" s="66"/>
      <c r="R25" s="66"/>
      <c r="S25" s="68"/>
    </row>
    <row r="26" spans="2:19" ht="28.5" customHeight="1" x14ac:dyDescent="0.25">
      <c r="B26" s="341" t="s">
        <v>160</v>
      </c>
      <c r="C26" s="341"/>
      <c r="D26" s="341"/>
      <c r="E26" s="341"/>
      <c r="F26" s="341"/>
      <c r="G26" s="193"/>
      <c r="H26" s="193"/>
      <c r="I26" s="193"/>
      <c r="L26" s="5"/>
      <c r="M26" s="66"/>
      <c r="N26" s="66"/>
      <c r="O26" s="66"/>
      <c r="Q26" s="66"/>
      <c r="R26" s="66"/>
      <c r="S26" s="68"/>
    </row>
    <row r="27" spans="2:19" ht="15" customHeight="1" x14ac:dyDescent="0.25">
      <c r="B27" s="347" t="s">
        <v>159</v>
      </c>
      <c r="C27" s="341"/>
      <c r="D27" s="341"/>
      <c r="E27" s="341"/>
      <c r="F27" s="341"/>
      <c r="G27" s="193"/>
      <c r="H27" s="193"/>
      <c r="I27" s="193"/>
      <c r="L27" s="5"/>
      <c r="M27" s="66"/>
      <c r="N27" s="66"/>
      <c r="O27" s="66"/>
      <c r="Q27" s="66"/>
      <c r="R27" s="66"/>
      <c r="S27" s="68"/>
    </row>
    <row r="28" spans="2:19" ht="15" customHeight="1" x14ac:dyDescent="0.25">
      <c r="B28" s="195"/>
      <c r="C28" s="195"/>
      <c r="D28" s="195"/>
      <c r="E28" s="195"/>
      <c r="F28" s="195"/>
      <c r="G28" s="195"/>
      <c r="H28" s="195"/>
      <c r="I28" s="195"/>
      <c r="L28" s="5"/>
      <c r="M28" s="66"/>
      <c r="N28" s="66"/>
      <c r="O28" s="66"/>
      <c r="Q28" s="66"/>
      <c r="R28" s="66"/>
      <c r="S28" s="68"/>
    </row>
    <row r="29" spans="2:19" x14ac:dyDescent="0.25">
      <c r="B29" s="7" t="s">
        <v>109</v>
      </c>
      <c r="C29" s="101" t="s">
        <v>112</v>
      </c>
      <c r="D29" s="101" t="s">
        <v>113</v>
      </c>
      <c r="E29" s="108"/>
      <c r="F29" s="108"/>
      <c r="G29" s="117"/>
      <c r="H29" s="117"/>
      <c r="I29" s="111"/>
      <c r="L29" s="5"/>
      <c r="M29" s="66"/>
      <c r="N29" s="66"/>
      <c r="O29" s="66"/>
      <c r="Q29" s="66"/>
      <c r="R29" s="66"/>
      <c r="S29" s="68"/>
    </row>
    <row r="30" spans="2:19" x14ac:dyDescent="0.25">
      <c r="B30" s="2" t="s">
        <v>111</v>
      </c>
      <c r="C30" s="92" t="s">
        <v>300</v>
      </c>
      <c r="D30" s="92" t="s">
        <v>303</v>
      </c>
      <c r="L30" s="5"/>
      <c r="M30" s="66"/>
      <c r="N30" s="66"/>
      <c r="O30" s="66"/>
      <c r="Q30" s="66"/>
      <c r="R30" s="66"/>
      <c r="S30" s="68"/>
    </row>
    <row r="31" spans="2:19" x14ac:dyDescent="0.25">
      <c r="B31" s="2" t="s">
        <v>230</v>
      </c>
      <c r="C31" s="92" t="s">
        <v>135</v>
      </c>
      <c r="D31" s="92" t="s">
        <v>147</v>
      </c>
      <c r="L31" s="5"/>
      <c r="M31" s="66"/>
      <c r="N31" s="66"/>
      <c r="O31" s="66"/>
      <c r="Q31" s="66"/>
      <c r="R31" s="66"/>
      <c r="S31" s="68"/>
    </row>
    <row r="32" spans="2:19" x14ac:dyDescent="0.25">
      <c r="B32" s="2" t="s">
        <v>240</v>
      </c>
      <c r="C32" s="92" t="s">
        <v>135</v>
      </c>
      <c r="D32" s="92" t="s">
        <v>147</v>
      </c>
      <c r="L32" s="5"/>
      <c r="M32" s="66"/>
      <c r="N32" s="66"/>
      <c r="O32" s="66"/>
      <c r="Q32" s="66"/>
      <c r="R32" s="66"/>
      <c r="S32" s="68"/>
    </row>
    <row r="33" spans="2:20" x14ac:dyDescent="0.25">
      <c r="B33" s="2" t="s">
        <v>279</v>
      </c>
      <c r="C33" s="92" t="s">
        <v>135</v>
      </c>
      <c r="D33" s="92" t="s">
        <v>147</v>
      </c>
      <c r="L33" s="5"/>
      <c r="M33" s="66"/>
      <c r="N33" s="66"/>
      <c r="O33" s="66"/>
      <c r="Q33" s="66"/>
      <c r="R33" s="66"/>
      <c r="S33" s="68"/>
    </row>
    <row r="34" spans="2:20" x14ac:dyDescent="0.25">
      <c r="B34" s="2" t="s">
        <v>281</v>
      </c>
      <c r="C34" s="92" t="s">
        <v>135</v>
      </c>
      <c r="D34" s="92" t="s">
        <v>147</v>
      </c>
      <c r="L34" s="5"/>
      <c r="M34" s="66"/>
      <c r="N34" s="66"/>
      <c r="O34" s="66"/>
      <c r="Q34" s="66"/>
      <c r="R34" s="66"/>
      <c r="S34" s="68"/>
    </row>
    <row r="35" spans="2:20" x14ac:dyDescent="0.25">
      <c r="B35" s="2" t="s">
        <v>286</v>
      </c>
      <c r="C35" s="92" t="s">
        <v>135</v>
      </c>
      <c r="D35" s="92" t="s">
        <v>147</v>
      </c>
      <c r="L35" s="5"/>
      <c r="M35" s="66"/>
      <c r="N35" s="66"/>
      <c r="O35" s="66"/>
      <c r="Q35" s="66"/>
      <c r="R35" s="66"/>
      <c r="S35" s="68"/>
    </row>
    <row r="36" spans="2:20" x14ac:dyDescent="0.25">
      <c r="C36" s="92"/>
      <c r="D36" s="92"/>
      <c r="L36" s="5"/>
      <c r="M36" s="66"/>
      <c r="N36" s="66"/>
      <c r="O36" s="66"/>
      <c r="Q36" s="66"/>
      <c r="R36" s="66"/>
      <c r="S36" s="68"/>
    </row>
    <row r="37" spans="2:20" x14ac:dyDescent="0.25">
      <c r="B37" s="258" t="s">
        <v>298</v>
      </c>
      <c r="C37" s="92"/>
      <c r="D37" s="92"/>
      <c r="L37" s="5"/>
      <c r="M37" s="66"/>
      <c r="N37" s="66"/>
      <c r="O37" s="66"/>
      <c r="Q37" s="66"/>
      <c r="R37" s="66"/>
      <c r="S37" s="68"/>
    </row>
    <row r="38" spans="2:20" x14ac:dyDescent="0.25">
      <c r="B38" s="336" t="s">
        <v>299</v>
      </c>
      <c r="C38" s="336"/>
      <c r="D38" s="336"/>
      <c r="E38" s="336"/>
      <c r="F38" s="336"/>
      <c r="G38" s="336"/>
      <c r="H38" s="336"/>
      <c r="L38" s="5"/>
      <c r="M38" s="66"/>
      <c r="N38" s="66"/>
      <c r="O38" s="66"/>
      <c r="Q38" s="66"/>
      <c r="R38" s="66"/>
      <c r="S38" s="68"/>
    </row>
    <row r="39" spans="2:20" ht="15" customHeight="1" x14ac:dyDescent="0.25">
      <c r="B39" s="10"/>
      <c r="C39" s="94"/>
      <c r="D39" s="94"/>
      <c r="E39" s="10"/>
      <c r="F39" s="10"/>
      <c r="G39" s="10"/>
      <c r="H39" s="10"/>
      <c r="I39" s="10"/>
      <c r="J39" s="10"/>
      <c r="K39" s="10"/>
      <c r="L39" s="10"/>
      <c r="M39" s="10"/>
      <c r="N39" s="29"/>
      <c r="O39" s="29"/>
      <c r="P39" s="29"/>
      <c r="Q39" s="29"/>
      <c r="R39" s="29"/>
      <c r="S39" s="27"/>
    </row>
    <row r="40" spans="2:20" ht="15" customHeight="1" x14ac:dyDescent="0.25">
      <c r="N40" s="109"/>
      <c r="O40" s="109"/>
      <c r="P40" s="109"/>
      <c r="Q40" s="170" t="s">
        <v>90</v>
      </c>
      <c r="R40" s="171"/>
      <c r="S40" s="172"/>
    </row>
    <row r="41" spans="2:20" ht="15" customHeight="1" x14ac:dyDescent="0.25">
      <c r="B41" s="17" t="s">
        <v>39</v>
      </c>
      <c r="C41" s="96" t="s">
        <v>2</v>
      </c>
      <c r="D41" s="96"/>
      <c r="E41" s="96" t="s">
        <v>34</v>
      </c>
      <c r="F41" s="96" t="s">
        <v>35</v>
      </c>
      <c r="G41" s="120"/>
      <c r="H41" s="120"/>
      <c r="I41" s="114"/>
      <c r="J41" s="96"/>
      <c r="K41" s="96"/>
      <c r="L41" s="96" t="s">
        <v>36</v>
      </c>
      <c r="M41" s="96" t="s">
        <v>37</v>
      </c>
      <c r="N41" s="10"/>
      <c r="O41" s="10"/>
      <c r="P41" s="10"/>
      <c r="Q41" s="54" t="s">
        <v>88</v>
      </c>
      <c r="R41" s="54"/>
      <c r="S41" s="55"/>
    </row>
    <row r="42" spans="2:20" x14ac:dyDescent="0.25">
      <c r="B42" s="63"/>
      <c r="C42" s="9"/>
      <c r="D42" s="9"/>
      <c r="E42" s="9"/>
      <c r="F42" s="9"/>
      <c r="G42" s="9"/>
      <c r="H42" s="9"/>
      <c r="I42" s="9"/>
      <c r="J42" s="9"/>
      <c r="K42" s="9"/>
      <c r="L42" s="9"/>
      <c r="M42" s="9"/>
    </row>
    <row r="43" spans="2:20" x14ac:dyDescent="0.25">
      <c r="B43" s="63"/>
      <c r="C43" s="9"/>
      <c r="D43" s="9"/>
      <c r="E43" s="9"/>
      <c r="F43" s="9"/>
      <c r="G43" s="9"/>
      <c r="H43" s="9"/>
      <c r="I43" s="9"/>
      <c r="J43" s="9"/>
      <c r="K43" s="9"/>
      <c r="L43" s="9"/>
      <c r="M43" s="9"/>
      <c r="Q43" s="58"/>
      <c r="R43" s="51"/>
      <c r="S43" s="51"/>
    </row>
    <row r="44" spans="2:20" x14ac:dyDescent="0.25">
      <c r="B44" s="12"/>
      <c r="C44" s="13"/>
      <c r="D44" s="13"/>
      <c r="E44" s="14"/>
      <c r="F44" s="15"/>
      <c r="G44" s="15"/>
      <c r="H44" s="15"/>
      <c r="I44" s="15"/>
      <c r="J44" s="15"/>
      <c r="K44" s="15"/>
      <c r="L44" s="16"/>
      <c r="M44" s="31"/>
      <c r="N44" s="45"/>
      <c r="O44" s="45"/>
      <c r="P44" s="45"/>
      <c r="R44" s="51"/>
      <c r="S44" s="51"/>
      <c r="T44" s="51"/>
    </row>
    <row r="45" spans="2:20" x14ac:dyDescent="0.25">
      <c r="B45" s="12"/>
      <c r="C45" s="13"/>
      <c r="D45" s="13"/>
      <c r="E45" s="14"/>
      <c r="F45" s="15"/>
      <c r="G45" s="15"/>
      <c r="H45" s="15"/>
      <c r="I45" s="15"/>
      <c r="J45" s="15"/>
      <c r="K45" s="15"/>
      <c r="L45" s="16"/>
      <c r="M45" s="31"/>
      <c r="N45" s="18"/>
      <c r="O45" s="18"/>
      <c r="P45" s="18"/>
      <c r="Q45" s="51"/>
      <c r="R45" s="51"/>
      <c r="S45" s="51"/>
      <c r="T45" s="51"/>
    </row>
    <row r="46" spans="2:20" x14ac:dyDescent="0.25">
      <c r="B46" s="12"/>
      <c r="C46" s="13"/>
      <c r="D46" s="13"/>
      <c r="E46" s="14"/>
      <c r="F46" s="15"/>
      <c r="G46" s="15"/>
      <c r="H46" s="15"/>
      <c r="I46" s="15"/>
      <c r="J46" s="15"/>
      <c r="K46" s="15"/>
      <c r="L46" s="16"/>
      <c r="M46" s="31"/>
      <c r="N46" s="18"/>
      <c r="O46" s="18"/>
      <c r="P46" s="18"/>
      <c r="Q46" s="51"/>
      <c r="R46" s="51"/>
      <c r="S46" s="51"/>
      <c r="T46" s="51"/>
    </row>
    <row r="47" spans="2:20" x14ac:dyDescent="0.25">
      <c r="B47" s="12"/>
      <c r="C47" s="13"/>
      <c r="D47" s="13"/>
      <c r="E47" s="14"/>
      <c r="F47" s="15"/>
      <c r="G47" s="15"/>
      <c r="H47" s="15"/>
      <c r="I47" s="15"/>
      <c r="J47" s="15"/>
      <c r="K47" s="15"/>
      <c r="L47" s="16"/>
      <c r="M47" s="31"/>
      <c r="N47" s="18"/>
      <c r="O47" s="18"/>
      <c r="P47" s="18"/>
      <c r="Q47" s="51"/>
      <c r="R47" s="51"/>
      <c r="S47" s="51"/>
      <c r="T47" s="51"/>
    </row>
    <row r="48" spans="2:20" x14ac:dyDescent="0.25">
      <c r="B48" s="12"/>
      <c r="C48" s="13"/>
      <c r="D48" s="13"/>
      <c r="E48" s="14"/>
      <c r="F48" s="15"/>
      <c r="G48" s="15"/>
      <c r="H48" s="15"/>
      <c r="I48" s="15"/>
      <c r="J48" s="15"/>
      <c r="K48" s="15"/>
      <c r="L48" s="16"/>
      <c r="M48" s="31"/>
      <c r="N48" s="18"/>
      <c r="O48" s="18"/>
      <c r="P48" s="18"/>
      <c r="Q48" s="51"/>
      <c r="R48" s="51"/>
      <c r="S48" s="51"/>
      <c r="T48" s="51"/>
    </row>
    <row r="49" spans="2:20" x14ac:dyDescent="0.25">
      <c r="B49" s="12"/>
      <c r="C49" s="13"/>
      <c r="D49" s="13"/>
      <c r="E49" s="14"/>
      <c r="F49" s="15"/>
      <c r="G49" s="15"/>
      <c r="H49" s="15"/>
      <c r="I49" s="15"/>
      <c r="J49" s="15"/>
      <c r="K49" s="15"/>
      <c r="L49" s="16"/>
      <c r="M49" s="31"/>
      <c r="N49" s="18"/>
      <c r="O49" s="18"/>
      <c r="P49" s="18"/>
      <c r="Q49" s="51"/>
      <c r="R49" s="51"/>
      <c r="S49" s="51"/>
      <c r="T49" s="51"/>
    </row>
    <row r="50" spans="2:20" x14ac:dyDescent="0.25">
      <c r="B50" s="12"/>
      <c r="C50" s="13"/>
      <c r="D50" s="13"/>
      <c r="E50" s="14"/>
      <c r="F50" s="15"/>
      <c r="G50" s="15"/>
      <c r="H50" s="15"/>
      <c r="I50" s="15"/>
      <c r="J50" s="15"/>
      <c r="K50" s="15"/>
      <c r="L50" s="16"/>
      <c r="M50" s="31"/>
      <c r="N50" s="18"/>
      <c r="O50" s="18"/>
      <c r="P50" s="18"/>
      <c r="Q50" s="51"/>
      <c r="R50" s="51"/>
      <c r="S50" s="51"/>
      <c r="T50" s="51"/>
    </row>
    <row r="51" spans="2:20" x14ac:dyDescent="0.25">
      <c r="B51" s="12"/>
      <c r="C51" s="13"/>
      <c r="D51" s="13"/>
      <c r="E51" s="14"/>
      <c r="F51" s="15"/>
      <c r="G51" s="15"/>
      <c r="H51" s="15"/>
      <c r="I51" s="15"/>
      <c r="J51" s="15"/>
      <c r="K51" s="15"/>
      <c r="L51" s="16"/>
      <c r="M51" s="31"/>
      <c r="N51" s="18"/>
      <c r="O51" s="18"/>
      <c r="P51" s="18"/>
      <c r="Q51" s="51"/>
      <c r="R51" s="51"/>
      <c r="S51" s="51"/>
      <c r="T51" s="51"/>
    </row>
    <row r="52" spans="2:20" x14ac:dyDescent="0.25">
      <c r="B52" s="12"/>
      <c r="C52" s="13"/>
      <c r="D52" s="13"/>
      <c r="E52" s="14"/>
      <c r="F52" s="15"/>
      <c r="G52" s="15"/>
      <c r="H52" s="15"/>
      <c r="I52" s="15"/>
      <c r="J52" s="15"/>
      <c r="K52" s="15"/>
      <c r="L52" s="16"/>
      <c r="M52" s="31"/>
      <c r="N52" s="18"/>
      <c r="O52" s="18"/>
      <c r="P52" s="18"/>
      <c r="Q52" s="51"/>
      <c r="R52" s="51"/>
      <c r="S52" s="51"/>
      <c r="T52" s="51"/>
    </row>
    <row r="55" spans="2:20" x14ac:dyDescent="0.25">
      <c r="Q55" s="309" t="s">
        <v>316</v>
      </c>
      <c r="R55" s="309"/>
      <c r="S55" s="310">
        <f>S17</f>
        <v>113858.05000000002</v>
      </c>
    </row>
  </sheetData>
  <mergeCells count="7">
    <mergeCell ref="B38:H38"/>
    <mergeCell ref="B27:F27"/>
    <mergeCell ref="Q2:S2"/>
    <mergeCell ref="Q1:S1"/>
    <mergeCell ref="B22:F22"/>
    <mergeCell ref="B24:F24"/>
    <mergeCell ref="B26:F26"/>
  </mergeCells>
  <hyperlinks>
    <hyperlink ref="B27" r:id="rId1"/>
  </hyperlinks>
  <printOptions horizontalCentered="1" gridLines="1"/>
  <pageMargins left="0" right="0" top="0.75" bottom="0.75" header="0.3" footer="0.3"/>
  <pageSetup scale="53" orientation="landscape" horizontalDpi="1200" verticalDpi="1200"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5"/>
  <sheetViews>
    <sheetView topLeftCell="C4" zoomScale="90" zoomScaleNormal="90" workbookViewId="0">
      <selection activeCell="R14" sqref="R14"/>
    </sheetView>
  </sheetViews>
  <sheetFormatPr defaultColWidth="9.140625" defaultRowHeight="15" x14ac:dyDescent="0.25"/>
  <cols>
    <col min="1" max="1" width="8" style="2" hidden="1" customWidth="1"/>
    <col min="2" max="2" width="61.5703125" style="2" customWidth="1"/>
    <col min="3" max="3" width="30.85546875" style="2" customWidth="1"/>
    <col min="4" max="4" width="13.7109375" style="2" customWidth="1"/>
    <col min="5" max="5" width="17.28515625" style="2" customWidth="1"/>
    <col min="6" max="6" width="20.85546875" style="2" customWidth="1"/>
    <col min="7" max="7" width="10.28515625" style="2" customWidth="1"/>
    <col min="8" max="8" width="12.85546875" style="2" customWidth="1"/>
    <col min="9" max="9" width="13.42578125" style="2" customWidth="1"/>
    <col min="10" max="10" width="15.7109375" style="2" customWidth="1"/>
    <col min="11" max="11" width="8.85546875" style="2" customWidth="1"/>
    <col min="12" max="12" width="19.28515625" style="2" customWidth="1"/>
    <col min="13" max="13" width="14"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6.7109375" style="2" customWidth="1"/>
    <col min="20" max="16384" width="9.140625" style="2"/>
  </cols>
  <sheetData>
    <row r="1" spans="1:20" ht="15.6" customHeight="1" x14ac:dyDescent="0.25">
      <c r="B1" s="1" t="s">
        <v>15</v>
      </c>
      <c r="Q1" s="338" t="s">
        <v>296</v>
      </c>
      <c r="R1" s="338"/>
      <c r="S1" s="338"/>
    </row>
    <row r="2" spans="1:20" x14ac:dyDescent="0.25">
      <c r="B2" s="88" t="s">
        <v>148</v>
      </c>
      <c r="C2" s="182">
        <v>44742</v>
      </c>
      <c r="M2" s="71"/>
      <c r="N2" s="71"/>
      <c r="P2" s="29"/>
      <c r="Q2" s="337" t="s">
        <v>375</v>
      </c>
      <c r="R2" s="337"/>
      <c r="S2" s="337"/>
    </row>
    <row r="3" spans="1:20" ht="15.75" thickBot="1" x14ac:dyDescent="0.3">
      <c r="A3" s="2" t="s">
        <v>16</v>
      </c>
      <c r="B3" s="44" t="s">
        <v>59</v>
      </c>
      <c r="C3" s="8"/>
      <c r="D3" s="8"/>
      <c r="E3" s="8"/>
      <c r="P3" s="29"/>
      <c r="Q3" s="45"/>
      <c r="R3" s="30"/>
    </row>
    <row r="4" spans="1:20" x14ac:dyDescent="0.25">
      <c r="B4" s="8" t="s">
        <v>174</v>
      </c>
      <c r="M4" s="85" t="s">
        <v>28</v>
      </c>
      <c r="N4" s="85" t="s">
        <v>28</v>
      </c>
      <c r="O4" s="85" t="s">
        <v>28</v>
      </c>
      <c r="P4" s="9"/>
      <c r="Q4" s="89" t="s">
        <v>29</v>
      </c>
      <c r="R4" s="89" t="s">
        <v>31</v>
      </c>
      <c r="S4" s="89" t="s">
        <v>23</v>
      </c>
      <c r="T4" s="7"/>
    </row>
    <row r="5" spans="1:20" ht="15.75" thickBot="1" x14ac:dyDescent="0.3">
      <c r="G5" s="183" t="s">
        <v>295</v>
      </c>
      <c r="H5" s="183" t="s">
        <v>295</v>
      </c>
      <c r="M5" s="86" t="s">
        <v>27</v>
      </c>
      <c r="N5" s="86" t="s">
        <v>26</v>
      </c>
      <c r="O5" s="86" t="s">
        <v>25</v>
      </c>
      <c r="P5" s="9"/>
      <c r="Q5" s="90" t="s">
        <v>30</v>
      </c>
      <c r="R5" s="90" t="s">
        <v>30</v>
      </c>
      <c r="S5" s="90" t="s">
        <v>30</v>
      </c>
      <c r="T5" s="7"/>
    </row>
    <row r="6" spans="1:20" ht="85.5" customHeight="1" thickBot="1" x14ac:dyDescent="0.3">
      <c r="B6" s="84" t="s">
        <v>1</v>
      </c>
      <c r="C6" s="84" t="s">
        <v>389</v>
      </c>
      <c r="D6" s="84" t="s">
        <v>107</v>
      </c>
      <c r="E6" s="84" t="s">
        <v>3</v>
      </c>
      <c r="F6" s="84" t="s">
        <v>4</v>
      </c>
      <c r="G6" s="107" t="s">
        <v>136</v>
      </c>
      <c r="H6" s="107" t="s">
        <v>137</v>
      </c>
      <c r="I6" s="107" t="s">
        <v>133</v>
      </c>
      <c r="J6" s="107" t="s">
        <v>134</v>
      </c>
      <c r="K6" s="107" t="s">
        <v>121</v>
      </c>
      <c r="L6" s="83" t="s">
        <v>5</v>
      </c>
      <c r="M6" s="87" t="s">
        <v>6</v>
      </c>
      <c r="N6" s="87" t="s">
        <v>6</v>
      </c>
      <c r="O6" s="87" t="s">
        <v>6</v>
      </c>
      <c r="P6" s="9"/>
      <c r="Q6" s="91"/>
      <c r="R6" s="97" t="s">
        <v>32</v>
      </c>
      <c r="S6" s="98" t="s">
        <v>33</v>
      </c>
    </row>
    <row r="7" spans="1:20" ht="19.899999999999999" hidden="1" customHeight="1" x14ac:dyDescent="0.25">
      <c r="B7" s="2" t="s">
        <v>8</v>
      </c>
      <c r="C7" s="92" t="s">
        <v>182</v>
      </c>
      <c r="D7" s="92" t="s">
        <v>163</v>
      </c>
      <c r="E7" s="2" t="s">
        <v>217</v>
      </c>
      <c r="F7" s="2" t="s">
        <v>7</v>
      </c>
      <c r="G7" s="186">
        <v>2.9600000000000001E-2</v>
      </c>
      <c r="H7" s="186">
        <v>0.1744</v>
      </c>
      <c r="I7" s="187">
        <v>44377</v>
      </c>
      <c r="J7" s="187">
        <v>44378</v>
      </c>
      <c r="K7" s="187">
        <v>44013</v>
      </c>
      <c r="L7" s="188" t="s">
        <v>219</v>
      </c>
      <c r="M7" s="65"/>
      <c r="N7" s="67"/>
      <c r="O7" s="67">
        <f t="shared" ref="O7:O23" si="0">M7+N7</f>
        <v>0</v>
      </c>
      <c r="P7" s="67"/>
      <c r="Q7" s="67"/>
      <c r="R7" s="67"/>
      <c r="S7" s="68">
        <f t="shared" ref="S7:S21" si="1">Q7+R7</f>
        <v>0</v>
      </c>
    </row>
    <row r="8" spans="1:20" ht="30" hidden="1" x14ac:dyDescent="0.25">
      <c r="B8" s="29" t="s">
        <v>128</v>
      </c>
      <c r="C8" s="225" t="s">
        <v>183</v>
      </c>
      <c r="D8" s="92" t="s">
        <v>171</v>
      </c>
      <c r="E8" s="2" t="s">
        <v>218</v>
      </c>
      <c r="F8" s="2" t="s">
        <v>7</v>
      </c>
      <c r="G8" s="186">
        <v>2.7699999999999999E-2</v>
      </c>
      <c r="H8" s="186">
        <v>0.15060000000000001</v>
      </c>
      <c r="I8" s="187">
        <v>43646</v>
      </c>
      <c r="J8" s="187">
        <v>43647</v>
      </c>
      <c r="K8" s="187">
        <v>43282</v>
      </c>
      <c r="L8" s="188" t="s">
        <v>157</v>
      </c>
      <c r="M8" s="65"/>
      <c r="N8" s="67">
        <v>0</v>
      </c>
      <c r="O8" s="67">
        <f t="shared" si="0"/>
        <v>0</v>
      </c>
      <c r="P8" s="67"/>
      <c r="Q8" s="67"/>
      <c r="R8" s="67">
        <v>0</v>
      </c>
      <c r="S8" s="68">
        <f t="shared" si="1"/>
        <v>0</v>
      </c>
    </row>
    <row r="9" spans="1:20" ht="38.25" customHeight="1" x14ac:dyDescent="0.25">
      <c r="B9" s="2" t="s">
        <v>128</v>
      </c>
      <c r="C9" s="236" t="s">
        <v>122</v>
      </c>
      <c r="D9" s="93" t="s">
        <v>310</v>
      </c>
      <c r="E9" s="2" t="s">
        <v>309</v>
      </c>
      <c r="F9" s="2" t="s">
        <v>7</v>
      </c>
      <c r="G9" s="186">
        <v>2.63E-2</v>
      </c>
      <c r="H9" s="186">
        <v>0.1845</v>
      </c>
      <c r="I9" s="187">
        <v>44377</v>
      </c>
      <c r="J9" s="187">
        <v>44743</v>
      </c>
      <c r="K9" s="187">
        <v>44378</v>
      </c>
      <c r="L9" s="188" t="s">
        <v>297</v>
      </c>
      <c r="M9" s="67">
        <v>15009.75</v>
      </c>
      <c r="N9" s="67">
        <v>18996.740000000002</v>
      </c>
      <c r="O9" s="67">
        <f t="shared" si="0"/>
        <v>34006.490000000005</v>
      </c>
      <c r="P9" s="29"/>
      <c r="Q9" s="67">
        <f>15009.75+18996.74</f>
        <v>34006.490000000005</v>
      </c>
      <c r="R9" s="67"/>
      <c r="S9" s="68">
        <f t="shared" si="1"/>
        <v>34006.490000000005</v>
      </c>
    </row>
    <row r="10" spans="1:20" ht="38.25" customHeight="1" x14ac:dyDescent="0.25">
      <c r="B10" s="330" t="s">
        <v>371</v>
      </c>
      <c r="C10" s="236" t="s">
        <v>373</v>
      </c>
      <c r="D10" s="331" t="s">
        <v>372</v>
      </c>
      <c r="E10" s="29" t="s">
        <v>374</v>
      </c>
      <c r="F10" s="2" t="s">
        <v>7</v>
      </c>
      <c r="G10" s="186">
        <v>2.63E-2</v>
      </c>
      <c r="H10" s="186">
        <v>0.1845</v>
      </c>
      <c r="I10" s="187">
        <v>45199</v>
      </c>
      <c r="J10" s="187">
        <v>45214</v>
      </c>
      <c r="K10" s="187">
        <v>44378</v>
      </c>
      <c r="L10" s="188" t="s">
        <v>325</v>
      </c>
      <c r="M10" s="70">
        <v>10180.02</v>
      </c>
      <c r="N10" s="70"/>
      <c r="O10" s="67">
        <f>M10+N10</f>
        <v>10180.02</v>
      </c>
      <c r="P10" s="42"/>
      <c r="Q10" s="43">
        <v>10180.02</v>
      </c>
      <c r="R10" s="67"/>
      <c r="S10" s="68">
        <f t="shared" si="1"/>
        <v>10180.02</v>
      </c>
    </row>
    <row r="11" spans="1:20" ht="36.75" customHeight="1" x14ac:dyDescent="0.25">
      <c r="B11" s="2" t="s">
        <v>223</v>
      </c>
      <c r="C11" s="236" t="s">
        <v>333</v>
      </c>
      <c r="D11" s="93" t="s">
        <v>224</v>
      </c>
      <c r="E11" s="2" t="s">
        <v>225</v>
      </c>
      <c r="F11" s="2" t="s">
        <v>7</v>
      </c>
      <c r="G11" s="186">
        <v>2.63E-2</v>
      </c>
      <c r="H11" s="186">
        <v>0.1845</v>
      </c>
      <c r="I11" s="187">
        <v>44834</v>
      </c>
      <c r="J11" s="187">
        <v>44849</v>
      </c>
      <c r="K11" s="187">
        <v>43614</v>
      </c>
      <c r="L11" s="188" t="s">
        <v>274</v>
      </c>
      <c r="M11" s="67">
        <v>198754.99</v>
      </c>
      <c r="N11" s="67"/>
      <c r="O11" s="67">
        <f t="shared" si="0"/>
        <v>198754.99</v>
      </c>
      <c r="P11" s="29"/>
      <c r="Q11" s="67">
        <v>188690.99</v>
      </c>
      <c r="R11" s="67"/>
      <c r="S11" s="68">
        <f t="shared" si="1"/>
        <v>188690.99</v>
      </c>
    </row>
    <row r="12" spans="1:20" ht="29.25" customHeight="1" x14ac:dyDescent="0.25">
      <c r="B12" s="2" t="s">
        <v>275</v>
      </c>
      <c r="C12" s="236" t="s">
        <v>333</v>
      </c>
      <c r="D12" s="93" t="s">
        <v>224</v>
      </c>
      <c r="E12" s="2" t="s">
        <v>276</v>
      </c>
      <c r="F12" s="2" t="s">
        <v>7</v>
      </c>
      <c r="G12" s="186">
        <v>2.63E-2</v>
      </c>
      <c r="H12" s="186">
        <v>0.1845</v>
      </c>
      <c r="I12" s="187">
        <v>44773</v>
      </c>
      <c r="J12" s="187">
        <v>44788</v>
      </c>
      <c r="K12" s="187">
        <v>43980</v>
      </c>
      <c r="L12" s="188" t="s">
        <v>277</v>
      </c>
      <c r="M12" s="79">
        <v>9518.5499999999993</v>
      </c>
      <c r="N12" s="70"/>
      <c r="O12" s="67">
        <f t="shared" si="0"/>
        <v>9518.5499999999993</v>
      </c>
      <c r="P12" s="67"/>
      <c r="Q12" s="67">
        <v>9263.0400000000009</v>
      </c>
      <c r="R12" s="67"/>
      <c r="S12" s="68">
        <f t="shared" si="1"/>
        <v>9263.0400000000009</v>
      </c>
    </row>
    <row r="13" spans="1:20" ht="29.25" customHeight="1" x14ac:dyDescent="0.25">
      <c r="B13" s="2" t="s">
        <v>279</v>
      </c>
      <c r="C13" s="236" t="s">
        <v>333</v>
      </c>
      <c r="D13" s="93" t="s">
        <v>224</v>
      </c>
      <c r="E13" s="2" t="s">
        <v>280</v>
      </c>
      <c r="F13" s="2" t="s">
        <v>7</v>
      </c>
      <c r="G13" s="186">
        <v>2.63E-2</v>
      </c>
      <c r="H13" s="186">
        <v>0.1845</v>
      </c>
      <c r="I13" s="187">
        <v>44592</v>
      </c>
      <c r="J13" s="187">
        <v>44592</v>
      </c>
      <c r="K13" s="187">
        <v>43980</v>
      </c>
      <c r="L13" s="188" t="s">
        <v>332</v>
      </c>
      <c r="M13" s="79">
        <v>3000</v>
      </c>
      <c r="N13" s="67"/>
      <c r="O13" s="67">
        <f t="shared" si="0"/>
        <v>3000</v>
      </c>
      <c r="P13" s="66"/>
      <c r="Q13" s="67"/>
      <c r="R13" s="67"/>
      <c r="S13" s="68">
        <f t="shared" si="1"/>
        <v>0</v>
      </c>
    </row>
    <row r="14" spans="1:20" ht="29.25" customHeight="1" x14ac:dyDescent="0.25">
      <c r="B14" s="2" t="s">
        <v>281</v>
      </c>
      <c r="C14" s="236" t="s">
        <v>334</v>
      </c>
      <c r="D14" s="93" t="s">
        <v>231</v>
      </c>
      <c r="E14" s="2" t="s">
        <v>282</v>
      </c>
      <c r="F14" s="2" t="s">
        <v>7</v>
      </c>
      <c r="G14" s="186">
        <v>2.63E-2</v>
      </c>
      <c r="H14" s="186">
        <v>0.1845</v>
      </c>
      <c r="I14" s="187">
        <v>44742</v>
      </c>
      <c r="J14" s="187">
        <v>44757</v>
      </c>
      <c r="K14" s="187">
        <v>43979</v>
      </c>
      <c r="L14" s="188" t="s">
        <v>283</v>
      </c>
      <c r="M14" s="79">
        <v>1027</v>
      </c>
      <c r="N14" s="67"/>
      <c r="O14" s="67">
        <f t="shared" si="0"/>
        <v>1027</v>
      </c>
      <c r="P14" s="66"/>
      <c r="Q14" s="67">
        <v>1027</v>
      </c>
      <c r="R14" s="67"/>
      <c r="S14" s="68">
        <f t="shared" si="1"/>
        <v>1027</v>
      </c>
    </row>
    <row r="15" spans="1:20" ht="29.25" customHeight="1" x14ac:dyDescent="0.25">
      <c r="B15" s="2" t="s">
        <v>321</v>
      </c>
      <c r="C15" s="236" t="s">
        <v>333</v>
      </c>
      <c r="D15" s="93" t="s">
        <v>288</v>
      </c>
      <c r="E15" s="2" t="s">
        <v>322</v>
      </c>
      <c r="F15" s="2" t="s">
        <v>7</v>
      </c>
      <c r="G15" s="186">
        <f>G14:H14</f>
        <v>2.63E-2</v>
      </c>
      <c r="H15" s="186">
        <f>H14</f>
        <v>0.1845</v>
      </c>
      <c r="I15" s="187">
        <v>45199</v>
      </c>
      <c r="J15" s="187">
        <v>45214</v>
      </c>
      <c r="K15" s="187">
        <v>44201</v>
      </c>
      <c r="L15" s="188" t="s">
        <v>323</v>
      </c>
      <c r="M15" s="79">
        <v>185433.63</v>
      </c>
      <c r="N15" s="67"/>
      <c r="O15" s="67">
        <f t="shared" si="0"/>
        <v>185433.63</v>
      </c>
      <c r="P15" s="66"/>
      <c r="Q15" s="67"/>
      <c r="R15" s="67"/>
      <c r="S15" s="68">
        <f t="shared" si="1"/>
        <v>0</v>
      </c>
    </row>
    <row r="16" spans="1:20" ht="29.25" customHeight="1" x14ac:dyDescent="0.25">
      <c r="B16" s="2" t="s">
        <v>324</v>
      </c>
      <c r="C16" s="236" t="s">
        <v>333</v>
      </c>
      <c r="D16" s="93" t="s">
        <v>288</v>
      </c>
      <c r="E16" s="2" t="s">
        <v>322</v>
      </c>
      <c r="F16" s="2" t="s">
        <v>7</v>
      </c>
      <c r="G16" s="186">
        <f>G15:H15</f>
        <v>2.63E-2</v>
      </c>
      <c r="H16" s="186">
        <f>H15</f>
        <v>0.1845</v>
      </c>
      <c r="I16" s="187">
        <v>45199</v>
      </c>
      <c r="J16" s="187">
        <v>45214</v>
      </c>
      <c r="K16" s="187">
        <v>44201</v>
      </c>
      <c r="L16" s="188" t="s">
        <v>325</v>
      </c>
      <c r="M16" s="79">
        <v>11644</v>
      </c>
      <c r="N16" s="67"/>
      <c r="O16" s="67">
        <f t="shared" si="0"/>
        <v>11644</v>
      </c>
      <c r="P16" s="66"/>
      <c r="Q16" s="67"/>
      <c r="R16" s="67"/>
      <c r="S16" s="68">
        <f t="shared" si="1"/>
        <v>0</v>
      </c>
    </row>
    <row r="17" spans="2:19" ht="29.25" customHeight="1" x14ac:dyDescent="0.25">
      <c r="B17" s="2" t="s">
        <v>326</v>
      </c>
      <c r="C17" s="236" t="s">
        <v>333</v>
      </c>
      <c r="D17" s="93" t="s">
        <v>288</v>
      </c>
      <c r="E17" s="2" t="s">
        <v>330</v>
      </c>
      <c r="F17" s="2" t="s">
        <v>7</v>
      </c>
      <c r="G17" s="186">
        <f>G16:H16</f>
        <v>2.63E-2</v>
      </c>
      <c r="H17" s="186">
        <f>H16</f>
        <v>0.1845</v>
      </c>
      <c r="I17" s="187">
        <v>45199</v>
      </c>
      <c r="J17" s="187">
        <v>45214</v>
      </c>
      <c r="K17" s="187">
        <v>44201</v>
      </c>
      <c r="L17" s="188" t="s">
        <v>323</v>
      </c>
      <c r="M17" s="79">
        <v>48676.33</v>
      </c>
      <c r="N17" s="67"/>
      <c r="O17" s="67">
        <f t="shared" si="0"/>
        <v>48676.33</v>
      </c>
      <c r="P17" s="66"/>
      <c r="Q17" s="67"/>
      <c r="R17" s="67"/>
      <c r="S17" s="68">
        <f t="shared" si="1"/>
        <v>0</v>
      </c>
    </row>
    <row r="18" spans="2:19" ht="29.25" customHeight="1" x14ac:dyDescent="0.25">
      <c r="B18" s="2" t="s">
        <v>370</v>
      </c>
      <c r="C18" s="236" t="s">
        <v>333</v>
      </c>
      <c r="D18" s="93" t="s">
        <v>288</v>
      </c>
      <c r="E18" s="2" t="s">
        <v>331</v>
      </c>
      <c r="F18" s="2" t="s">
        <v>7</v>
      </c>
      <c r="G18" s="186">
        <f t="shared" ref="G18" si="2">G17:H17</f>
        <v>2.63E-2</v>
      </c>
      <c r="H18" s="186">
        <f t="shared" ref="H18" si="3">H17</f>
        <v>0.1845</v>
      </c>
      <c r="I18" s="187">
        <v>45199</v>
      </c>
      <c r="J18" s="187">
        <v>45214</v>
      </c>
      <c r="K18" s="187">
        <v>44201</v>
      </c>
      <c r="L18" s="188" t="s">
        <v>325</v>
      </c>
      <c r="M18" s="79">
        <v>230401.29</v>
      </c>
      <c r="N18" s="67"/>
      <c r="O18" s="67">
        <f t="shared" si="0"/>
        <v>230401.29</v>
      </c>
      <c r="P18" s="66"/>
      <c r="Q18" s="67"/>
      <c r="R18" s="67"/>
      <c r="S18" s="68">
        <f t="shared" si="1"/>
        <v>0</v>
      </c>
    </row>
    <row r="19" spans="2:19" ht="29.25" customHeight="1" x14ac:dyDescent="0.25">
      <c r="B19" s="2" t="s">
        <v>287</v>
      </c>
      <c r="C19" s="236" t="s">
        <v>333</v>
      </c>
      <c r="D19" s="93" t="s">
        <v>288</v>
      </c>
      <c r="E19" s="2" t="s">
        <v>289</v>
      </c>
      <c r="F19" s="2" t="s">
        <v>7</v>
      </c>
      <c r="G19" s="186">
        <v>2.63E-2</v>
      </c>
      <c r="H19" s="186">
        <v>0.1845</v>
      </c>
      <c r="I19" s="187">
        <v>45199</v>
      </c>
      <c r="J19" s="187">
        <v>45199</v>
      </c>
      <c r="K19" s="187">
        <v>44201</v>
      </c>
      <c r="L19" s="188" t="s">
        <v>320</v>
      </c>
      <c r="M19" s="79">
        <v>426497.35</v>
      </c>
      <c r="N19" s="67"/>
      <c r="O19" s="67">
        <f t="shared" si="0"/>
        <v>426497.35</v>
      </c>
      <c r="P19" s="66"/>
      <c r="Q19" s="67"/>
      <c r="R19" s="67"/>
      <c r="S19" s="68">
        <f t="shared" si="1"/>
        <v>0</v>
      </c>
    </row>
    <row r="20" spans="2:19" ht="29.25" customHeight="1" x14ac:dyDescent="0.25">
      <c r="B20" s="2" t="s">
        <v>352</v>
      </c>
      <c r="C20" s="236" t="s">
        <v>353</v>
      </c>
      <c r="D20" s="93" t="s">
        <v>354</v>
      </c>
      <c r="E20" s="2" t="s">
        <v>355</v>
      </c>
      <c r="F20" s="2" t="s">
        <v>7</v>
      </c>
      <c r="G20" s="186">
        <v>2.63E-2</v>
      </c>
      <c r="H20" s="186">
        <v>0.1845</v>
      </c>
      <c r="I20" s="187">
        <v>45565</v>
      </c>
      <c r="J20" s="187">
        <v>45580</v>
      </c>
      <c r="K20" s="187">
        <v>44279</v>
      </c>
      <c r="L20" s="188" t="s">
        <v>356</v>
      </c>
      <c r="M20" s="79">
        <v>1667546.88</v>
      </c>
      <c r="N20" s="67"/>
      <c r="O20" s="67">
        <f t="shared" si="0"/>
        <v>1667546.88</v>
      </c>
      <c r="P20" s="66"/>
      <c r="Q20" s="67"/>
      <c r="R20" s="67"/>
      <c r="S20" s="68">
        <f t="shared" si="1"/>
        <v>0</v>
      </c>
    </row>
    <row r="21" spans="2:19" ht="29.25" customHeight="1" x14ac:dyDescent="0.25">
      <c r="B21" s="2" t="s">
        <v>357</v>
      </c>
      <c r="C21" s="236" t="s">
        <v>353</v>
      </c>
      <c r="D21" s="93" t="s">
        <v>354</v>
      </c>
      <c r="E21" s="2" t="s">
        <v>358</v>
      </c>
      <c r="F21" s="2" t="s">
        <v>7</v>
      </c>
      <c r="G21" s="186">
        <v>2.63E-2</v>
      </c>
      <c r="H21" s="186">
        <v>0.1845</v>
      </c>
      <c r="I21" s="187">
        <v>45565</v>
      </c>
      <c r="J21" s="187">
        <v>45580</v>
      </c>
      <c r="K21" s="187">
        <v>44279</v>
      </c>
      <c r="L21" s="188" t="s">
        <v>356</v>
      </c>
      <c r="M21" s="79">
        <v>416886.72</v>
      </c>
      <c r="N21" s="67"/>
      <c r="O21" s="67">
        <f t="shared" si="0"/>
        <v>416886.72</v>
      </c>
      <c r="P21" s="66"/>
      <c r="Q21" s="67"/>
      <c r="R21" s="67"/>
      <c r="S21" s="68">
        <f t="shared" si="1"/>
        <v>0</v>
      </c>
    </row>
    <row r="22" spans="2:19" ht="29.25" customHeight="1" x14ac:dyDescent="0.25">
      <c r="B22" s="2" t="s">
        <v>363</v>
      </c>
      <c r="C22" s="236" t="s">
        <v>333</v>
      </c>
      <c r="D22" s="93" t="s">
        <v>288</v>
      </c>
      <c r="E22" s="2" t="s">
        <v>364</v>
      </c>
      <c r="F22" s="2" t="s">
        <v>7</v>
      </c>
      <c r="G22" s="186">
        <v>2.63E-2</v>
      </c>
      <c r="H22" s="186">
        <v>0.1845</v>
      </c>
      <c r="I22" s="187">
        <v>45199</v>
      </c>
      <c r="J22" s="187">
        <v>45214</v>
      </c>
      <c r="K22" s="187">
        <v>44201</v>
      </c>
      <c r="L22" s="188" t="s">
        <v>365</v>
      </c>
      <c r="M22" s="79">
        <v>3924.91</v>
      </c>
      <c r="N22" s="67"/>
      <c r="O22" s="67">
        <f t="shared" si="0"/>
        <v>3924.91</v>
      </c>
      <c r="P22" s="66"/>
      <c r="Q22" s="67"/>
      <c r="R22" s="67"/>
      <c r="S22" s="68"/>
    </row>
    <row r="23" spans="2:19" ht="29.25" customHeight="1" x14ac:dyDescent="0.25">
      <c r="B23" s="2" t="s">
        <v>366</v>
      </c>
      <c r="C23" s="236" t="s">
        <v>333</v>
      </c>
      <c r="D23" s="93" t="s">
        <v>367</v>
      </c>
      <c r="E23" s="2" t="s">
        <v>368</v>
      </c>
      <c r="F23" s="2" t="s">
        <v>7</v>
      </c>
      <c r="G23" s="186">
        <v>2.63E-2</v>
      </c>
      <c r="H23" s="186">
        <v>0.1845</v>
      </c>
      <c r="I23" s="187">
        <v>45199</v>
      </c>
      <c r="J23" s="187">
        <v>45214</v>
      </c>
      <c r="K23" s="187">
        <v>44201</v>
      </c>
      <c r="L23" s="188" t="s">
        <v>369</v>
      </c>
      <c r="M23" s="79">
        <v>30705.03</v>
      </c>
      <c r="N23" s="67"/>
      <c r="O23" s="67">
        <f t="shared" si="0"/>
        <v>30705.03</v>
      </c>
      <c r="P23" s="66"/>
      <c r="Q23" s="67"/>
      <c r="R23" s="67"/>
      <c r="S23" s="68"/>
    </row>
    <row r="24" spans="2:19" ht="17.25" customHeight="1" x14ac:dyDescent="0.25">
      <c r="C24" s="236"/>
      <c r="D24" s="199"/>
      <c r="G24" s="186"/>
      <c r="H24" s="186"/>
      <c r="I24" s="254"/>
      <c r="J24" s="187"/>
      <c r="K24" s="187"/>
      <c r="L24" s="188"/>
      <c r="M24" s="25"/>
      <c r="N24" s="25"/>
      <c r="O24" s="25"/>
      <c r="P24" s="29"/>
      <c r="Q24" s="25"/>
      <c r="R24" s="25"/>
      <c r="S24" s="26"/>
    </row>
    <row r="25" spans="2:19" ht="22.5" customHeight="1" x14ac:dyDescent="0.25">
      <c r="C25" s="92"/>
      <c r="D25" s="92"/>
      <c r="G25" s="123"/>
      <c r="H25" s="123"/>
      <c r="I25" s="116"/>
      <c r="J25" s="116"/>
      <c r="K25" s="116"/>
      <c r="L25" s="5" t="s">
        <v>38</v>
      </c>
      <c r="M25" s="66">
        <f>SUM(M7:M24)</f>
        <v>3259206.4499999997</v>
      </c>
      <c r="N25" s="66">
        <f>SUM(N7:N24)</f>
        <v>18996.740000000002</v>
      </c>
      <c r="O25" s="66">
        <f>SUM(O7:O24)</f>
        <v>3278203.19</v>
      </c>
      <c r="Q25" s="66">
        <f>SUM(Q7:Q24)</f>
        <v>243167.54</v>
      </c>
      <c r="R25" s="66">
        <f>SUM(R7:R24)</f>
        <v>0</v>
      </c>
      <c r="S25" s="23">
        <f>SUM(S7:S24)</f>
        <v>243167.54</v>
      </c>
    </row>
    <row r="26" spans="2:19" x14ac:dyDescent="0.25">
      <c r="C26" s="92"/>
      <c r="D26" s="92"/>
      <c r="I26" s="116"/>
      <c r="J26" s="116"/>
      <c r="K26" s="116"/>
      <c r="L26" s="5"/>
      <c r="M26" s="66"/>
      <c r="N26" s="66"/>
      <c r="O26" s="66"/>
      <c r="Q26" s="66"/>
      <c r="R26" s="66"/>
      <c r="S26" s="68"/>
    </row>
    <row r="27" spans="2:19" x14ac:dyDescent="0.25">
      <c r="C27" s="92"/>
      <c r="D27" s="92"/>
      <c r="I27" s="116"/>
      <c r="J27" s="116"/>
      <c r="K27" s="116"/>
      <c r="L27" s="5"/>
      <c r="M27" s="66"/>
      <c r="N27" s="66"/>
      <c r="O27" s="66"/>
      <c r="Q27" s="66"/>
      <c r="R27" s="66"/>
      <c r="S27" s="68"/>
    </row>
    <row r="28" spans="2:19" x14ac:dyDescent="0.25">
      <c r="B28" s="8" t="s">
        <v>125</v>
      </c>
      <c r="C28" s="92"/>
      <c r="D28" s="92"/>
      <c r="L28" s="5"/>
      <c r="M28" s="66"/>
      <c r="N28" s="66"/>
      <c r="O28" s="66"/>
      <c r="Q28" s="66"/>
      <c r="R28" s="66"/>
      <c r="S28" s="68"/>
    </row>
    <row r="29" spans="2:19" ht="28.5" customHeight="1" x14ac:dyDescent="0.25">
      <c r="B29" s="341" t="s">
        <v>126</v>
      </c>
      <c r="C29" s="341"/>
      <c r="D29" s="341"/>
      <c r="E29" s="341"/>
      <c r="F29" s="341"/>
      <c r="G29" s="117"/>
      <c r="H29" s="117"/>
      <c r="I29" s="111"/>
      <c r="L29" s="5"/>
      <c r="M29" s="66"/>
      <c r="N29" s="66"/>
      <c r="O29" s="66"/>
      <c r="Q29" s="66"/>
      <c r="R29" s="66"/>
      <c r="S29" s="68"/>
    </row>
    <row r="30" spans="2:19" x14ac:dyDescent="0.25">
      <c r="C30" s="92"/>
      <c r="D30" s="92"/>
      <c r="L30" s="5"/>
      <c r="M30" s="66"/>
      <c r="N30" s="66"/>
      <c r="O30" s="66"/>
      <c r="Q30" s="66"/>
      <c r="R30" s="66"/>
      <c r="S30" s="68"/>
    </row>
    <row r="31" spans="2:19" ht="44.25" customHeight="1" x14ac:dyDescent="0.25">
      <c r="B31" s="341" t="s">
        <v>129</v>
      </c>
      <c r="C31" s="341"/>
      <c r="D31" s="341"/>
      <c r="E31" s="341"/>
      <c r="F31" s="341"/>
      <c r="G31" s="117"/>
      <c r="H31" s="117"/>
      <c r="I31" s="111"/>
      <c r="L31" s="5"/>
      <c r="M31" s="66"/>
      <c r="N31" s="66"/>
      <c r="O31" s="66"/>
      <c r="Q31" s="66"/>
      <c r="R31" s="66"/>
      <c r="S31" s="68"/>
    </row>
    <row r="32" spans="2:19" x14ac:dyDescent="0.25">
      <c r="B32" s="108"/>
      <c r="C32" s="108"/>
      <c r="D32" s="108"/>
      <c r="E32" s="108"/>
      <c r="F32" s="108"/>
      <c r="G32" s="117"/>
      <c r="H32" s="117"/>
      <c r="I32" s="111"/>
      <c r="L32" s="5"/>
      <c r="M32" s="66"/>
      <c r="N32" s="66"/>
      <c r="O32" s="66"/>
      <c r="Q32" s="66"/>
      <c r="R32" s="66"/>
      <c r="S32" s="68"/>
    </row>
    <row r="33" spans="1:19" ht="28.5" customHeight="1" x14ac:dyDescent="0.25">
      <c r="B33" s="341" t="s">
        <v>160</v>
      </c>
      <c r="C33" s="341"/>
      <c r="D33" s="341"/>
      <c r="E33" s="341"/>
      <c r="F33" s="341"/>
      <c r="G33" s="193"/>
      <c r="H33" s="193"/>
      <c r="I33" s="193"/>
      <c r="L33" s="5"/>
      <c r="M33" s="66"/>
      <c r="N33" s="66"/>
      <c r="O33" s="66"/>
      <c r="Q33" s="66"/>
      <c r="R33" s="66"/>
      <c r="S33" s="68"/>
    </row>
    <row r="34" spans="1:19" ht="15" customHeight="1" x14ac:dyDescent="0.25">
      <c r="B34" s="347" t="s">
        <v>159</v>
      </c>
      <c r="C34" s="341"/>
      <c r="D34" s="341"/>
      <c r="E34" s="341"/>
      <c r="F34" s="341"/>
      <c r="G34" s="193"/>
      <c r="H34" s="193"/>
      <c r="I34" s="193"/>
      <c r="L34" s="5"/>
      <c r="M34" s="66"/>
      <c r="N34" s="66"/>
      <c r="O34" s="66"/>
      <c r="Q34" s="66"/>
      <c r="R34" s="66"/>
      <c r="S34" s="68"/>
    </row>
    <row r="35" spans="1:19" ht="15" customHeight="1" x14ac:dyDescent="0.25">
      <c r="B35" s="195"/>
      <c r="C35" s="195"/>
      <c r="D35" s="195"/>
      <c r="E35" s="195"/>
      <c r="F35" s="195"/>
      <c r="G35" s="195"/>
      <c r="H35" s="195"/>
      <c r="I35" s="195"/>
      <c r="L35" s="5"/>
      <c r="M35" s="66"/>
      <c r="N35" s="66"/>
      <c r="O35" s="66"/>
      <c r="Q35" s="66"/>
      <c r="R35" s="66"/>
      <c r="S35" s="68"/>
    </row>
    <row r="36" spans="1:19" x14ac:dyDescent="0.25">
      <c r="B36" s="7" t="s">
        <v>109</v>
      </c>
      <c r="C36" s="101" t="s">
        <v>112</v>
      </c>
      <c r="D36" s="101" t="s">
        <v>113</v>
      </c>
      <c r="E36" s="108"/>
      <c r="F36" s="108"/>
      <c r="G36" s="117"/>
      <c r="H36" s="117"/>
      <c r="I36" s="111"/>
      <c r="L36" s="5"/>
      <c r="M36" s="66"/>
      <c r="N36" s="66"/>
      <c r="O36" s="66"/>
      <c r="Q36" s="66"/>
      <c r="R36" s="66"/>
      <c r="S36" s="68"/>
    </row>
    <row r="37" spans="1:19" hidden="1" x14ac:dyDescent="0.25">
      <c r="B37" s="2" t="s">
        <v>111</v>
      </c>
      <c r="C37" s="92" t="s">
        <v>114</v>
      </c>
      <c r="D37" s="92" t="s">
        <v>119</v>
      </c>
      <c r="L37" s="5"/>
      <c r="M37" s="66"/>
      <c r="N37" s="66"/>
      <c r="O37" s="66"/>
      <c r="Q37" s="66"/>
      <c r="R37" s="66"/>
      <c r="S37" s="68"/>
    </row>
    <row r="38" spans="1:19" x14ac:dyDescent="0.25">
      <c r="B38" s="2" t="s">
        <v>230</v>
      </c>
      <c r="C38" s="92" t="s">
        <v>135</v>
      </c>
      <c r="D38" s="92" t="s">
        <v>147</v>
      </c>
      <c r="L38" s="5"/>
      <c r="M38" s="66"/>
      <c r="N38" s="66"/>
      <c r="O38" s="66"/>
      <c r="Q38" s="66"/>
      <c r="R38" s="66"/>
      <c r="S38" s="68"/>
    </row>
    <row r="39" spans="1:19" x14ac:dyDescent="0.25">
      <c r="B39" s="2" t="s">
        <v>275</v>
      </c>
      <c r="C39" s="92" t="s">
        <v>135</v>
      </c>
      <c r="D39" s="92" t="s">
        <v>147</v>
      </c>
      <c r="L39" s="5"/>
      <c r="M39" s="66"/>
      <c r="N39" s="66"/>
      <c r="O39" s="66"/>
      <c r="Q39" s="66"/>
      <c r="R39" s="66"/>
      <c r="S39" s="68"/>
    </row>
    <row r="40" spans="1:19" x14ac:dyDescent="0.25">
      <c r="B40" s="2" t="s">
        <v>279</v>
      </c>
      <c r="C40" s="92" t="s">
        <v>135</v>
      </c>
      <c r="D40" s="92" t="s">
        <v>147</v>
      </c>
      <c r="L40" s="5"/>
      <c r="M40" s="66"/>
      <c r="N40" s="66"/>
      <c r="O40" s="66"/>
      <c r="Q40" s="66"/>
      <c r="R40" s="66"/>
      <c r="S40" s="68"/>
    </row>
    <row r="41" spans="1:19" x14ac:dyDescent="0.25">
      <c r="B41" s="2" t="s">
        <v>281</v>
      </c>
      <c r="C41" s="92" t="s">
        <v>135</v>
      </c>
      <c r="D41" s="92" t="s">
        <v>147</v>
      </c>
      <c r="L41" s="5"/>
      <c r="M41" s="66"/>
      <c r="N41" s="66"/>
      <c r="O41" s="66"/>
      <c r="Q41" s="66"/>
      <c r="R41" s="66"/>
      <c r="S41" s="68"/>
    </row>
    <row r="42" spans="1:19" x14ac:dyDescent="0.25">
      <c r="B42" s="2" t="s">
        <v>286</v>
      </c>
      <c r="C42" s="92" t="s">
        <v>135</v>
      </c>
      <c r="D42" s="92" t="s">
        <v>147</v>
      </c>
      <c r="L42" s="5"/>
      <c r="M42" s="66"/>
      <c r="N42" s="66"/>
      <c r="O42" s="66"/>
      <c r="Q42" s="66"/>
      <c r="R42" s="66"/>
      <c r="S42" s="68"/>
    </row>
    <row r="43" spans="1:19" x14ac:dyDescent="0.25">
      <c r="C43" s="92"/>
      <c r="D43" s="92"/>
      <c r="L43" s="5"/>
      <c r="M43" s="66"/>
      <c r="N43" s="66"/>
      <c r="O43" s="66"/>
      <c r="Q43" s="66"/>
      <c r="R43" s="66"/>
      <c r="S43" s="68"/>
    </row>
    <row r="44" spans="1:19" x14ac:dyDescent="0.25">
      <c r="B44" s="258" t="s">
        <v>220</v>
      </c>
      <c r="C44" s="92"/>
      <c r="D44" s="92"/>
      <c r="L44" s="5"/>
      <c r="M44" s="66"/>
      <c r="N44" s="66"/>
      <c r="O44" s="66"/>
      <c r="Q44" s="66"/>
      <c r="R44" s="66"/>
      <c r="S44" s="68"/>
    </row>
    <row r="45" spans="1:19" x14ac:dyDescent="0.25">
      <c r="B45" s="336" t="s">
        <v>221</v>
      </c>
      <c r="C45" s="336"/>
      <c r="D45" s="336"/>
      <c r="E45" s="336"/>
      <c r="F45" s="336"/>
      <c r="G45" s="336"/>
      <c r="H45" s="336"/>
      <c r="L45" s="5"/>
      <c r="M45" s="66"/>
      <c r="N45" s="66"/>
      <c r="O45" s="66"/>
      <c r="Q45" s="66"/>
      <c r="R45" s="66"/>
      <c r="S45" s="68"/>
    </row>
    <row r="46" spans="1:19" x14ac:dyDescent="0.25">
      <c r="C46" s="92"/>
      <c r="D46" s="92"/>
      <c r="L46" s="5"/>
      <c r="M46" s="66"/>
      <c r="N46" s="66"/>
      <c r="O46" s="66"/>
      <c r="Q46" s="66"/>
      <c r="R46" s="66"/>
      <c r="S46" s="68"/>
    </row>
    <row r="47" spans="1:19" ht="15" customHeight="1" x14ac:dyDescent="0.25">
      <c r="A47" s="173"/>
      <c r="B47" s="109"/>
      <c r="C47" s="109"/>
      <c r="D47" s="109"/>
      <c r="E47" s="109"/>
      <c r="F47" s="109"/>
      <c r="G47" s="109"/>
      <c r="H47" s="109"/>
      <c r="I47" s="109"/>
      <c r="J47" s="109"/>
      <c r="K47" s="109"/>
      <c r="L47" s="109"/>
      <c r="M47" s="109"/>
      <c r="N47" s="109"/>
      <c r="O47" s="109"/>
      <c r="P47" s="109"/>
      <c r="Q47" s="170" t="s">
        <v>90</v>
      </c>
      <c r="R47" s="171"/>
      <c r="S47" s="172"/>
    </row>
    <row r="48" spans="1:19" ht="15" customHeight="1" x14ac:dyDescent="0.25">
      <c r="A48" s="174"/>
      <c r="B48" s="17" t="s">
        <v>39</v>
      </c>
      <c r="C48" s="157" t="s">
        <v>2</v>
      </c>
      <c r="D48" s="157"/>
      <c r="E48" s="157" t="s">
        <v>34</v>
      </c>
      <c r="F48" s="157" t="s">
        <v>35</v>
      </c>
      <c r="G48" s="157"/>
      <c r="H48" s="157"/>
      <c r="I48" s="157"/>
      <c r="J48" s="157"/>
      <c r="K48" s="157"/>
      <c r="L48" s="157" t="s">
        <v>36</v>
      </c>
      <c r="M48" s="157" t="s">
        <v>37</v>
      </c>
      <c r="N48" s="10"/>
      <c r="O48" s="10"/>
      <c r="P48" s="10"/>
      <c r="Q48" s="54" t="s">
        <v>88</v>
      </c>
      <c r="R48" s="54"/>
      <c r="S48" s="55"/>
    </row>
    <row r="49" spans="2:20" ht="15" customHeight="1" x14ac:dyDescent="0.25">
      <c r="B49" s="63"/>
      <c r="C49" s="9"/>
      <c r="D49" s="9"/>
      <c r="E49" s="9"/>
      <c r="F49" s="9"/>
      <c r="G49" s="9"/>
      <c r="H49" s="9"/>
      <c r="I49" s="9"/>
      <c r="J49" s="9"/>
      <c r="K49" s="9"/>
      <c r="L49" s="9"/>
      <c r="M49" s="9"/>
    </row>
    <row r="50" spans="2:20" x14ac:dyDescent="0.25">
      <c r="B50" s="63"/>
      <c r="C50" s="9"/>
      <c r="D50" s="9"/>
      <c r="E50" s="9"/>
      <c r="F50" s="9"/>
      <c r="G50" s="9"/>
      <c r="H50" s="9"/>
      <c r="I50" s="9"/>
      <c r="J50" s="9"/>
      <c r="K50" s="9"/>
      <c r="L50" s="9"/>
      <c r="M50" s="9"/>
      <c r="Q50" s="58"/>
      <c r="R50" s="51"/>
      <c r="S50" s="51"/>
    </row>
    <row r="51" spans="2:20" x14ac:dyDescent="0.25">
      <c r="B51" s="12"/>
      <c r="C51" s="13"/>
      <c r="D51" s="13"/>
      <c r="E51" s="14"/>
      <c r="F51" s="15"/>
      <c r="G51" s="15"/>
      <c r="H51" s="15"/>
      <c r="I51" s="15"/>
      <c r="J51" s="15"/>
      <c r="K51" s="15"/>
      <c r="L51" s="16"/>
      <c r="M51" s="31"/>
      <c r="N51" s="18"/>
      <c r="O51" s="18"/>
      <c r="P51" s="18"/>
      <c r="Q51" s="51"/>
      <c r="R51" s="51"/>
      <c r="S51" s="51"/>
      <c r="T51" s="51"/>
    </row>
    <row r="52" spans="2:20" x14ac:dyDescent="0.25">
      <c r="B52" s="12"/>
      <c r="C52" s="13"/>
      <c r="D52" s="13"/>
      <c r="E52" s="14"/>
      <c r="F52" s="15"/>
      <c r="G52" s="15"/>
      <c r="H52" s="15"/>
      <c r="I52" s="15"/>
      <c r="J52" s="15"/>
      <c r="K52" s="15"/>
      <c r="L52" s="16"/>
      <c r="M52" s="31"/>
      <c r="N52" s="18"/>
      <c r="O52" s="18"/>
      <c r="P52" s="18"/>
      <c r="Q52" s="51"/>
      <c r="R52" s="51"/>
      <c r="S52" s="51"/>
      <c r="T52" s="51"/>
    </row>
    <row r="53" spans="2:20" x14ac:dyDescent="0.25">
      <c r="B53" s="12"/>
      <c r="C53" s="13"/>
      <c r="D53" s="13"/>
      <c r="E53" s="14"/>
      <c r="F53" s="15"/>
      <c r="G53" s="15"/>
      <c r="H53" s="15"/>
      <c r="I53" s="15"/>
      <c r="J53" s="15"/>
      <c r="K53" s="15"/>
      <c r="L53" s="16"/>
      <c r="M53" s="31"/>
      <c r="N53" s="18"/>
      <c r="O53" s="18"/>
      <c r="P53" s="18"/>
      <c r="Q53" s="51"/>
      <c r="R53" s="51"/>
      <c r="S53" s="51"/>
      <c r="T53" s="51"/>
    </row>
    <row r="54" spans="2:20" x14ac:dyDescent="0.25">
      <c r="B54" s="12"/>
      <c r="C54" s="13"/>
      <c r="D54" s="13"/>
      <c r="E54" s="14"/>
      <c r="F54" s="15"/>
      <c r="G54" s="15"/>
      <c r="H54" s="15"/>
      <c r="I54" s="15"/>
      <c r="J54" s="15"/>
      <c r="K54" s="15"/>
      <c r="L54" s="16"/>
      <c r="M54" s="31"/>
      <c r="N54" s="18"/>
      <c r="O54" s="18"/>
      <c r="P54" s="18"/>
      <c r="Q54" s="51"/>
      <c r="R54" s="51"/>
      <c r="S54" s="51"/>
      <c r="T54" s="51"/>
    </row>
    <row r="55" spans="2:20" x14ac:dyDescent="0.25">
      <c r="Q55" s="309" t="s">
        <v>316</v>
      </c>
      <c r="R55" s="309"/>
      <c r="S55" s="310">
        <f>S25</f>
        <v>243167.54</v>
      </c>
    </row>
  </sheetData>
  <mergeCells count="7">
    <mergeCell ref="B45:H45"/>
    <mergeCell ref="B34:F34"/>
    <mergeCell ref="Q2:S2"/>
    <mergeCell ref="Q1:S1"/>
    <mergeCell ref="B29:F29"/>
    <mergeCell ref="B31:F31"/>
    <mergeCell ref="B33:F33"/>
  </mergeCells>
  <hyperlinks>
    <hyperlink ref="B34" r:id="rId1"/>
  </hyperlinks>
  <printOptions horizontalCentered="1" gridLines="1"/>
  <pageMargins left="0" right="0" top="0.75" bottom="0.75" header="0.3" footer="0.3"/>
  <pageSetup scale="53" orientation="landscape" horizontalDpi="1200" verticalDpi="1200"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6"/>
  <sheetViews>
    <sheetView topLeftCell="C1" zoomScale="90" zoomScaleNormal="90" workbookViewId="0">
      <pane ySplit="1" topLeftCell="A12" activePane="bottomLeft" state="frozen"/>
      <selection activeCell="C7" sqref="C7"/>
      <selection pane="bottomLeft" activeCell="Q13" sqref="Q13"/>
    </sheetView>
  </sheetViews>
  <sheetFormatPr defaultColWidth="9.140625" defaultRowHeight="15" x14ac:dyDescent="0.25"/>
  <cols>
    <col min="1" max="1" width="27.5703125" style="2" hidden="1" customWidth="1"/>
    <col min="2" max="2" width="57.85546875" style="2" customWidth="1"/>
    <col min="3" max="3" width="26.42578125" style="2" customWidth="1"/>
    <col min="4" max="4" width="13.7109375" style="2" customWidth="1"/>
    <col min="5" max="5" width="18" style="2" customWidth="1"/>
    <col min="6" max="6" width="21.5703125" style="2" customWidth="1"/>
    <col min="7" max="7" width="10.28515625" style="2" customWidth="1"/>
    <col min="8" max="8" width="12.85546875" style="2" customWidth="1"/>
    <col min="9" max="9" width="13.42578125" style="2" customWidth="1"/>
    <col min="10" max="10" width="15.7109375" style="2" customWidth="1"/>
    <col min="11" max="11" width="8.85546875" style="2" customWidth="1"/>
    <col min="12" max="12" width="19.57031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6.7109375" style="2" customWidth="1"/>
    <col min="20" max="16384" width="9.140625" style="2"/>
  </cols>
  <sheetData>
    <row r="1" spans="1:20" ht="18" customHeight="1" x14ac:dyDescent="0.25">
      <c r="B1" s="1" t="s">
        <v>99</v>
      </c>
      <c r="Q1" s="338" t="s">
        <v>296</v>
      </c>
      <c r="R1" s="338"/>
      <c r="S1" s="338"/>
    </row>
    <row r="2" spans="1:20" ht="18" customHeight="1" x14ac:dyDescent="0.25">
      <c r="B2" s="88" t="s">
        <v>148</v>
      </c>
      <c r="C2" s="182">
        <v>44742</v>
      </c>
      <c r="M2" s="71"/>
      <c r="N2" s="71"/>
      <c r="P2" s="29"/>
      <c r="Q2" s="337" t="s">
        <v>375</v>
      </c>
      <c r="R2" s="337"/>
      <c r="S2" s="337"/>
    </row>
    <row r="3" spans="1:20" ht="18" customHeight="1" thickBot="1" x14ac:dyDescent="0.3">
      <c r="A3" s="2" t="s">
        <v>16</v>
      </c>
      <c r="B3" s="44" t="s">
        <v>57</v>
      </c>
      <c r="C3" s="8"/>
      <c r="D3" s="8"/>
      <c r="E3" s="8"/>
      <c r="P3" s="29"/>
      <c r="Q3" s="45"/>
      <c r="R3" s="30"/>
    </row>
    <row r="4" spans="1:20" ht="18.75" customHeight="1" x14ac:dyDescent="0.25">
      <c r="B4" s="8" t="s">
        <v>174</v>
      </c>
      <c r="M4" s="85" t="s">
        <v>28</v>
      </c>
      <c r="N4" s="85" t="s">
        <v>28</v>
      </c>
      <c r="O4" s="85" t="s">
        <v>28</v>
      </c>
      <c r="P4" s="9"/>
      <c r="Q4" s="89" t="s">
        <v>29</v>
      </c>
      <c r="R4" s="89" t="s">
        <v>31</v>
      </c>
      <c r="S4" s="89" t="s">
        <v>23</v>
      </c>
      <c r="T4" s="7"/>
    </row>
    <row r="5" spans="1:20" ht="15.75" thickBot="1" x14ac:dyDescent="0.3">
      <c r="G5" s="183" t="s">
        <v>295</v>
      </c>
      <c r="H5" s="183" t="s">
        <v>295</v>
      </c>
      <c r="M5" s="86" t="s">
        <v>27</v>
      </c>
      <c r="N5" s="86" t="s">
        <v>26</v>
      </c>
      <c r="O5" s="86" t="s">
        <v>25</v>
      </c>
      <c r="P5" s="9"/>
      <c r="Q5" s="90" t="s">
        <v>30</v>
      </c>
      <c r="R5" s="90" t="s">
        <v>30</v>
      </c>
      <c r="S5" s="90" t="s">
        <v>30</v>
      </c>
      <c r="T5" s="7"/>
    </row>
    <row r="6" spans="1:20" ht="85.5" customHeight="1" thickBot="1" x14ac:dyDescent="0.3">
      <c r="B6" s="84" t="s">
        <v>1</v>
      </c>
      <c r="C6" s="84" t="s">
        <v>389</v>
      </c>
      <c r="D6" s="84" t="s">
        <v>107</v>
      </c>
      <c r="E6" s="84" t="s">
        <v>3</v>
      </c>
      <c r="F6" s="84" t="s">
        <v>4</v>
      </c>
      <c r="G6" s="107" t="s">
        <v>136</v>
      </c>
      <c r="H6" s="107" t="s">
        <v>137</v>
      </c>
      <c r="I6" s="107" t="s">
        <v>133</v>
      </c>
      <c r="J6" s="107" t="s">
        <v>134</v>
      </c>
      <c r="K6" s="107" t="s">
        <v>121</v>
      </c>
      <c r="L6" s="83" t="s">
        <v>5</v>
      </c>
      <c r="M6" s="87" t="s">
        <v>6</v>
      </c>
      <c r="N6" s="87" t="s">
        <v>6</v>
      </c>
      <c r="O6" s="87" t="s">
        <v>6</v>
      </c>
      <c r="P6" s="9"/>
      <c r="Q6" s="91"/>
      <c r="R6" s="97" t="s">
        <v>32</v>
      </c>
      <c r="S6" s="98" t="s">
        <v>33</v>
      </c>
    </row>
    <row r="7" spans="1:20" ht="30.75" customHeight="1" x14ac:dyDescent="0.25">
      <c r="B7" s="2" t="s">
        <v>8</v>
      </c>
      <c r="C7" s="92" t="s">
        <v>106</v>
      </c>
      <c r="D7" s="92" t="s">
        <v>306</v>
      </c>
      <c r="E7" s="2" t="s">
        <v>307</v>
      </c>
      <c r="F7" s="2" t="s">
        <v>7</v>
      </c>
      <c r="G7" s="186">
        <v>2.63E-2</v>
      </c>
      <c r="H7" s="186">
        <v>0.1845</v>
      </c>
      <c r="I7" s="187">
        <v>44742</v>
      </c>
      <c r="J7" s="187">
        <v>44743</v>
      </c>
      <c r="K7" s="187">
        <v>44378</v>
      </c>
      <c r="L7" s="188" t="s">
        <v>297</v>
      </c>
      <c r="M7" s="65">
        <v>144347</v>
      </c>
      <c r="N7" s="66"/>
      <c r="O7" s="66">
        <f t="shared" ref="O7:O14" si="0">SUM(M7:N7)</f>
        <v>144347</v>
      </c>
      <c r="P7" s="66"/>
      <c r="Q7" s="66">
        <f>12126.22+9126.21+28283.34+9126.22+9126.21+7718.88+9808.55+19179.25+9633.71+4904.28</f>
        <v>119032.87000000002</v>
      </c>
      <c r="R7" s="66"/>
      <c r="S7" s="68">
        <f t="shared" ref="S7:S14" si="1">Q7+R7</f>
        <v>119032.87000000002</v>
      </c>
    </row>
    <row r="8" spans="1:20" ht="33.75" customHeight="1" x14ac:dyDescent="0.25">
      <c r="B8" s="2" t="s">
        <v>128</v>
      </c>
      <c r="C8" s="225" t="s">
        <v>122</v>
      </c>
      <c r="D8" s="93" t="s">
        <v>310</v>
      </c>
      <c r="E8" s="2" t="s">
        <v>309</v>
      </c>
      <c r="F8" s="2" t="s">
        <v>7</v>
      </c>
      <c r="G8" s="186">
        <v>2.63E-2</v>
      </c>
      <c r="H8" s="186">
        <v>0.1845</v>
      </c>
      <c r="I8" s="187">
        <f>+I7</f>
        <v>44742</v>
      </c>
      <c r="J8" s="187">
        <f>+J7</f>
        <v>44743</v>
      </c>
      <c r="K8" s="187">
        <f>+K7</f>
        <v>44378</v>
      </c>
      <c r="L8" s="204" t="str">
        <f t="shared" ref="L8" si="2">+L7</f>
        <v>07/01/21 - 06/30/22</v>
      </c>
      <c r="M8" s="65">
        <v>8096.78</v>
      </c>
      <c r="N8" s="66"/>
      <c r="O8" s="66">
        <f t="shared" si="0"/>
        <v>8096.78</v>
      </c>
      <c r="P8" s="66"/>
      <c r="Q8" s="66">
        <v>8096.78</v>
      </c>
      <c r="R8" s="66"/>
      <c r="S8" s="68">
        <f t="shared" si="1"/>
        <v>8096.78</v>
      </c>
    </row>
    <row r="9" spans="1:20" ht="30" customHeight="1" x14ac:dyDescent="0.25">
      <c r="B9" s="2" t="s">
        <v>223</v>
      </c>
      <c r="C9" s="236" t="s">
        <v>333</v>
      </c>
      <c r="D9" s="93" t="s">
        <v>224</v>
      </c>
      <c r="E9" s="2" t="s">
        <v>225</v>
      </c>
      <c r="F9" s="2" t="s">
        <v>7</v>
      </c>
      <c r="G9" s="186">
        <v>2.63E-2</v>
      </c>
      <c r="H9" s="186">
        <v>0.1845</v>
      </c>
      <c r="I9" s="187">
        <v>44834</v>
      </c>
      <c r="J9" s="187">
        <v>44849</v>
      </c>
      <c r="K9" s="187">
        <v>43614</v>
      </c>
      <c r="L9" s="188" t="s">
        <v>274</v>
      </c>
      <c r="M9" s="65">
        <v>45502.84</v>
      </c>
      <c r="N9" s="66"/>
      <c r="O9" s="66">
        <v>45502.84</v>
      </c>
      <c r="P9" s="66"/>
      <c r="Q9" s="66">
        <v>600</v>
      </c>
      <c r="R9" s="66"/>
      <c r="S9" s="68">
        <f t="shared" si="1"/>
        <v>600</v>
      </c>
    </row>
    <row r="10" spans="1:20" ht="30" customHeight="1" x14ac:dyDescent="0.25">
      <c r="B10" s="269" t="s">
        <v>317</v>
      </c>
      <c r="C10" s="110" t="s">
        <v>233</v>
      </c>
      <c r="D10" s="92" t="s">
        <v>227</v>
      </c>
      <c r="E10" s="2" t="s">
        <v>228</v>
      </c>
      <c r="F10" s="2" t="s">
        <v>7</v>
      </c>
      <c r="G10" s="186">
        <v>2.63E-2</v>
      </c>
      <c r="H10" s="186">
        <v>0.1845</v>
      </c>
      <c r="I10" s="187">
        <v>44439</v>
      </c>
      <c r="J10" s="187">
        <v>44440</v>
      </c>
      <c r="K10" s="187">
        <v>44013</v>
      </c>
      <c r="L10" s="188" t="s">
        <v>226</v>
      </c>
      <c r="M10" s="65">
        <v>107848.75</v>
      </c>
      <c r="N10" s="66"/>
      <c r="O10" s="66">
        <f t="shared" si="0"/>
        <v>107848.75</v>
      </c>
      <c r="P10" s="66"/>
      <c r="Q10" s="66">
        <f>35594.7+2245.79+4219.44+11048.54</f>
        <v>53108.47</v>
      </c>
      <c r="R10" s="66"/>
      <c r="S10" s="68">
        <f t="shared" si="1"/>
        <v>53108.47</v>
      </c>
    </row>
    <row r="11" spans="1:20" ht="30" customHeight="1" x14ac:dyDescent="0.25">
      <c r="B11" s="315" t="s">
        <v>317</v>
      </c>
      <c r="C11" s="110" t="s">
        <v>233</v>
      </c>
      <c r="D11" s="92" t="s">
        <v>306</v>
      </c>
      <c r="E11" s="2" t="s">
        <v>318</v>
      </c>
      <c r="F11" s="2" t="s">
        <v>7</v>
      </c>
      <c r="G11" s="186">
        <v>2.63E-2</v>
      </c>
      <c r="H11" s="186">
        <v>0.1845</v>
      </c>
      <c r="I11" s="187">
        <v>44804</v>
      </c>
      <c r="J11" s="187">
        <v>44805</v>
      </c>
      <c r="K11" s="187">
        <v>44378</v>
      </c>
      <c r="L11" s="188" t="s">
        <v>319</v>
      </c>
      <c r="M11" s="65">
        <v>109202.5</v>
      </c>
      <c r="N11" s="66"/>
      <c r="O11" s="66">
        <f t="shared" si="0"/>
        <v>109202.5</v>
      </c>
      <c r="P11" s="66"/>
      <c r="Q11" s="66">
        <f>3260.9+12458.36+8152.28+8152.28+8152.54+8152.54+8152.54+12230.8+8152.54</f>
        <v>76864.78</v>
      </c>
      <c r="R11" s="66"/>
      <c r="S11" s="68">
        <f t="shared" si="1"/>
        <v>76864.78</v>
      </c>
    </row>
    <row r="12" spans="1:20" ht="30" customHeight="1" x14ac:dyDescent="0.25">
      <c r="B12" s="333" t="s">
        <v>379</v>
      </c>
      <c r="C12" s="110" t="s">
        <v>380</v>
      </c>
      <c r="D12" s="92" t="s">
        <v>306</v>
      </c>
      <c r="E12" s="2" t="s">
        <v>381</v>
      </c>
      <c r="F12" s="2" t="s">
        <v>7</v>
      </c>
      <c r="G12" s="186">
        <v>2.63E-2</v>
      </c>
      <c r="H12" s="186">
        <v>0.1845</v>
      </c>
      <c r="I12" s="187">
        <v>44773</v>
      </c>
      <c r="J12" s="187">
        <v>44774</v>
      </c>
      <c r="K12" s="187">
        <v>44378</v>
      </c>
      <c r="L12" s="188" t="s">
        <v>382</v>
      </c>
      <c r="M12" s="65">
        <v>63150</v>
      </c>
      <c r="N12" s="66"/>
      <c r="O12" s="66">
        <f t="shared" si="0"/>
        <v>63150</v>
      </c>
      <c r="P12" s="66"/>
      <c r="Q12" s="66"/>
      <c r="R12" s="66"/>
      <c r="S12" s="68">
        <f t="shared" si="1"/>
        <v>0</v>
      </c>
    </row>
    <row r="13" spans="1:20" ht="30" customHeight="1" x14ac:dyDescent="0.25">
      <c r="B13" s="324" t="s">
        <v>344</v>
      </c>
      <c r="C13" s="110" t="s">
        <v>345</v>
      </c>
      <c r="D13" s="92" t="s">
        <v>306</v>
      </c>
      <c r="E13" s="2" t="s">
        <v>346</v>
      </c>
      <c r="F13" s="2" t="s">
        <v>7</v>
      </c>
      <c r="G13" s="186">
        <v>2.63E-2</v>
      </c>
      <c r="H13" s="186">
        <v>0.1845</v>
      </c>
      <c r="I13" s="187">
        <v>44804</v>
      </c>
      <c r="J13" s="187">
        <v>44805</v>
      </c>
      <c r="K13" s="187">
        <v>44378</v>
      </c>
      <c r="L13" s="188" t="s">
        <v>319</v>
      </c>
      <c r="M13" s="65">
        <v>270000</v>
      </c>
      <c r="N13" s="66"/>
      <c r="O13" s="66">
        <f t="shared" si="0"/>
        <v>270000</v>
      </c>
      <c r="P13" s="66"/>
      <c r="Q13" s="66">
        <f>7500+7500+10000</f>
        <v>25000</v>
      </c>
      <c r="R13" s="66"/>
      <c r="S13" s="68">
        <f t="shared" si="1"/>
        <v>25000</v>
      </c>
    </row>
    <row r="14" spans="1:20" ht="30" customHeight="1" x14ac:dyDescent="0.25">
      <c r="B14" s="323" t="s">
        <v>340</v>
      </c>
      <c r="C14" s="110" t="s">
        <v>345</v>
      </c>
      <c r="D14" s="92" t="s">
        <v>306</v>
      </c>
      <c r="E14" s="2" t="s">
        <v>341</v>
      </c>
      <c r="F14" s="2" t="s">
        <v>7</v>
      </c>
      <c r="G14" s="186">
        <v>2.63E-2</v>
      </c>
      <c r="H14" s="186">
        <v>0.1845</v>
      </c>
      <c r="I14" s="187">
        <v>44742</v>
      </c>
      <c r="J14" s="187">
        <v>44742</v>
      </c>
      <c r="K14" s="187">
        <v>44378</v>
      </c>
      <c r="L14" s="188" t="s">
        <v>342</v>
      </c>
      <c r="M14" s="65">
        <v>45000</v>
      </c>
      <c r="N14" s="66"/>
      <c r="O14" s="66">
        <f t="shared" si="0"/>
        <v>45000</v>
      </c>
      <c r="P14" s="66"/>
      <c r="Q14" s="66">
        <f>22500+22500</f>
        <v>45000</v>
      </c>
      <c r="R14" s="66"/>
      <c r="S14" s="68">
        <f t="shared" si="1"/>
        <v>45000</v>
      </c>
    </row>
    <row r="15" spans="1:20" ht="30" customHeight="1" x14ac:dyDescent="0.25">
      <c r="B15" s="2" t="s">
        <v>275</v>
      </c>
      <c r="C15" s="236" t="s">
        <v>333</v>
      </c>
      <c r="D15" s="93" t="s">
        <v>224</v>
      </c>
      <c r="E15" s="2" t="s">
        <v>276</v>
      </c>
      <c r="F15" s="2" t="s">
        <v>7</v>
      </c>
      <c r="G15" s="186">
        <v>2.63E-2</v>
      </c>
      <c r="H15" s="186">
        <v>0.1845</v>
      </c>
      <c r="I15" s="187">
        <v>44773</v>
      </c>
      <c r="J15" s="187">
        <v>44788</v>
      </c>
      <c r="K15" s="187">
        <v>43980</v>
      </c>
      <c r="L15" s="188" t="s">
        <v>277</v>
      </c>
      <c r="M15" s="79">
        <v>1700.77</v>
      </c>
      <c r="N15" s="70"/>
      <c r="O15" s="67">
        <f>M15+N15</f>
        <v>1700.77</v>
      </c>
      <c r="P15" s="67"/>
      <c r="Q15" s="67"/>
      <c r="R15" s="67"/>
      <c r="S15" s="68">
        <f>Q15+R15</f>
        <v>0</v>
      </c>
    </row>
    <row r="16" spans="1:20" ht="30" customHeight="1" x14ac:dyDescent="0.25">
      <c r="B16" s="2" t="s">
        <v>279</v>
      </c>
      <c r="C16" s="236" t="s">
        <v>333</v>
      </c>
      <c r="D16" s="93" t="s">
        <v>224</v>
      </c>
      <c r="E16" s="2" t="s">
        <v>280</v>
      </c>
      <c r="F16" s="2" t="s">
        <v>7</v>
      </c>
      <c r="G16" s="186">
        <v>2.63E-2</v>
      </c>
      <c r="H16" s="186">
        <v>0.1845</v>
      </c>
      <c r="I16" s="187">
        <v>44592</v>
      </c>
      <c r="J16" s="187">
        <v>44592</v>
      </c>
      <c r="K16" s="187">
        <v>43980</v>
      </c>
      <c r="L16" s="188" t="s">
        <v>332</v>
      </c>
      <c r="M16" s="79">
        <v>3000</v>
      </c>
      <c r="N16" s="67"/>
      <c r="O16" s="67">
        <f t="shared" ref="O16:O26" si="3">M16+N16</f>
        <v>3000</v>
      </c>
      <c r="P16" s="66"/>
      <c r="Q16" s="67"/>
      <c r="R16" s="67"/>
      <c r="S16" s="68">
        <f t="shared" ref="S16:S26" si="4">Q16+R16</f>
        <v>0</v>
      </c>
    </row>
    <row r="17" spans="2:19" ht="30" customHeight="1" x14ac:dyDescent="0.25">
      <c r="B17" s="2" t="s">
        <v>281</v>
      </c>
      <c r="C17" s="236" t="s">
        <v>334</v>
      </c>
      <c r="D17" s="93" t="s">
        <v>231</v>
      </c>
      <c r="E17" s="2" t="s">
        <v>282</v>
      </c>
      <c r="F17" s="2" t="s">
        <v>7</v>
      </c>
      <c r="G17" s="186">
        <v>2.63E-2</v>
      </c>
      <c r="H17" s="186">
        <v>0.1845</v>
      </c>
      <c r="I17" s="187">
        <v>44742</v>
      </c>
      <c r="J17" s="187">
        <v>44757</v>
      </c>
      <c r="K17" s="187">
        <v>43979</v>
      </c>
      <c r="L17" s="188" t="s">
        <v>283</v>
      </c>
      <c r="M17" s="79">
        <v>1027</v>
      </c>
      <c r="N17" s="67"/>
      <c r="O17" s="67">
        <f t="shared" si="3"/>
        <v>1027</v>
      </c>
      <c r="P17" s="66"/>
      <c r="Q17" s="67"/>
      <c r="R17" s="67"/>
      <c r="S17" s="68">
        <f t="shared" si="4"/>
        <v>0</v>
      </c>
    </row>
    <row r="18" spans="2:19" ht="30" customHeight="1" x14ac:dyDescent="0.25">
      <c r="B18" s="2" t="s">
        <v>146</v>
      </c>
      <c r="C18" s="92" t="s">
        <v>285</v>
      </c>
      <c r="D18" s="92" t="s">
        <v>264</v>
      </c>
      <c r="E18" s="2" t="s">
        <v>284</v>
      </c>
      <c r="F18" s="2" t="s">
        <v>7</v>
      </c>
      <c r="G18" s="186">
        <v>2.63E-2</v>
      </c>
      <c r="H18" s="186">
        <v>0.1845</v>
      </c>
      <c r="I18" s="187">
        <v>44408</v>
      </c>
      <c r="J18" s="187">
        <v>44423</v>
      </c>
      <c r="K18" s="187">
        <v>44013</v>
      </c>
      <c r="L18" s="188" t="s">
        <v>278</v>
      </c>
      <c r="M18" s="6">
        <v>302650</v>
      </c>
      <c r="N18" s="67"/>
      <c r="O18" s="67">
        <f t="shared" si="3"/>
        <v>302650</v>
      </c>
      <c r="P18" s="67"/>
      <c r="Q18" s="70">
        <f>97767.48+39524.85+33458.52</f>
        <v>170750.84999999998</v>
      </c>
      <c r="R18" s="67"/>
      <c r="S18" s="81">
        <f t="shared" si="4"/>
        <v>170750.84999999998</v>
      </c>
    </row>
    <row r="19" spans="2:19" ht="30" customHeight="1" x14ac:dyDescent="0.25">
      <c r="B19" s="2" t="s">
        <v>146</v>
      </c>
      <c r="C19" s="92" t="s">
        <v>285</v>
      </c>
      <c r="D19" s="92" t="s">
        <v>338</v>
      </c>
      <c r="E19" s="2" t="s">
        <v>339</v>
      </c>
      <c r="F19" s="2" t="s">
        <v>7</v>
      </c>
      <c r="G19" s="186">
        <v>2.63E-2</v>
      </c>
      <c r="H19" s="186">
        <v>0.1845</v>
      </c>
      <c r="I19" s="187">
        <v>44773</v>
      </c>
      <c r="J19" s="187">
        <v>44788</v>
      </c>
      <c r="K19" s="187">
        <v>44378</v>
      </c>
      <c r="L19" s="188" t="s">
        <v>337</v>
      </c>
      <c r="M19" s="6">
        <v>302650</v>
      </c>
      <c r="N19" s="67"/>
      <c r="O19" s="67">
        <f t="shared" si="3"/>
        <v>302650</v>
      </c>
      <c r="P19" s="67"/>
      <c r="Q19" s="70">
        <f>16413.97+26352.78+17568.52+18585.25+18129.37+17568.52+33665.19+26826.4+10776.31+26217.09</f>
        <v>212103.4</v>
      </c>
      <c r="R19" s="67"/>
      <c r="S19" s="81">
        <f t="shared" si="4"/>
        <v>212103.4</v>
      </c>
    </row>
    <row r="20" spans="2:19" ht="30" customHeight="1" x14ac:dyDescent="0.25">
      <c r="B20" s="2" t="s">
        <v>321</v>
      </c>
      <c r="C20" s="236" t="s">
        <v>333</v>
      </c>
      <c r="D20" s="93" t="s">
        <v>288</v>
      </c>
      <c r="E20" s="2" t="s">
        <v>322</v>
      </c>
      <c r="F20" s="2" t="s">
        <v>7</v>
      </c>
      <c r="G20" s="186">
        <f>G18:H18</f>
        <v>2.63E-2</v>
      </c>
      <c r="H20" s="186">
        <f>H18</f>
        <v>0.1845</v>
      </c>
      <c r="I20" s="187">
        <v>45199</v>
      </c>
      <c r="J20" s="187">
        <v>45214</v>
      </c>
      <c r="K20" s="187">
        <v>44201</v>
      </c>
      <c r="L20" s="188" t="s">
        <v>323</v>
      </c>
      <c r="M20" s="79">
        <v>42691.61</v>
      </c>
      <c r="N20" s="67"/>
      <c r="O20" s="67">
        <f t="shared" si="3"/>
        <v>42691.61</v>
      </c>
      <c r="P20" s="66"/>
      <c r="Q20" s="67"/>
      <c r="R20" s="67"/>
      <c r="S20" s="68">
        <f t="shared" si="4"/>
        <v>0</v>
      </c>
    </row>
    <row r="21" spans="2:19" ht="30" customHeight="1" x14ac:dyDescent="0.25">
      <c r="B21" s="2" t="s">
        <v>324</v>
      </c>
      <c r="C21" s="236" t="s">
        <v>333</v>
      </c>
      <c r="D21" s="93" t="s">
        <v>288</v>
      </c>
      <c r="E21" s="2" t="s">
        <v>329</v>
      </c>
      <c r="F21" s="2" t="s">
        <v>7</v>
      </c>
      <c r="G21" s="186">
        <f>G20:H20</f>
        <v>2.63E-2</v>
      </c>
      <c r="H21" s="186">
        <f>H20</f>
        <v>0.1845</v>
      </c>
      <c r="I21" s="187">
        <v>45199</v>
      </c>
      <c r="J21" s="187">
        <v>45214</v>
      </c>
      <c r="K21" s="187">
        <v>44201</v>
      </c>
      <c r="L21" s="188" t="s">
        <v>325</v>
      </c>
      <c r="M21" s="79">
        <v>17466</v>
      </c>
      <c r="N21" s="67"/>
      <c r="O21" s="67">
        <f t="shared" si="3"/>
        <v>17466</v>
      </c>
      <c r="P21" s="66"/>
      <c r="Q21" s="67"/>
      <c r="R21" s="67"/>
      <c r="S21" s="68">
        <f t="shared" si="4"/>
        <v>0</v>
      </c>
    </row>
    <row r="22" spans="2:19" ht="30" customHeight="1" x14ac:dyDescent="0.25">
      <c r="B22" s="2" t="s">
        <v>326</v>
      </c>
      <c r="C22" s="236" t="s">
        <v>333</v>
      </c>
      <c r="D22" s="93" t="s">
        <v>288</v>
      </c>
      <c r="E22" s="2" t="s">
        <v>330</v>
      </c>
      <c r="F22" s="2" t="s">
        <v>7</v>
      </c>
      <c r="G22" s="186">
        <f>G21:H21</f>
        <v>2.63E-2</v>
      </c>
      <c r="H22" s="186">
        <f>H21</f>
        <v>0.1845</v>
      </c>
      <c r="I22" s="187">
        <v>45199</v>
      </c>
      <c r="J22" s="187">
        <v>45214</v>
      </c>
      <c r="K22" s="187">
        <v>44201</v>
      </c>
      <c r="L22" s="188" t="s">
        <v>323</v>
      </c>
      <c r="M22" s="79">
        <v>11206.55</v>
      </c>
      <c r="N22" s="67"/>
      <c r="O22" s="67">
        <f t="shared" si="3"/>
        <v>11206.55</v>
      </c>
      <c r="P22" s="66"/>
      <c r="Q22" s="67"/>
      <c r="R22" s="67"/>
      <c r="S22" s="68">
        <f t="shared" si="4"/>
        <v>0</v>
      </c>
    </row>
    <row r="23" spans="2:19" ht="30" customHeight="1" x14ac:dyDescent="0.25">
      <c r="B23" s="2" t="s">
        <v>370</v>
      </c>
      <c r="C23" s="236" t="s">
        <v>333</v>
      </c>
      <c r="D23" s="93" t="s">
        <v>288</v>
      </c>
      <c r="E23" s="2" t="s">
        <v>331</v>
      </c>
      <c r="F23" s="2" t="s">
        <v>7</v>
      </c>
      <c r="G23" s="186">
        <f t="shared" ref="G23" si="5">G22:H22</f>
        <v>2.63E-2</v>
      </c>
      <c r="H23" s="186">
        <f t="shared" ref="H23" si="6">H22</f>
        <v>0.1845</v>
      </c>
      <c r="I23" s="187">
        <v>45199</v>
      </c>
      <c r="J23" s="187">
        <v>45214</v>
      </c>
      <c r="K23" s="187">
        <v>44201</v>
      </c>
      <c r="L23" s="188" t="s">
        <v>325</v>
      </c>
      <c r="M23" s="79">
        <v>53044.33</v>
      </c>
      <c r="N23" s="67"/>
      <c r="O23" s="67">
        <f t="shared" si="3"/>
        <v>53044.33</v>
      </c>
      <c r="P23" s="66"/>
      <c r="Q23" s="67"/>
      <c r="R23" s="67"/>
      <c r="S23" s="68">
        <f t="shared" si="4"/>
        <v>0</v>
      </c>
    </row>
    <row r="24" spans="2:19" ht="30" customHeight="1" x14ac:dyDescent="0.25">
      <c r="B24" s="2" t="s">
        <v>287</v>
      </c>
      <c r="C24" s="236" t="s">
        <v>333</v>
      </c>
      <c r="D24" s="93" t="s">
        <v>288</v>
      </c>
      <c r="E24" s="2" t="s">
        <v>289</v>
      </c>
      <c r="F24" s="2" t="s">
        <v>7</v>
      </c>
      <c r="G24" s="186">
        <v>2.63E-2</v>
      </c>
      <c r="H24" s="186">
        <v>0.1845</v>
      </c>
      <c r="I24" s="187">
        <v>45199</v>
      </c>
      <c r="J24" s="187">
        <v>45199</v>
      </c>
      <c r="K24" s="187">
        <v>44201</v>
      </c>
      <c r="L24" s="188" t="s">
        <v>320</v>
      </c>
      <c r="M24" s="79">
        <v>98190.71</v>
      </c>
      <c r="N24" s="67"/>
      <c r="O24" s="67">
        <f t="shared" si="3"/>
        <v>98190.71</v>
      </c>
      <c r="P24" s="66"/>
      <c r="Q24" s="67">
        <f>80693.29+5461.94</f>
        <v>86155.23</v>
      </c>
      <c r="R24" s="67"/>
      <c r="S24" s="68">
        <f t="shared" si="4"/>
        <v>86155.23</v>
      </c>
    </row>
    <row r="25" spans="2:19" ht="26.25" customHeight="1" x14ac:dyDescent="0.25">
      <c r="B25" s="2" t="s">
        <v>352</v>
      </c>
      <c r="C25" s="236" t="s">
        <v>353</v>
      </c>
      <c r="D25" s="93" t="s">
        <v>354</v>
      </c>
      <c r="E25" s="2" t="s">
        <v>355</v>
      </c>
      <c r="F25" s="2" t="s">
        <v>7</v>
      </c>
      <c r="G25" s="186">
        <v>2.63E-2</v>
      </c>
      <c r="H25" s="186">
        <v>0.1845</v>
      </c>
      <c r="I25" s="187">
        <v>45565</v>
      </c>
      <c r="J25" s="187">
        <v>45580</v>
      </c>
      <c r="K25" s="187">
        <v>44279</v>
      </c>
      <c r="L25" s="188" t="s">
        <v>356</v>
      </c>
      <c r="M25" s="79">
        <v>383912.36</v>
      </c>
      <c r="N25" s="67"/>
      <c r="O25" s="67">
        <f t="shared" si="3"/>
        <v>383912.36</v>
      </c>
      <c r="P25" s="66"/>
      <c r="Q25" s="67"/>
      <c r="R25" s="67"/>
      <c r="S25" s="68">
        <f t="shared" si="4"/>
        <v>0</v>
      </c>
    </row>
    <row r="26" spans="2:19" ht="21.75" customHeight="1" x14ac:dyDescent="0.25">
      <c r="B26" s="2" t="s">
        <v>357</v>
      </c>
      <c r="C26" s="236" t="s">
        <v>353</v>
      </c>
      <c r="D26" s="93" t="s">
        <v>354</v>
      </c>
      <c r="E26" s="2" t="s">
        <v>358</v>
      </c>
      <c r="F26" s="2" t="s">
        <v>7</v>
      </c>
      <c r="G26" s="186">
        <v>2.63E-2</v>
      </c>
      <c r="H26" s="186">
        <v>0.1845</v>
      </c>
      <c r="I26" s="187">
        <v>45565</v>
      </c>
      <c r="J26" s="187">
        <v>45580</v>
      </c>
      <c r="K26" s="187">
        <v>44279</v>
      </c>
      <c r="L26" s="188" t="s">
        <v>356</v>
      </c>
      <c r="M26" s="79">
        <v>95978.09</v>
      </c>
      <c r="N26" s="67"/>
      <c r="O26" s="67">
        <f t="shared" si="3"/>
        <v>95978.09</v>
      </c>
      <c r="P26" s="66"/>
      <c r="Q26" s="67"/>
      <c r="R26" s="67"/>
      <c r="S26" s="68">
        <f t="shared" si="4"/>
        <v>0</v>
      </c>
    </row>
    <row r="27" spans="2:19" x14ac:dyDescent="0.25">
      <c r="C27" s="4"/>
      <c r="D27" s="4"/>
      <c r="G27" s="202"/>
      <c r="H27" s="186" t="s">
        <v>100</v>
      </c>
      <c r="I27" s="187"/>
      <c r="J27" s="187"/>
      <c r="K27" s="187"/>
      <c r="L27" s="205"/>
      <c r="M27" s="25"/>
      <c r="N27" s="25"/>
      <c r="O27" s="25"/>
      <c r="P27" s="29"/>
      <c r="Q27" s="25"/>
      <c r="R27" s="25"/>
      <c r="S27" s="26"/>
    </row>
    <row r="28" spans="2:19" ht="19.5" customHeight="1" x14ac:dyDescent="0.25">
      <c r="C28" s="4"/>
      <c r="D28" s="4"/>
      <c r="I28" s="116"/>
      <c r="J28" s="116"/>
      <c r="K28" s="116"/>
      <c r="L28" s="5" t="s">
        <v>38</v>
      </c>
      <c r="M28" s="66">
        <f>SUM(M7:M27)</f>
        <v>2106665.29</v>
      </c>
      <c r="N28" s="283">
        <f>SUM(N7:N27)</f>
        <v>0</v>
      </c>
      <c r="O28" s="66">
        <f>SUM(O7:O27)</f>
        <v>2106665.29</v>
      </c>
      <c r="Q28" s="66">
        <f>SUM(Q7:Q27)</f>
        <v>796712.38</v>
      </c>
      <c r="R28" s="66">
        <f>SUM(R7:R27)</f>
        <v>0</v>
      </c>
      <c r="S28" s="68">
        <f>SUM(S7:S27)</f>
        <v>796712.38</v>
      </c>
    </row>
    <row r="29" spans="2:19" x14ac:dyDescent="0.25">
      <c r="C29" s="4"/>
      <c r="D29" s="4"/>
      <c r="I29" s="116"/>
      <c r="J29" s="116"/>
      <c r="K29" s="116"/>
      <c r="L29" s="5"/>
      <c r="M29" s="66"/>
      <c r="N29" s="66"/>
      <c r="O29" s="66"/>
      <c r="Q29" s="66"/>
      <c r="R29" s="66"/>
      <c r="S29" s="68"/>
    </row>
    <row r="30" spans="2:19" x14ac:dyDescent="0.25">
      <c r="B30" s="8" t="s">
        <v>125</v>
      </c>
      <c r="C30" s="92"/>
      <c r="D30" s="92"/>
      <c r="L30" s="5"/>
      <c r="M30" s="66"/>
      <c r="N30" s="66"/>
      <c r="O30" s="66"/>
      <c r="Q30" s="66"/>
      <c r="R30" s="66"/>
      <c r="S30" s="68"/>
    </row>
    <row r="31" spans="2:19" ht="28.5" customHeight="1" x14ac:dyDescent="0.25">
      <c r="B31" s="341" t="s">
        <v>126</v>
      </c>
      <c r="C31" s="341"/>
      <c r="D31" s="341"/>
      <c r="E31" s="341"/>
      <c r="F31" s="341"/>
      <c r="G31" s="117"/>
      <c r="H31" s="117"/>
      <c r="I31" s="111"/>
      <c r="L31" s="5"/>
      <c r="M31" s="66"/>
      <c r="N31" s="66"/>
      <c r="O31" s="66"/>
      <c r="Q31" s="66"/>
      <c r="R31" s="66"/>
      <c r="S31" s="68"/>
    </row>
    <row r="32" spans="2:19" x14ac:dyDescent="0.25">
      <c r="C32" s="92"/>
      <c r="D32" s="92"/>
      <c r="L32" s="5"/>
      <c r="M32" s="66"/>
      <c r="N32" s="66"/>
      <c r="O32" s="66"/>
      <c r="Q32" s="66"/>
      <c r="R32" s="66"/>
      <c r="S32" s="68"/>
    </row>
    <row r="33" spans="2:19" ht="46.5" customHeight="1" x14ac:dyDescent="0.25">
      <c r="B33" s="341" t="s">
        <v>129</v>
      </c>
      <c r="C33" s="341"/>
      <c r="D33" s="341"/>
      <c r="E33" s="341"/>
      <c r="F33" s="341"/>
      <c r="G33" s="117"/>
      <c r="H33" s="117"/>
      <c r="I33" s="111"/>
      <c r="L33" s="5"/>
      <c r="M33" s="66"/>
      <c r="N33" s="66"/>
      <c r="O33" s="66"/>
      <c r="Q33" s="66"/>
      <c r="R33" s="66"/>
      <c r="S33" s="68"/>
    </row>
    <row r="34" spans="2:19" x14ac:dyDescent="0.25">
      <c r="B34" s="108"/>
      <c r="C34" s="108"/>
      <c r="D34" s="108"/>
      <c r="E34" s="108"/>
      <c r="F34" s="108"/>
      <c r="G34" s="117"/>
      <c r="H34" s="117"/>
      <c r="I34" s="111"/>
      <c r="L34" s="5"/>
      <c r="M34" s="66"/>
      <c r="N34" s="66"/>
      <c r="O34" s="66"/>
      <c r="Q34" s="66"/>
      <c r="R34" s="66"/>
      <c r="S34" s="68"/>
    </row>
    <row r="35" spans="2:19" ht="30" customHeight="1" x14ac:dyDescent="0.25">
      <c r="B35" s="341" t="s">
        <v>160</v>
      </c>
      <c r="C35" s="341"/>
      <c r="D35" s="341"/>
      <c r="E35" s="341"/>
      <c r="F35" s="341"/>
      <c r="G35" s="193"/>
      <c r="H35" s="193"/>
      <c r="I35" s="193"/>
      <c r="L35" s="5"/>
      <c r="M35" s="66"/>
      <c r="N35" s="66"/>
      <c r="O35" s="66"/>
      <c r="Q35" s="66"/>
      <c r="R35" s="66"/>
      <c r="S35" s="68"/>
    </row>
    <row r="36" spans="2:19" ht="15" customHeight="1" x14ac:dyDescent="0.25">
      <c r="B36" s="347" t="s">
        <v>159</v>
      </c>
      <c r="C36" s="341"/>
      <c r="D36" s="341"/>
      <c r="E36" s="341"/>
      <c r="F36" s="341"/>
      <c r="G36" s="193"/>
      <c r="H36" s="193"/>
      <c r="I36" s="193"/>
      <c r="L36" s="5"/>
      <c r="M36" s="66"/>
      <c r="N36" s="66"/>
      <c r="O36" s="66"/>
      <c r="Q36" s="66"/>
      <c r="R36" s="66"/>
      <c r="S36" s="68"/>
    </row>
    <row r="37" spans="2:19" x14ac:dyDescent="0.25">
      <c r="B37" s="7" t="s">
        <v>109</v>
      </c>
      <c r="C37" s="101" t="s">
        <v>112</v>
      </c>
      <c r="D37" s="101" t="s">
        <v>113</v>
      </c>
      <c r="E37" s="108"/>
      <c r="F37" s="108"/>
      <c r="G37" s="117"/>
      <c r="H37" s="117"/>
      <c r="I37" s="111"/>
      <c r="L37" s="5"/>
      <c r="M37" s="66"/>
      <c r="N37" s="66"/>
      <c r="O37" s="66"/>
      <c r="Q37" s="66"/>
      <c r="R37" s="66"/>
      <c r="S37" s="68"/>
    </row>
    <row r="38" spans="2:19" x14ac:dyDescent="0.25">
      <c r="B38" s="2" t="s">
        <v>110</v>
      </c>
      <c r="C38" s="92" t="s">
        <v>327</v>
      </c>
      <c r="D38" s="92" t="s">
        <v>118</v>
      </c>
      <c r="L38" s="5"/>
      <c r="M38" s="66"/>
      <c r="N38" s="66"/>
      <c r="O38" s="66"/>
      <c r="Q38" s="66"/>
      <c r="R38" s="66"/>
      <c r="S38" s="68"/>
    </row>
    <row r="39" spans="2:19" x14ac:dyDescent="0.25">
      <c r="B39" s="2" t="s">
        <v>111</v>
      </c>
      <c r="C39" s="92" t="s">
        <v>300</v>
      </c>
      <c r="D39" s="92" t="s">
        <v>303</v>
      </c>
      <c r="L39" s="5"/>
      <c r="M39" s="66"/>
      <c r="N39" s="66"/>
      <c r="O39" s="66"/>
      <c r="Q39" s="66"/>
      <c r="R39" s="66"/>
      <c r="S39" s="68"/>
    </row>
    <row r="40" spans="2:19" x14ac:dyDescent="0.25">
      <c r="B40" s="2" t="s">
        <v>197</v>
      </c>
      <c r="C40" s="92" t="s">
        <v>135</v>
      </c>
      <c r="D40" s="92" t="s">
        <v>147</v>
      </c>
      <c r="L40" s="5"/>
      <c r="M40" s="66"/>
      <c r="N40" s="66"/>
      <c r="O40" s="66"/>
      <c r="Q40" s="66"/>
      <c r="R40" s="66"/>
      <c r="S40" s="68"/>
    </row>
    <row r="41" spans="2:19" x14ac:dyDescent="0.25">
      <c r="B41" s="2" t="s">
        <v>211</v>
      </c>
      <c r="C41" s="92" t="s">
        <v>135</v>
      </c>
      <c r="D41" s="92" t="s">
        <v>147</v>
      </c>
      <c r="L41" s="5"/>
      <c r="M41" s="66"/>
      <c r="N41" s="66"/>
      <c r="O41" s="66"/>
      <c r="Q41" s="66"/>
      <c r="R41" s="66"/>
      <c r="S41" s="68"/>
    </row>
    <row r="42" spans="2:19" x14ac:dyDescent="0.25">
      <c r="B42" s="2" t="s">
        <v>230</v>
      </c>
      <c r="C42" s="92" t="s">
        <v>135</v>
      </c>
      <c r="D42" s="92" t="s">
        <v>147</v>
      </c>
      <c r="L42" s="5"/>
      <c r="M42" s="66"/>
      <c r="N42" s="66"/>
      <c r="O42" s="66"/>
      <c r="Q42" s="66"/>
      <c r="R42" s="66"/>
      <c r="S42" s="68"/>
    </row>
    <row r="43" spans="2:19" x14ac:dyDescent="0.25">
      <c r="B43" s="2" t="s">
        <v>275</v>
      </c>
      <c r="C43" s="92" t="s">
        <v>135</v>
      </c>
      <c r="D43" s="92" t="s">
        <v>147</v>
      </c>
      <c r="L43" s="5"/>
      <c r="M43" s="66"/>
      <c r="N43" s="66"/>
      <c r="O43" s="66"/>
      <c r="Q43" s="66"/>
      <c r="R43" s="66"/>
      <c r="S43" s="68"/>
    </row>
    <row r="44" spans="2:19" x14ac:dyDescent="0.25">
      <c r="B44" s="2" t="s">
        <v>279</v>
      </c>
      <c r="C44" s="92" t="s">
        <v>135</v>
      </c>
      <c r="D44" s="92" t="s">
        <v>147</v>
      </c>
      <c r="L44" s="5"/>
      <c r="M44" s="66"/>
      <c r="N44" s="66"/>
      <c r="O44" s="66"/>
      <c r="Q44" s="66"/>
      <c r="R44" s="66"/>
      <c r="S44" s="68"/>
    </row>
    <row r="45" spans="2:19" x14ac:dyDescent="0.25">
      <c r="B45" s="2" t="s">
        <v>281</v>
      </c>
      <c r="C45" s="92" t="s">
        <v>135</v>
      </c>
      <c r="D45" s="92" t="s">
        <v>147</v>
      </c>
      <c r="L45" s="5"/>
      <c r="M45" s="66"/>
      <c r="N45" s="66"/>
      <c r="O45" s="66"/>
      <c r="Q45" s="66"/>
      <c r="R45" s="66"/>
      <c r="S45" s="68"/>
    </row>
    <row r="46" spans="2:19" x14ac:dyDescent="0.25">
      <c r="B46" s="2" t="s">
        <v>286</v>
      </c>
      <c r="C46" s="92" t="s">
        <v>135</v>
      </c>
      <c r="D46" s="92" t="s">
        <v>147</v>
      </c>
      <c r="L46" s="5"/>
      <c r="M46" s="66"/>
      <c r="N46" s="66"/>
      <c r="O46" s="66"/>
      <c r="Q46" s="66"/>
      <c r="R46" s="66"/>
      <c r="S46" s="68"/>
    </row>
    <row r="47" spans="2:19" x14ac:dyDescent="0.25">
      <c r="B47" s="258" t="s">
        <v>298</v>
      </c>
      <c r="C47" s="92"/>
      <c r="D47" s="92"/>
      <c r="L47" s="5"/>
      <c r="M47" s="66"/>
      <c r="N47" s="66"/>
      <c r="O47" s="66"/>
      <c r="Q47" s="66"/>
      <c r="R47" s="66"/>
      <c r="S47" s="68"/>
    </row>
    <row r="48" spans="2:19" x14ac:dyDescent="0.25">
      <c r="B48" s="336" t="s">
        <v>299</v>
      </c>
      <c r="C48" s="336"/>
      <c r="D48" s="336"/>
      <c r="E48" s="336"/>
      <c r="F48" s="336"/>
      <c r="G48" s="336"/>
      <c r="H48" s="336"/>
      <c r="L48" s="5"/>
      <c r="M48" s="66"/>
      <c r="N48" s="66"/>
      <c r="O48" s="66"/>
      <c r="Q48" s="66"/>
      <c r="R48" s="66"/>
      <c r="S48" s="68"/>
    </row>
    <row r="49" spans="2:20" ht="15" customHeight="1" x14ac:dyDescent="0.25">
      <c r="B49" s="10"/>
      <c r="C49" s="10"/>
      <c r="D49" s="10"/>
      <c r="E49" s="10"/>
      <c r="F49" s="10"/>
      <c r="G49" s="10"/>
      <c r="H49" s="10"/>
      <c r="I49" s="10"/>
      <c r="J49" s="10"/>
      <c r="K49" s="10"/>
      <c r="L49" s="10"/>
      <c r="M49" s="10"/>
      <c r="N49" s="29"/>
      <c r="O49" s="29"/>
      <c r="P49" s="29"/>
      <c r="Q49" s="29"/>
      <c r="R49" s="29"/>
      <c r="S49" s="27"/>
    </row>
    <row r="50" spans="2:20" ht="15" customHeight="1" x14ac:dyDescent="0.25">
      <c r="N50" s="109"/>
      <c r="O50" s="109"/>
      <c r="P50" s="109"/>
      <c r="Q50" s="166" t="s">
        <v>90</v>
      </c>
      <c r="R50" s="163"/>
      <c r="S50" s="164"/>
      <c r="T50" s="51"/>
    </row>
    <row r="51" spans="2:20" ht="15" customHeight="1" x14ac:dyDescent="0.25">
      <c r="B51" s="17" t="s">
        <v>39</v>
      </c>
      <c r="C51" s="96" t="s">
        <v>2</v>
      </c>
      <c r="D51" s="96"/>
      <c r="E51" s="96" t="s">
        <v>34</v>
      </c>
      <c r="F51" s="96" t="s">
        <v>35</v>
      </c>
      <c r="G51" s="120"/>
      <c r="H51" s="120"/>
      <c r="I51" s="114"/>
      <c r="J51" s="96"/>
      <c r="K51" s="96"/>
      <c r="L51" s="96" t="s">
        <v>36</v>
      </c>
      <c r="M51" s="96" t="s">
        <v>37</v>
      </c>
      <c r="N51" s="47"/>
      <c r="O51" s="47"/>
      <c r="P51" s="47"/>
      <c r="Q51" s="54" t="s">
        <v>88</v>
      </c>
      <c r="R51" s="52"/>
      <c r="S51" s="53"/>
      <c r="T51" s="51"/>
    </row>
    <row r="52" spans="2:20" ht="15" customHeight="1" x14ac:dyDescent="0.25">
      <c r="B52" s="63"/>
      <c r="C52" s="148"/>
      <c r="D52" s="148"/>
      <c r="E52" s="148"/>
      <c r="F52" s="148"/>
      <c r="G52" s="148"/>
      <c r="H52" s="148"/>
      <c r="I52" s="148"/>
      <c r="J52" s="148"/>
      <c r="K52" s="148"/>
      <c r="L52" s="148"/>
      <c r="M52" s="148"/>
      <c r="N52" s="48"/>
      <c r="O52" s="48"/>
      <c r="P52" s="48"/>
      <c r="Q52" s="56"/>
      <c r="R52" s="49"/>
      <c r="S52" s="49"/>
      <c r="T52" s="51"/>
    </row>
    <row r="53" spans="2:20" ht="15" customHeight="1" x14ac:dyDescent="0.25">
      <c r="B53" s="63"/>
      <c r="C53" s="148"/>
      <c r="D53" s="148"/>
      <c r="E53" s="148"/>
      <c r="F53" s="148"/>
      <c r="G53" s="148"/>
      <c r="H53" s="148"/>
      <c r="I53" s="148"/>
      <c r="J53" s="148"/>
      <c r="K53" s="148"/>
      <c r="L53" s="148"/>
      <c r="M53" s="148"/>
      <c r="N53" s="48"/>
      <c r="O53" s="48"/>
      <c r="P53" s="48"/>
      <c r="Q53" s="56"/>
      <c r="R53" s="49"/>
      <c r="S53" s="49"/>
      <c r="T53" s="51"/>
    </row>
    <row r="54" spans="2:20" ht="15" customHeight="1" x14ac:dyDescent="0.25">
      <c r="B54" s="63"/>
      <c r="C54" s="148"/>
      <c r="D54" s="148"/>
      <c r="E54" s="148"/>
      <c r="F54" s="148"/>
      <c r="G54" s="148"/>
      <c r="H54" s="148"/>
      <c r="I54" s="148"/>
      <c r="J54" s="148"/>
      <c r="K54" s="148"/>
      <c r="L54" s="148"/>
      <c r="M54" s="148"/>
      <c r="N54" s="48"/>
      <c r="O54" s="48"/>
      <c r="P54" s="48"/>
      <c r="Q54" s="56"/>
      <c r="R54" s="49"/>
      <c r="S54" s="49"/>
      <c r="T54" s="51"/>
    </row>
    <row r="55" spans="2:20" x14ac:dyDescent="0.25">
      <c r="B55" s="12"/>
      <c r="C55" s="13"/>
      <c r="D55" s="13"/>
      <c r="E55" s="41"/>
      <c r="F55" s="15"/>
      <c r="G55" s="15"/>
      <c r="H55" s="15"/>
      <c r="I55" s="15"/>
      <c r="J55" s="15"/>
      <c r="K55" s="15"/>
      <c r="L55" s="16"/>
      <c r="M55" s="31"/>
      <c r="Q55" s="309" t="s">
        <v>316</v>
      </c>
      <c r="R55" s="309"/>
      <c r="S55" s="310">
        <f>S28</f>
        <v>796712.38</v>
      </c>
    </row>
    <row r="56" spans="2:20" x14ac:dyDescent="0.25">
      <c r="B56" s="12"/>
      <c r="C56" s="13"/>
      <c r="D56" s="13"/>
      <c r="E56" s="14"/>
      <c r="F56" s="15"/>
      <c r="G56" s="15"/>
      <c r="H56" s="15"/>
      <c r="I56" s="15"/>
      <c r="J56" s="15"/>
      <c r="K56" s="15"/>
      <c r="L56" s="16"/>
      <c r="M56" s="31"/>
      <c r="N56" s="18"/>
      <c r="O56" s="18"/>
      <c r="P56" s="18"/>
      <c r="Q56" s="14"/>
      <c r="R56" s="14"/>
      <c r="S56" s="313"/>
    </row>
  </sheetData>
  <mergeCells count="7">
    <mergeCell ref="B48:H48"/>
    <mergeCell ref="B36:F36"/>
    <mergeCell ref="Q2:S2"/>
    <mergeCell ref="Q1:S1"/>
    <mergeCell ref="B31:F31"/>
    <mergeCell ref="B33:F33"/>
    <mergeCell ref="B35:F35"/>
  </mergeCells>
  <hyperlinks>
    <hyperlink ref="B36" r:id="rId1"/>
  </hyperlinks>
  <printOptions horizontalCentered="1" gridLines="1"/>
  <pageMargins left="0" right="0" top="0.75" bottom="0.75" header="0.3" footer="0.3"/>
  <pageSetup scale="51" orientation="landscape" horizontalDpi="1200" verticalDpi="1200"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5"/>
  <sheetViews>
    <sheetView topLeftCell="C4" zoomScale="90" zoomScaleNormal="90" workbookViewId="0">
      <selection activeCell="S7" sqref="S7"/>
    </sheetView>
  </sheetViews>
  <sheetFormatPr defaultColWidth="9.140625" defaultRowHeight="15" x14ac:dyDescent="0.25"/>
  <cols>
    <col min="1" max="1" width="9.140625" style="2" hidden="1" customWidth="1"/>
    <col min="2" max="2" width="57.85546875" style="2" customWidth="1"/>
    <col min="3" max="3" width="26" style="2" customWidth="1"/>
    <col min="4" max="4" width="13.7109375" style="2" customWidth="1"/>
    <col min="5" max="5" width="17.42578125" style="2" customWidth="1"/>
    <col min="6" max="6" width="21.140625" style="2" customWidth="1"/>
    <col min="7" max="7" width="10.28515625" style="2" customWidth="1"/>
    <col min="8" max="8" width="12.85546875" style="2" customWidth="1"/>
    <col min="9" max="9" width="13.42578125" style="2" customWidth="1"/>
    <col min="10" max="10" width="15.7109375" style="2" customWidth="1"/>
    <col min="11" max="11" width="8.85546875" style="2" customWidth="1"/>
    <col min="12" max="12" width="20.8554687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6.7109375" style="2" customWidth="1"/>
    <col min="20" max="16384" width="9.140625" style="2"/>
  </cols>
  <sheetData>
    <row r="1" spans="1:20" ht="18" customHeight="1" x14ac:dyDescent="0.25">
      <c r="B1" s="8" t="s">
        <v>169</v>
      </c>
      <c r="Q1" s="338" t="s">
        <v>296</v>
      </c>
      <c r="R1" s="338"/>
      <c r="S1" s="338"/>
    </row>
    <row r="2" spans="1:20" ht="18" customHeight="1" x14ac:dyDescent="0.25">
      <c r="B2" s="88" t="s">
        <v>148</v>
      </c>
      <c r="C2" s="182">
        <v>44742</v>
      </c>
      <c r="M2" s="71"/>
      <c r="N2" s="71"/>
      <c r="P2" s="29"/>
      <c r="Q2" s="337" t="s">
        <v>375</v>
      </c>
      <c r="R2" s="337"/>
      <c r="S2" s="337"/>
    </row>
    <row r="3" spans="1:20" ht="18" customHeight="1" thickBot="1" x14ac:dyDescent="0.3">
      <c r="A3" s="2" t="s">
        <v>16</v>
      </c>
      <c r="B3" s="44" t="s">
        <v>51</v>
      </c>
      <c r="C3" s="8"/>
      <c r="D3" s="8"/>
      <c r="E3" s="8"/>
      <c r="P3" s="29"/>
      <c r="Q3" s="45"/>
      <c r="R3" s="30"/>
    </row>
    <row r="4" spans="1:20" ht="18.75" customHeight="1" x14ac:dyDescent="0.25">
      <c r="B4" s="8" t="s">
        <v>174</v>
      </c>
      <c r="M4" s="85" t="s">
        <v>28</v>
      </c>
      <c r="N4" s="85" t="s">
        <v>28</v>
      </c>
      <c r="O4" s="85" t="s">
        <v>28</v>
      </c>
      <c r="P4" s="9"/>
      <c r="Q4" s="89" t="s">
        <v>29</v>
      </c>
      <c r="R4" s="89" t="s">
        <v>31</v>
      </c>
      <c r="S4" s="89" t="s">
        <v>23</v>
      </c>
      <c r="T4" s="7"/>
    </row>
    <row r="5" spans="1:20" ht="15.75" thickBot="1" x14ac:dyDescent="0.3">
      <c r="G5" s="183" t="s">
        <v>295</v>
      </c>
      <c r="H5" s="183" t="s">
        <v>295</v>
      </c>
      <c r="M5" s="86" t="s">
        <v>27</v>
      </c>
      <c r="N5" s="86" t="s">
        <v>26</v>
      </c>
      <c r="O5" s="86" t="s">
        <v>25</v>
      </c>
      <c r="P5" s="9"/>
      <c r="Q5" s="90" t="s">
        <v>30</v>
      </c>
      <c r="R5" s="90" t="s">
        <v>30</v>
      </c>
      <c r="S5" s="90" t="s">
        <v>30</v>
      </c>
      <c r="T5" s="7"/>
    </row>
    <row r="6" spans="1:20" ht="85.5" customHeight="1" thickBot="1" x14ac:dyDescent="0.3">
      <c r="B6" s="84" t="s">
        <v>1</v>
      </c>
      <c r="C6" s="84" t="s">
        <v>389</v>
      </c>
      <c r="D6" s="84" t="s">
        <v>107</v>
      </c>
      <c r="E6" s="84" t="s">
        <v>3</v>
      </c>
      <c r="F6" s="84" t="s">
        <v>4</v>
      </c>
      <c r="G6" s="107" t="s">
        <v>136</v>
      </c>
      <c r="H6" s="107" t="s">
        <v>137</v>
      </c>
      <c r="I6" s="107" t="s">
        <v>133</v>
      </c>
      <c r="J6" s="107" t="s">
        <v>134</v>
      </c>
      <c r="K6" s="107" t="s">
        <v>121</v>
      </c>
      <c r="L6" s="83" t="s">
        <v>5</v>
      </c>
      <c r="M6" s="87" t="s">
        <v>6</v>
      </c>
      <c r="N6" s="87" t="s">
        <v>6</v>
      </c>
      <c r="O6" s="87" t="s">
        <v>6</v>
      </c>
      <c r="P6" s="9"/>
      <c r="Q6" s="91"/>
      <c r="R6" s="97" t="s">
        <v>32</v>
      </c>
      <c r="S6" s="98" t="s">
        <v>33</v>
      </c>
    </row>
    <row r="7" spans="1:20" ht="26.25" customHeight="1" x14ac:dyDescent="0.25">
      <c r="B7" s="2" t="s">
        <v>8</v>
      </c>
      <c r="C7" s="92" t="s">
        <v>106</v>
      </c>
      <c r="D7" s="92" t="s">
        <v>306</v>
      </c>
      <c r="E7" s="2" t="s">
        <v>307</v>
      </c>
      <c r="F7" s="2" t="s">
        <v>7</v>
      </c>
      <c r="G7" s="186">
        <v>2.63E-2</v>
      </c>
      <c r="H7" s="186">
        <v>0.1845</v>
      </c>
      <c r="I7" s="187">
        <v>44742</v>
      </c>
      <c r="J7" s="187">
        <v>44743</v>
      </c>
      <c r="K7" s="187">
        <v>44378</v>
      </c>
      <c r="L7" s="188" t="s">
        <v>297</v>
      </c>
      <c r="M7" s="64">
        <v>76609</v>
      </c>
      <c r="N7" s="66"/>
      <c r="O7" s="66">
        <f>SUM(M7:N7)</f>
        <v>76609</v>
      </c>
      <c r="P7" s="66"/>
      <c r="Q7" s="66">
        <f>6355.56+19812.88</f>
        <v>26168.440000000002</v>
      </c>
      <c r="R7" s="66"/>
      <c r="S7" s="68">
        <f t="shared" ref="S7:S13" si="0">Q7+R7</f>
        <v>26168.440000000002</v>
      </c>
    </row>
    <row r="8" spans="1:20" ht="32.25" hidden="1" customHeight="1" x14ac:dyDescent="0.25">
      <c r="B8" s="2" t="s">
        <v>138</v>
      </c>
      <c r="C8" s="95" t="s">
        <v>188</v>
      </c>
      <c r="D8" s="93" t="s">
        <v>173</v>
      </c>
      <c r="E8" s="2" t="s">
        <v>218</v>
      </c>
      <c r="F8" s="2" t="s">
        <v>7</v>
      </c>
      <c r="G8" s="186">
        <f>G7</f>
        <v>2.63E-2</v>
      </c>
      <c r="H8" s="186">
        <f>H7</f>
        <v>0.1845</v>
      </c>
      <c r="I8" s="187">
        <f>I7</f>
        <v>44742</v>
      </c>
      <c r="J8" s="187">
        <f>J7</f>
        <v>44743</v>
      </c>
      <c r="K8" s="187">
        <v>43282</v>
      </c>
      <c r="L8" s="188" t="str">
        <f>L7</f>
        <v>07/01/21 - 06/30/22</v>
      </c>
      <c r="M8" s="64"/>
      <c r="N8" s="66">
        <v>0</v>
      </c>
      <c r="O8" s="66">
        <f>SUM(M8:N8)</f>
        <v>0</v>
      </c>
      <c r="P8" s="66"/>
      <c r="Q8" s="66"/>
      <c r="R8" s="66"/>
      <c r="S8" s="68">
        <f t="shared" si="0"/>
        <v>0</v>
      </c>
    </row>
    <row r="9" spans="1:20" ht="33.75" customHeight="1" x14ac:dyDescent="0.25">
      <c r="B9" s="2" t="s">
        <v>128</v>
      </c>
      <c r="C9" s="236" t="s">
        <v>122</v>
      </c>
      <c r="D9" s="93" t="s">
        <v>310</v>
      </c>
      <c r="E9" s="2" t="s">
        <v>309</v>
      </c>
      <c r="F9" s="2" t="s">
        <v>7</v>
      </c>
      <c r="G9" s="186">
        <v>2.63E-2</v>
      </c>
      <c r="H9" s="186">
        <v>0.1845</v>
      </c>
      <c r="I9" s="187">
        <f>I8</f>
        <v>44742</v>
      </c>
      <c r="J9" s="187">
        <f>J8</f>
        <v>44743</v>
      </c>
      <c r="K9" s="187">
        <v>44378</v>
      </c>
      <c r="L9" s="188" t="str">
        <f>L8</f>
        <v>07/01/21 - 06/30/22</v>
      </c>
      <c r="M9" s="67">
        <v>4164.0600000000004</v>
      </c>
      <c r="N9" s="67"/>
      <c r="O9" s="67">
        <f t="shared" ref="O9" si="1">M9+N9</f>
        <v>4164.0600000000004</v>
      </c>
      <c r="P9" s="66"/>
      <c r="Q9" s="66">
        <v>4164.0600000000004</v>
      </c>
      <c r="R9" s="66">
        <v>0</v>
      </c>
      <c r="S9" s="68">
        <f t="shared" si="0"/>
        <v>4164.0600000000004</v>
      </c>
    </row>
    <row r="10" spans="1:20" ht="27" customHeight="1" x14ac:dyDescent="0.25">
      <c r="B10" s="334" t="s">
        <v>371</v>
      </c>
      <c r="C10" s="236" t="s">
        <v>373</v>
      </c>
      <c r="D10" s="331" t="s">
        <v>372</v>
      </c>
      <c r="E10" s="29" t="s">
        <v>374</v>
      </c>
      <c r="F10" s="2" t="s">
        <v>7</v>
      </c>
      <c r="G10" s="186">
        <v>2.63E-2</v>
      </c>
      <c r="H10" s="186">
        <v>0.1845</v>
      </c>
      <c r="I10" s="187">
        <v>45199</v>
      </c>
      <c r="J10" s="187">
        <v>45214</v>
      </c>
      <c r="K10" s="187">
        <v>44378</v>
      </c>
      <c r="L10" s="188" t="s">
        <v>325</v>
      </c>
      <c r="M10" s="70">
        <v>1246.6300000000001</v>
      </c>
      <c r="N10" s="70"/>
      <c r="O10" s="67">
        <f>M10+N10</f>
        <v>1246.6300000000001</v>
      </c>
      <c r="P10" s="66"/>
      <c r="Q10" s="66">
        <v>1246.53</v>
      </c>
      <c r="R10" s="66"/>
      <c r="S10" s="68">
        <f t="shared" si="0"/>
        <v>1246.53</v>
      </c>
    </row>
    <row r="11" spans="1:20" ht="28.5" customHeight="1" x14ac:dyDescent="0.25">
      <c r="B11" s="2" t="s">
        <v>223</v>
      </c>
      <c r="C11" s="236" t="s">
        <v>333</v>
      </c>
      <c r="D11" s="93" t="s">
        <v>224</v>
      </c>
      <c r="E11" s="2" t="s">
        <v>225</v>
      </c>
      <c r="F11" s="2" t="s">
        <v>7</v>
      </c>
      <c r="G11" s="186">
        <v>2.63E-2</v>
      </c>
      <c r="H11" s="186">
        <v>0.1845</v>
      </c>
      <c r="I11" s="187">
        <v>44834</v>
      </c>
      <c r="J11" s="187">
        <v>44849</v>
      </c>
      <c r="K11" s="187">
        <v>43614</v>
      </c>
      <c r="L11" s="188" t="s">
        <v>274</v>
      </c>
      <c r="M11" s="64">
        <v>35306.29</v>
      </c>
      <c r="N11" s="66"/>
      <c r="O11" s="66">
        <f>SUM(M11:N11)</f>
        <v>35306.29</v>
      </c>
      <c r="P11" s="66"/>
      <c r="Q11" s="66"/>
      <c r="R11" s="66"/>
      <c r="S11" s="68">
        <f t="shared" si="0"/>
        <v>0</v>
      </c>
    </row>
    <row r="12" spans="1:20" ht="28.5" customHeight="1" x14ac:dyDescent="0.25">
      <c r="B12" s="2" t="s">
        <v>241</v>
      </c>
      <c r="C12" s="236" t="s">
        <v>242</v>
      </c>
      <c r="D12" s="93" t="s">
        <v>164</v>
      </c>
      <c r="E12" s="2" t="s">
        <v>249</v>
      </c>
      <c r="F12" s="2" t="s">
        <v>7</v>
      </c>
      <c r="G12" s="186">
        <v>2.63E-2</v>
      </c>
      <c r="H12" s="186">
        <v>0.1845</v>
      </c>
      <c r="I12" s="187">
        <v>44393</v>
      </c>
      <c r="J12" s="187">
        <v>44408</v>
      </c>
      <c r="K12" s="187">
        <v>42644</v>
      </c>
      <c r="L12" s="188" t="s">
        <v>273</v>
      </c>
      <c r="M12" s="79">
        <v>107390</v>
      </c>
      <c r="N12" s="67"/>
      <c r="O12" s="67">
        <f>M12+N12</f>
        <v>107390</v>
      </c>
      <c r="P12" s="67"/>
      <c r="Q12" s="67">
        <v>0</v>
      </c>
      <c r="R12" s="67"/>
      <c r="S12" s="68">
        <f t="shared" si="0"/>
        <v>0</v>
      </c>
    </row>
    <row r="13" spans="1:20" ht="28.5" customHeight="1" x14ac:dyDescent="0.25">
      <c r="B13" s="2" t="s">
        <v>268</v>
      </c>
      <c r="C13" s="236" t="s">
        <v>269</v>
      </c>
      <c r="D13" s="93" t="s">
        <v>270</v>
      </c>
      <c r="E13" s="2" t="s">
        <v>271</v>
      </c>
      <c r="F13" s="2" t="s">
        <v>7</v>
      </c>
      <c r="G13" s="186">
        <v>2.63E-2</v>
      </c>
      <c r="H13" s="186">
        <v>0.1845</v>
      </c>
      <c r="I13" s="187">
        <v>44408</v>
      </c>
      <c r="J13" s="187">
        <v>44423</v>
      </c>
      <c r="K13" s="187">
        <v>42186</v>
      </c>
      <c r="L13" s="188" t="s">
        <v>272</v>
      </c>
      <c r="M13" s="79">
        <v>9650</v>
      </c>
      <c r="N13" s="67"/>
      <c r="O13" s="67">
        <f>M13+N13</f>
        <v>9650</v>
      </c>
      <c r="P13" s="67"/>
      <c r="Q13" s="67"/>
      <c r="R13" s="67"/>
      <c r="S13" s="68">
        <f t="shared" si="0"/>
        <v>0</v>
      </c>
    </row>
    <row r="14" spans="1:20" ht="28.5" customHeight="1" x14ac:dyDescent="0.25">
      <c r="B14" s="2" t="s">
        <v>275</v>
      </c>
      <c r="C14" s="236" t="s">
        <v>333</v>
      </c>
      <c r="D14" s="93" t="s">
        <v>224</v>
      </c>
      <c r="E14" s="2" t="s">
        <v>276</v>
      </c>
      <c r="F14" s="2" t="s">
        <v>7</v>
      </c>
      <c r="G14" s="186">
        <v>2.63E-2</v>
      </c>
      <c r="H14" s="186">
        <v>0.1845</v>
      </c>
      <c r="I14" s="187">
        <v>44773</v>
      </c>
      <c r="J14" s="187">
        <v>44788</v>
      </c>
      <c r="K14" s="187">
        <v>43980</v>
      </c>
      <c r="L14" s="188" t="s">
        <v>277</v>
      </c>
      <c r="M14" s="79">
        <v>1699.56</v>
      </c>
      <c r="N14" s="70"/>
      <c r="O14" s="67">
        <f>M14+N14</f>
        <v>1699.56</v>
      </c>
      <c r="P14" s="67"/>
      <c r="Q14" s="67"/>
      <c r="R14" s="67"/>
      <c r="S14" s="68">
        <f>Q14+R14</f>
        <v>0</v>
      </c>
    </row>
    <row r="15" spans="1:20" ht="24.75" customHeight="1" x14ac:dyDescent="0.25">
      <c r="B15" s="2" t="s">
        <v>279</v>
      </c>
      <c r="C15" s="236" t="s">
        <v>333</v>
      </c>
      <c r="D15" s="93" t="s">
        <v>224</v>
      </c>
      <c r="E15" s="2" t="s">
        <v>280</v>
      </c>
      <c r="F15" s="2" t="s">
        <v>7</v>
      </c>
      <c r="G15" s="186">
        <v>2.63E-2</v>
      </c>
      <c r="H15" s="186">
        <v>0.1845</v>
      </c>
      <c r="I15" s="187">
        <v>44592</v>
      </c>
      <c r="J15" s="187">
        <v>44592</v>
      </c>
      <c r="K15" s="187">
        <v>43980</v>
      </c>
      <c r="L15" s="188" t="s">
        <v>332</v>
      </c>
      <c r="M15" s="79">
        <v>3000</v>
      </c>
      <c r="N15" s="67"/>
      <c r="O15" s="67">
        <f t="shared" ref="O15:O24" si="2">M15+N15</f>
        <v>3000</v>
      </c>
      <c r="P15" s="66"/>
      <c r="Q15" s="67"/>
      <c r="R15" s="67"/>
      <c r="S15" s="68">
        <f t="shared" ref="S15:S23" si="3">Q15+R15</f>
        <v>0</v>
      </c>
    </row>
    <row r="16" spans="1:20" ht="27.75" customHeight="1" x14ac:dyDescent="0.25">
      <c r="B16" s="2" t="s">
        <v>281</v>
      </c>
      <c r="C16" s="236" t="s">
        <v>334</v>
      </c>
      <c r="D16" s="93" t="s">
        <v>231</v>
      </c>
      <c r="E16" s="2" t="s">
        <v>282</v>
      </c>
      <c r="F16" s="2" t="s">
        <v>7</v>
      </c>
      <c r="G16" s="186">
        <v>2.63E-2</v>
      </c>
      <c r="H16" s="186">
        <v>0.1845</v>
      </c>
      <c r="I16" s="187">
        <v>44742</v>
      </c>
      <c r="J16" s="187">
        <v>44757</v>
      </c>
      <c r="K16" s="187">
        <v>43979</v>
      </c>
      <c r="L16" s="188" t="s">
        <v>283</v>
      </c>
      <c r="M16" s="79">
        <v>1027</v>
      </c>
      <c r="N16" s="67"/>
      <c r="O16" s="67">
        <f t="shared" si="2"/>
        <v>1027</v>
      </c>
      <c r="P16" s="66"/>
      <c r="Q16" s="67"/>
      <c r="R16" s="67"/>
      <c r="S16" s="68">
        <f t="shared" si="3"/>
        <v>0</v>
      </c>
    </row>
    <row r="17" spans="2:19" ht="27.75" customHeight="1" x14ac:dyDescent="0.25">
      <c r="B17" s="2" t="s">
        <v>321</v>
      </c>
      <c r="C17" s="236" t="s">
        <v>333</v>
      </c>
      <c r="D17" s="93" t="s">
        <v>288</v>
      </c>
      <c r="E17" s="2" t="s">
        <v>322</v>
      </c>
      <c r="F17" s="2" t="s">
        <v>7</v>
      </c>
      <c r="G17" s="186">
        <f>G16:H16</f>
        <v>2.63E-2</v>
      </c>
      <c r="H17" s="186">
        <f>H16</f>
        <v>0.1845</v>
      </c>
      <c r="I17" s="187">
        <v>45199</v>
      </c>
      <c r="J17" s="187">
        <v>45214</v>
      </c>
      <c r="K17" s="187">
        <v>44201</v>
      </c>
      <c r="L17" s="188" t="s">
        <v>323</v>
      </c>
      <c r="M17" s="79">
        <v>32748.71</v>
      </c>
      <c r="N17" s="67"/>
      <c r="O17" s="67">
        <f t="shared" si="2"/>
        <v>32748.71</v>
      </c>
      <c r="P17" s="66"/>
      <c r="Q17" s="67"/>
      <c r="R17" s="67"/>
      <c r="S17" s="68">
        <f t="shared" si="3"/>
        <v>0</v>
      </c>
    </row>
    <row r="18" spans="2:19" ht="27.75" customHeight="1" x14ac:dyDescent="0.25">
      <c r="B18" s="2" t="s">
        <v>324</v>
      </c>
      <c r="C18" s="236" t="s">
        <v>333</v>
      </c>
      <c r="D18" s="93" t="s">
        <v>288</v>
      </c>
      <c r="E18" s="2" t="s">
        <v>329</v>
      </c>
      <c r="F18" s="2" t="s">
        <v>7</v>
      </c>
      <c r="G18" s="186">
        <f>G17:H17</f>
        <v>2.63E-2</v>
      </c>
      <c r="H18" s="186">
        <f>H17</f>
        <v>0.1845</v>
      </c>
      <c r="I18" s="187">
        <v>45199</v>
      </c>
      <c r="J18" s="187">
        <v>45214</v>
      </c>
      <c r="K18" s="187">
        <v>44201</v>
      </c>
      <c r="L18" s="188" t="s">
        <v>325</v>
      </c>
      <c r="M18" s="79">
        <v>2911</v>
      </c>
      <c r="N18" s="67"/>
      <c r="O18" s="67">
        <f t="shared" si="2"/>
        <v>2911</v>
      </c>
      <c r="P18" s="66"/>
      <c r="Q18" s="67"/>
      <c r="R18" s="67"/>
      <c r="S18" s="68">
        <f t="shared" si="3"/>
        <v>0</v>
      </c>
    </row>
    <row r="19" spans="2:19" ht="27.75" customHeight="1" x14ac:dyDescent="0.25">
      <c r="B19" s="2" t="s">
        <v>326</v>
      </c>
      <c r="C19" s="236" t="s">
        <v>333</v>
      </c>
      <c r="D19" s="93" t="s">
        <v>288</v>
      </c>
      <c r="E19" s="2" t="s">
        <v>330</v>
      </c>
      <c r="F19" s="2" t="s">
        <v>7</v>
      </c>
      <c r="G19" s="186">
        <f>G18:H18</f>
        <v>2.63E-2</v>
      </c>
      <c r="H19" s="186">
        <f>H18</f>
        <v>0.1845</v>
      </c>
      <c r="I19" s="187">
        <v>45199</v>
      </c>
      <c r="J19" s="187">
        <v>45214</v>
      </c>
      <c r="K19" s="187">
        <v>44201</v>
      </c>
      <c r="L19" s="188" t="s">
        <v>323</v>
      </c>
      <c r="M19" s="79">
        <v>8596.5400000000009</v>
      </c>
      <c r="N19" s="67"/>
      <c r="O19" s="67">
        <f t="shared" si="2"/>
        <v>8596.5400000000009</v>
      </c>
      <c r="P19" s="66"/>
      <c r="Q19" s="67"/>
      <c r="R19" s="67"/>
      <c r="S19" s="68">
        <f t="shared" si="3"/>
        <v>0</v>
      </c>
    </row>
    <row r="20" spans="2:19" ht="27.75" customHeight="1" x14ac:dyDescent="0.25">
      <c r="B20" s="2" t="s">
        <v>370</v>
      </c>
      <c r="C20" s="236" t="s">
        <v>333</v>
      </c>
      <c r="D20" s="93" t="s">
        <v>288</v>
      </c>
      <c r="E20" s="2" t="s">
        <v>331</v>
      </c>
      <c r="F20" s="2" t="s">
        <v>7</v>
      </c>
      <c r="G20" s="186">
        <f t="shared" ref="G20" si="4">G19:H19</f>
        <v>2.63E-2</v>
      </c>
      <c r="H20" s="186">
        <f t="shared" ref="H20" si="5">H19</f>
        <v>0.1845</v>
      </c>
      <c r="I20" s="187">
        <v>45199</v>
      </c>
      <c r="J20" s="187">
        <v>45214</v>
      </c>
      <c r="K20" s="187">
        <v>44201</v>
      </c>
      <c r="L20" s="188" t="s">
        <v>325</v>
      </c>
      <c r="M20" s="79">
        <v>40690.28</v>
      </c>
      <c r="N20" s="67"/>
      <c r="O20" s="67">
        <f t="shared" si="2"/>
        <v>40690.28</v>
      </c>
      <c r="P20" s="66"/>
      <c r="Q20" s="67"/>
      <c r="R20" s="67"/>
      <c r="S20" s="68">
        <f t="shared" si="3"/>
        <v>0</v>
      </c>
    </row>
    <row r="21" spans="2:19" ht="27.75" customHeight="1" x14ac:dyDescent="0.25">
      <c r="B21" s="2" t="s">
        <v>287</v>
      </c>
      <c r="C21" s="236" t="s">
        <v>333</v>
      </c>
      <c r="D21" s="93" t="s">
        <v>288</v>
      </c>
      <c r="E21" s="2" t="s">
        <v>289</v>
      </c>
      <c r="F21" s="2" t="s">
        <v>7</v>
      </c>
      <c r="G21" s="186">
        <v>2.63E-2</v>
      </c>
      <c r="H21" s="186">
        <v>0.1845</v>
      </c>
      <c r="I21" s="187">
        <v>45199</v>
      </c>
      <c r="J21" s="187">
        <v>45199</v>
      </c>
      <c r="K21" s="187">
        <v>44201</v>
      </c>
      <c r="L21" s="188" t="s">
        <v>320</v>
      </c>
      <c r="M21" s="79">
        <v>75322.039999999994</v>
      </c>
      <c r="N21" s="67"/>
      <c r="O21" s="67">
        <f t="shared" si="2"/>
        <v>75322.039999999994</v>
      </c>
      <c r="P21" s="66"/>
      <c r="Q21" s="67"/>
      <c r="R21" s="67"/>
      <c r="S21" s="68">
        <f t="shared" si="3"/>
        <v>0</v>
      </c>
    </row>
    <row r="22" spans="2:19" ht="27.75" customHeight="1" x14ac:dyDescent="0.25">
      <c r="B22" s="2" t="s">
        <v>352</v>
      </c>
      <c r="C22" s="236" t="s">
        <v>353</v>
      </c>
      <c r="D22" s="93" t="s">
        <v>354</v>
      </c>
      <c r="E22" s="2" t="s">
        <v>355</v>
      </c>
      <c r="F22" s="2" t="s">
        <v>7</v>
      </c>
      <c r="G22" s="186">
        <v>2.63E-2</v>
      </c>
      <c r="H22" s="186">
        <v>0.1845</v>
      </c>
      <c r="I22" s="187">
        <v>45565</v>
      </c>
      <c r="J22" s="187">
        <v>45580</v>
      </c>
      <c r="K22" s="187">
        <v>44279</v>
      </c>
      <c r="L22" s="188" t="s">
        <v>356</v>
      </c>
      <c r="M22" s="79">
        <v>294498.98</v>
      </c>
      <c r="N22" s="67"/>
      <c r="O22" s="67">
        <f t="shared" si="2"/>
        <v>294498.98</v>
      </c>
      <c r="P22" s="66"/>
      <c r="Q22" s="67"/>
      <c r="R22" s="67"/>
      <c r="S22" s="68">
        <f t="shared" si="3"/>
        <v>0</v>
      </c>
    </row>
    <row r="23" spans="2:19" ht="27.75" customHeight="1" x14ac:dyDescent="0.25">
      <c r="B23" s="2" t="s">
        <v>357</v>
      </c>
      <c r="C23" s="236" t="s">
        <v>353</v>
      </c>
      <c r="D23" s="93" t="s">
        <v>354</v>
      </c>
      <c r="E23" s="2" t="s">
        <v>358</v>
      </c>
      <c r="F23" s="2" t="s">
        <v>7</v>
      </c>
      <c r="G23" s="186">
        <v>2.63E-2</v>
      </c>
      <c r="H23" s="186">
        <v>0.1845</v>
      </c>
      <c r="I23" s="187">
        <v>45565</v>
      </c>
      <c r="J23" s="187">
        <v>45580</v>
      </c>
      <c r="K23" s="187">
        <v>44279</v>
      </c>
      <c r="L23" s="188" t="s">
        <v>356</v>
      </c>
      <c r="M23" s="79">
        <v>73624.740000000005</v>
      </c>
      <c r="N23" s="67"/>
      <c r="O23" s="67">
        <f t="shared" si="2"/>
        <v>73624.740000000005</v>
      </c>
      <c r="P23" s="66"/>
      <c r="Q23" s="67"/>
      <c r="R23" s="67"/>
      <c r="S23" s="68">
        <f t="shared" si="3"/>
        <v>0</v>
      </c>
    </row>
    <row r="24" spans="2:19" ht="27.75" customHeight="1" x14ac:dyDescent="0.25">
      <c r="B24" s="2" t="s">
        <v>366</v>
      </c>
      <c r="C24" s="236" t="s">
        <v>333</v>
      </c>
      <c r="D24" s="93" t="s">
        <v>367</v>
      </c>
      <c r="E24" s="2" t="s">
        <v>368</v>
      </c>
      <c r="F24" s="2" t="s">
        <v>7</v>
      </c>
      <c r="G24" s="186">
        <v>2.63E-2</v>
      </c>
      <c r="H24" s="186">
        <v>0.1845</v>
      </c>
      <c r="I24" s="187">
        <v>45199</v>
      </c>
      <c r="J24" s="187">
        <v>45214</v>
      </c>
      <c r="K24" s="187">
        <v>44201</v>
      </c>
      <c r="L24" s="188" t="s">
        <v>369</v>
      </c>
      <c r="M24" s="79">
        <v>5176.92</v>
      </c>
      <c r="N24" s="67"/>
      <c r="O24" s="67">
        <f t="shared" si="2"/>
        <v>5176.92</v>
      </c>
      <c r="P24" s="66"/>
      <c r="Q24" s="67"/>
      <c r="R24" s="67"/>
      <c r="S24" s="68"/>
    </row>
    <row r="25" spans="2:19" ht="14.25" customHeight="1" x14ac:dyDescent="0.25">
      <c r="C25" s="236"/>
      <c r="D25" s="93"/>
      <c r="G25" s="186"/>
      <c r="H25" s="186"/>
      <c r="I25" s="187"/>
      <c r="J25" s="187"/>
      <c r="K25" s="187"/>
      <c r="L25" s="188"/>
      <c r="M25" s="79"/>
      <c r="N25" s="67"/>
      <c r="O25" s="67"/>
      <c r="P25" s="66"/>
      <c r="Q25" s="67"/>
      <c r="R25" s="67"/>
      <c r="S25" s="68"/>
    </row>
    <row r="26" spans="2:19" ht="21.75" customHeight="1" x14ac:dyDescent="0.25">
      <c r="C26" s="93"/>
      <c r="D26" s="93"/>
      <c r="G26" s="123"/>
      <c r="H26" s="123"/>
      <c r="I26" s="116"/>
      <c r="J26" s="116"/>
      <c r="K26" s="116"/>
      <c r="L26" s="21" t="s">
        <v>38</v>
      </c>
      <c r="M26" s="273">
        <f>SUM(M7:M25)</f>
        <v>773661.74999999988</v>
      </c>
      <c r="N26" s="273">
        <f>SUM(N7:N25)</f>
        <v>0</v>
      </c>
      <c r="O26" s="273">
        <f>SUM(O7:O25)</f>
        <v>773661.74999999988</v>
      </c>
      <c r="P26" s="66"/>
      <c r="Q26" s="273">
        <f>SUM(Q7:Q25)</f>
        <v>31579.030000000002</v>
      </c>
      <c r="R26" s="273">
        <f>SUM(R7:R25)</f>
        <v>0</v>
      </c>
      <c r="S26" s="23">
        <f>SUM(S7:S25)</f>
        <v>31579.030000000002</v>
      </c>
    </row>
    <row r="27" spans="2:19" x14ac:dyDescent="0.25">
      <c r="C27" s="93"/>
      <c r="D27" s="93"/>
      <c r="I27" s="116"/>
      <c r="J27" s="116"/>
      <c r="K27" s="116"/>
      <c r="S27" s="27"/>
    </row>
    <row r="28" spans="2:19" x14ac:dyDescent="0.25">
      <c r="B28" s="8" t="s">
        <v>125</v>
      </c>
      <c r="C28" s="92"/>
      <c r="D28" s="92"/>
      <c r="S28" s="27"/>
    </row>
    <row r="29" spans="2:19" ht="32.25" customHeight="1" x14ac:dyDescent="0.25">
      <c r="B29" s="341" t="s">
        <v>126</v>
      </c>
      <c r="C29" s="341"/>
      <c r="D29" s="341"/>
      <c r="E29" s="341"/>
      <c r="F29" s="341"/>
      <c r="G29" s="117"/>
      <c r="H29" s="117"/>
      <c r="I29" s="111"/>
      <c r="S29" s="27"/>
    </row>
    <row r="30" spans="2:19" x14ac:dyDescent="0.25">
      <c r="C30" s="92"/>
      <c r="D30" s="92"/>
      <c r="S30" s="27"/>
    </row>
    <row r="31" spans="2:19" ht="46.5" customHeight="1" x14ac:dyDescent="0.25">
      <c r="B31" s="341" t="s">
        <v>129</v>
      </c>
      <c r="C31" s="341"/>
      <c r="D31" s="341"/>
      <c r="E31" s="341"/>
      <c r="F31" s="341"/>
      <c r="G31" s="117"/>
      <c r="H31" s="117"/>
      <c r="I31" s="111"/>
      <c r="S31" s="27"/>
    </row>
    <row r="32" spans="2:19" x14ac:dyDescent="0.25">
      <c r="B32" s="193"/>
      <c r="C32" s="193"/>
      <c r="D32" s="193"/>
      <c r="E32" s="193"/>
      <c r="F32" s="193"/>
      <c r="G32" s="193"/>
      <c r="H32" s="193"/>
      <c r="I32" s="193"/>
      <c r="S32" s="27"/>
    </row>
    <row r="33" spans="2:19" ht="30" customHeight="1" x14ac:dyDescent="0.25">
      <c r="B33" s="341" t="s">
        <v>160</v>
      </c>
      <c r="C33" s="341"/>
      <c r="D33" s="341"/>
      <c r="E33" s="341"/>
      <c r="F33" s="341"/>
      <c r="G33" s="193"/>
      <c r="H33" s="193"/>
      <c r="I33" s="193"/>
      <c r="S33" s="27"/>
    </row>
    <row r="34" spans="2:19" ht="15" customHeight="1" x14ac:dyDescent="0.25">
      <c r="B34" s="347" t="s">
        <v>159</v>
      </c>
      <c r="C34" s="341"/>
      <c r="D34" s="341"/>
      <c r="E34" s="341"/>
      <c r="F34" s="341"/>
      <c r="G34" s="193"/>
      <c r="H34" s="193"/>
      <c r="I34" s="193"/>
      <c r="S34" s="27"/>
    </row>
    <row r="35" spans="2:19" ht="15" customHeight="1" x14ac:dyDescent="0.25">
      <c r="B35" s="195"/>
      <c r="C35" s="195"/>
      <c r="D35" s="195"/>
      <c r="E35" s="195"/>
      <c r="F35" s="195"/>
      <c r="G35" s="195"/>
      <c r="H35" s="195"/>
      <c r="I35" s="195"/>
      <c r="S35" s="27"/>
    </row>
    <row r="36" spans="2:19" x14ac:dyDescent="0.25">
      <c r="B36" s="108"/>
      <c r="C36" s="108"/>
      <c r="D36" s="108"/>
      <c r="E36" s="108"/>
      <c r="F36" s="108"/>
      <c r="G36" s="117"/>
      <c r="H36" s="117"/>
      <c r="I36" s="111"/>
      <c r="S36" s="27"/>
    </row>
    <row r="37" spans="2:19" x14ac:dyDescent="0.25">
      <c r="B37" s="7" t="s">
        <v>109</v>
      </c>
      <c r="C37" s="101" t="s">
        <v>112</v>
      </c>
      <c r="D37" s="101" t="s">
        <v>113</v>
      </c>
      <c r="E37" s="108"/>
      <c r="F37" s="108"/>
      <c r="G37" s="117"/>
      <c r="H37" s="117"/>
      <c r="I37" s="111"/>
      <c r="S37" s="27"/>
    </row>
    <row r="38" spans="2:19" x14ac:dyDescent="0.25">
      <c r="B38" s="2" t="s">
        <v>110</v>
      </c>
      <c r="C38" s="92" t="s">
        <v>327</v>
      </c>
      <c r="D38" s="92" t="s">
        <v>118</v>
      </c>
      <c r="E38" s="224"/>
      <c r="F38" s="224"/>
      <c r="G38" s="224"/>
      <c r="H38" s="224"/>
      <c r="I38" s="224"/>
      <c r="S38" s="27"/>
    </row>
    <row r="39" spans="2:19" x14ac:dyDescent="0.25">
      <c r="B39" s="2" t="s">
        <v>230</v>
      </c>
      <c r="C39" s="92" t="s">
        <v>135</v>
      </c>
      <c r="D39" s="92" t="s">
        <v>147</v>
      </c>
      <c r="S39" s="27"/>
    </row>
    <row r="40" spans="2:19" x14ac:dyDescent="0.25">
      <c r="B40" s="2" t="s">
        <v>240</v>
      </c>
      <c r="C40" s="92" t="s">
        <v>135</v>
      </c>
      <c r="D40" s="92" t="s">
        <v>147</v>
      </c>
      <c r="S40" s="27"/>
    </row>
    <row r="41" spans="2:19" x14ac:dyDescent="0.25">
      <c r="B41" s="2" t="s">
        <v>268</v>
      </c>
      <c r="C41" s="92" t="s">
        <v>135</v>
      </c>
      <c r="D41" s="92" t="s">
        <v>147</v>
      </c>
      <c r="S41" s="27"/>
    </row>
    <row r="42" spans="2:19" x14ac:dyDescent="0.25">
      <c r="B42" s="2" t="s">
        <v>275</v>
      </c>
      <c r="C42" s="92" t="s">
        <v>135</v>
      </c>
      <c r="D42" s="92" t="s">
        <v>147</v>
      </c>
      <c r="S42" s="27"/>
    </row>
    <row r="43" spans="2:19" x14ac:dyDescent="0.25">
      <c r="B43" s="2" t="s">
        <v>279</v>
      </c>
      <c r="C43" s="92" t="s">
        <v>135</v>
      </c>
      <c r="D43" s="92" t="s">
        <v>147</v>
      </c>
      <c r="S43" s="27"/>
    </row>
    <row r="44" spans="2:19" x14ac:dyDescent="0.25">
      <c r="B44" s="2" t="s">
        <v>281</v>
      </c>
      <c r="C44" s="92" t="s">
        <v>135</v>
      </c>
      <c r="D44" s="92" t="s">
        <v>147</v>
      </c>
      <c r="S44" s="27"/>
    </row>
    <row r="45" spans="2:19" x14ac:dyDescent="0.25">
      <c r="B45" s="2" t="s">
        <v>286</v>
      </c>
      <c r="C45" s="92" t="s">
        <v>135</v>
      </c>
      <c r="D45" s="92" t="s">
        <v>147</v>
      </c>
      <c r="S45" s="27"/>
    </row>
    <row r="46" spans="2:19" x14ac:dyDescent="0.25">
      <c r="C46" s="92"/>
      <c r="D46" s="92"/>
      <c r="S46" s="27"/>
    </row>
    <row r="47" spans="2:19" x14ac:dyDescent="0.25">
      <c r="B47" s="258" t="s">
        <v>298</v>
      </c>
      <c r="C47" s="92"/>
      <c r="D47" s="92"/>
      <c r="S47" s="27"/>
    </row>
    <row r="48" spans="2:19" x14ac:dyDescent="0.25">
      <c r="B48" s="336" t="s">
        <v>299</v>
      </c>
      <c r="C48" s="336"/>
      <c r="D48" s="336"/>
      <c r="E48" s="336"/>
      <c r="F48" s="336"/>
      <c r="G48" s="336"/>
      <c r="H48" s="336"/>
      <c r="S48" s="27"/>
    </row>
    <row r="49" spans="2:20" ht="15" customHeight="1" x14ac:dyDescent="0.25">
      <c r="B49" s="10"/>
      <c r="C49" s="94"/>
      <c r="D49" s="94"/>
      <c r="E49" s="10"/>
      <c r="F49" s="10"/>
      <c r="G49" s="10"/>
      <c r="H49" s="10"/>
      <c r="I49" s="10"/>
      <c r="J49" s="10"/>
      <c r="K49" s="10"/>
      <c r="L49" s="10"/>
      <c r="M49" s="10"/>
      <c r="N49" s="29"/>
      <c r="O49" s="29"/>
      <c r="P49" s="29"/>
      <c r="Q49" s="29"/>
      <c r="R49" s="29"/>
      <c r="S49" s="27"/>
    </row>
    <row r="50" spans="2:20" ht="15" customHeight="1" x14ac:dyDescent="0.25">
      <c r="N50" s="109"/>
      <c r="O50" s="109"/>
      <c r="P50" s="109"/>
      <c r="Q50" s="170" t="s">
        <v>90</v>
      </c>
      <c r="R50" s="171"/>
      <c r="S50" s="172"/>
    </row>
    <row r="51" spans="2:20" ht="15" customHeight="1" x14ac:dyDescent="0.25">
      <c r="B51" s="17" t="s">
        <v>39</v>
      </c>
      <c r="C51" s="96" t="s">
        <v>2</v>
      </c>
      <c r="D51" s="96"/>
      <c r="E51" s="96" t="s">
        <v>34</v>
      </c>
      <c r="F51" s="96" t="s">
        <v>35</v>
      </c>
      <c r="G51" s="120"/>
      <c r="H51" s="120"/>
      <c r="I51" s="114"/>
      <c r="J51" s="96"/>
      <c r="K51" s="96"/>
      <c r="L51" s="96" t="s">
        <v>36</v>
      </c>
      <c r="M51" s="96" t="s">
        <v>37</v>
      </c>
      <c r="N51" s="10"/>
      <c r="O51" s="10"/>
      <c r="P51" s="10"/>
      <c r="Q51" s="54" t="s">
        <v>88</v>
      </c>
      <c r="R51" s="54"/>
      <c r="S51" s="55"/>
    </row>
    <row r="52" spans="2:20" ht="15" customHeight="1" x14ac:dyDescent="0.25">
      <c r="B52" s="63"/>
      <c r="C52" s="148"/>
      <c r="D52" s="148"/>
      <c r="E52" s="148"/>
      <c r="F52" s="148"/>
      <c r="G52" s="148"/>
      <c r="H52" s="148"/>
      <c r="I52" s="148"/>
      <c r="J52" s="148"/>
      <c r="K52" s="148"/>
      <c r="L52" s="148"/>
      <c r="M52" s="148"/>
      <c r="N52" s="29"/>
      <c r="O52" s="29"/>
      <c r="P52" s="29"/>
      <c r="Q52" s="56"/>
      <c r="R52" s="56"/>
      <c r="S52" s="56"/>
    </row>
    <row r="53" spans="2:20" ht="15" customHeight="1" x14ac:dyDescent="0.25">
      <c r="B53" s="63"/>
      <c r="C53" s="148"/>
      <c r="D53" s="148"/>
      <c r="E53" s="148"/>
      <c r="F53" s="148"/>
      <c r="G53" s="148"/>
      <c r="H53" s="148"/>
      <c r="I53" s="148"/>
      <c r="J53" s="148"/>
      <c r="K53" s="148"/>
      <c r="L53" s="148"/>
      <c r="M53" s="148"/>
      <c r="N53" s="29"/>
      <c r="O53" s="29"/>
      <c r="P53" s="29"/>
      <c r="Q53" s="56"/>
      <c r="R53" s="56"/>
      <c r="S53" s="56"/>
    </row>
    <row r="54" spans="2:20" ht="15" customHeight="1" x14ac:dyDescent="0.25">
      <c r="B54" s="63"/>
      <c r="C54" s="9"/>
      <c r="D54" s="9"/>
      <c r="E54" s="9"/>
      <c r="F54" s="9"/>
      <c r="G54" s="9"/>
      <c r="H54" s="9"/>
      <c r="I54" s="9"/>
      <c r="J54" s="9"/>
      <c r="K54" s="9"/>
      <c r="L54" s="9"/>
      <c r="M54" s="9"/>
      <c r="Q54" s="58"/>
      <c r="R54" s="51"/>
      <c r="S54" s="51"/>
    </row>
    <row r="55" spans="2:20" x14ac:dyDescent="0.25">
      <c r="B55" s="12"/>
      <c r="C55" s="13"/>
      <c r="D55" s="13"/>
      <c r="E55" s="14"/>
      <c r="F55" s="15"/>
      <c r="G55" s="15"/>
      <c r="H55" s="15"/>
      <c r="I55" s="15"/>
      <c r="J55" s="15"/>
      <c r="K55" s="15"/>
      <c r="L55" s="16"/>
      <c r="M55" s="20"/>
      <c r="N55" s="18"/>
      <c r="O55" s="18"/>
      <c r="P55" s="18"/>
      <c r="Q55" s="309" t="s">
        <v>316</v>
      </c>
      <c r="R55" s="309"/>
      <c r="S55" s="310">
        <f>S26</f>
        <v>31579.030000000002</v>
      </c>
      <c r="T55" s="51"/>
    </row>
  </sheetData>
  <mergeCells count="7">
    <mergeCell ref="B48:H48"/>
    <mergeCell ref="B34:F34"/>
    <mergeCell ref="Q2:S2"/>
    <mergeCell ref="Q1:S1"/>
    <mergeCell ref="B29:F29"/>
    <mergeCell ref="B31:F31"/>
    <mergeCell ref="B33:F33"/>
  </mergeCells>
  <hyperlinks>
    <hyperlink ref="B34" r:id="rId1"/>
  </hyperlinks>
  <printOptions horizontalCentered="1" gridLines="1"/>
  <pageMargins left="0" right="0" top="0.75" bottom="0.75" header="0.3" footer="0.3"/>
  <pageSetup scale="53" orientation="landscape" horizontalDpi="1200" verticalDpi="1200"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1"/>
  <sheetViews>
    <sheetView topLeftCell="C24" zoomScale="90" zoomScaleNormal="90" workbookViewId="0">
      <selection activeCell="C7" sqref="C7"/>
    </sheetView>
  </sheetViews>
  <sheetFormatPr defaultColWidth="9.140625" defaultRowHeight="15" x14ac:dyDescent="0.25"/>
  <cols>
    <col min="1" max="1" width="9.140625" style="2" hidden="1" customWidth="1"/>
    <col min="2" max="2" width="59.140625" style="2" customWidth="1"/>
    <col min="3" max="3" width="30.85546875" style="2" customWidth="1"/>
    <col min="4" max="4" width="13.7109375" style="2" customWidth="1"/>
    <col min="5" max="5" width="18" style="2" customWidth="1"/>
    <col min="6" max="6" width="21.5703125" style="2" customWidth="1"/>
    <col min="7" max="7" width="10.28515625" style="2" customWidth="1"/>
    <col min="8" max="8" width="12.85546875" style="2" customWidth="1"/>
    <col min="9" max="9" width="13.42578125" style="2" customWidth="1"/>
    <col min="10" max="10" width="15.7109375" style="2" customWidth="1"/>
    <col min="11" max="11" width="8.85546875" style="2" customWidth="1"/>
    <col min="12" max="12" width="17.425781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6.7109375" style="2" customWidth="1"/>
    <col min="20" max="16384" width="9.140625" style="2"/>
  </cols>
  <sheetData>
    <row r="1" spans="1:20" ht="18" customHeight="1" x14ac:dyDescent="0.25">
      <c r="B1" s="1" t="s">
        <v>46</v>
      </c>
      <c r="Q1" s="338" t="s">
        <v>296</v>
      </c>
      <c r="R1" s="338"/>
      <c r="S1" s="338"/>
    </row>
    <row r="2" spans="1:20" ht="18" customHeight="1" x14ac:dyDescent="0.25">
      <c r="B2" s="88" t="s">
        <v>148</v>
      </c>
      <c r="C2" s="182">
        <v>44742</v>
      </c>
      <c r="M2" s="71"/>
      <c r="N2" s="71"/>
      <c r="P2" s="29"/>
      <c r="Q2" s="337" t="s">
        <v>375</v>
      </c>
      <c r="R2" s="337"/>
      <c r="S2" s="337"/>
    </row>
    <row r="3" spans="1:20" ht="18" customHeight="1" thickBot="1" x14ac:dyDescent="0.3">
      <c r="A3" s="2" t="s">
        <v>16</v>
      </c>
      <c r="B3" s="44" t="s">
        <v>76</v>
      </c>
      <c r="C3" s="8"/>
      <c r="D3" s="8"/>
      <c r="E3" s="8"/>
      <c r="P3" s="29"/>
      <c r="Q3" s="45"/>
      <c r="R3" s="30"/>
    </row>
    <row r="4" spans="1:20" ht="18.75" customHeight="1" x14ac:dyDescent="0.25">
      <c r="B4" s="8" t="s">
        <v>174</v>
      </c>
      <c r="M4" s="85" t="s">
        <v>28</v>
      </c>
      <c r="N4" s="85" t="s">
        <v>28</v>
      </c>
      <c r="O4" s="85" t="s">
        <v>28</v>
      </c>
      <c r="P4" s="9"/>
      <c r="Q4" s="89" t="s">
        <v>29</v>
      </c>
      <c r="R4" s="89" t="s">
        <v>31</v>
      </c>
      <c r="S4" s="89" t="s">
        <v>23</v>
      </c>
      <c r="T4" s="7"/>
    </row>
    <row r="5" spans="1:20" ht="15.75" thickBot="1" x14ac:dyDescent="0.3">
      <c r="G5" s="183" t="s">
        <v>295</v>
      </c>
      <c r="H5" s="183" t="s">
        <v>295</v>
      </c>
      <c r="M5" s="86" t="s">
        <v>27</v>
      </c>
      <c r="N5" s="86" t="s">
        <v>26</v>
      </c>
      <c r="O5" s="86" t="s">
        <v>25</v>
      </c>
      <c r="P5" s="9"/>
      <c r="Q5" s="90" t="s">
        <v>30</v>
      </c>
      <c r="R5" s="90" t="s">
        <v>30</v>
      </c>
      <c r="S5" s="90" t="s">
        <v>30</v>
      </c>
      <c r="T5" s="7"/>
    </row>
    <row r="6" spans="1:20" ht="85.5" customHeight="1" thickBot="1" x14ac:dyDescent="0.3">
      <c r="B6" s="84" t="s">
        <v>1</v>
      </c>
      <c r="C6" s="84" t="s">
        <v>389</v>
      </c>
      <c r="D6" s="84" t="s">
        <v>107</v>
      </c>
      <c r="E6" s="84" t="s">
        <v>3</v>
      </c>
      <c r="F6" s="84" t="s">
        <v>4</v>
      </c>
      <c r="G6" s="107" t="s">
        <v>136</v>
      </c>
      <c r="H6" s="107" t="s">
        <v>137</v>
      </c>
      <c r="I6" s="107" t="s">
        <v>133</v>
      </c>
      <c r="J6" s="107" t="s">
        <v>134</v>
      </c>
      <c r="K6" s="107" t="s">
        <v>121</v>
      </c>
      <c r="L6" s="83" t="s">
        <v>5</v>
      </c>
      <c r="M6" s="87" t="s">
        <v>6</v>
      </c>
      <c r="N6" s="87" t="s">
        <v>6</v>
      </c>
      <c r="O6" s="87" t="s">
        <v>6</v>
      </c>
      <c r="P6" s="9"/>
      <c r="Q6" s="91"/>
      <c r="R6" s="97" t="s">
        <v>32</v>
      </c>
      <c r="S6" s="98" t="s">
        <v>33</v>
      </c>
    </row>
    <row r="7" spans="1:20" ht="30" hidden="1" customHeight="1" x14ac:dyDescent="0.25">
      <c r="B7" s="2" t="s">
        <v>8</v>
      </c>
      <c r="C7" s="92" t="s">
        <v>106</v>
      </c>
      <c r="D7" s="92" t="s">
        <v>227</v>
      </c>
      <c r="E7" s="2" t="s">
        <v>217</v>
      </c>
      <c r="F7" s="2" t="s">
        <v>7</v>
      </c>
      <c r="G7" s="186">
        <v>2.63E-2</v>
      </c>
      <c r="H7" s="186">
        <v>0.1845</v>
      </c>
      <c r="I7" s="187">
        <v>44377</v>
      </c>
      <c r="J7" s="187">
        <v>44378</v>
      </c>
      <c r="K7" s="187">
        <v>44013</v>
      </c>
      <c r="L7" s="188" t="s">
        <v>219</v>
      </c>
      <c r="M7" s="70"/>
      <c r="N7" s="70"/>
      <c r="O7" s="67">
        <f>M7+N7</f>
        <v>0</v>
      </c>
      <c r="P7" s="42"/>
      <c r="Q7" s="43"/>
      <c r="R7" s="67"/>
      <c r="S7" s="68">
        <f>Q7+R7</f>
        <v>0</v>
      </c>
    </row>
    <row r="8" spans="1:20" ht="31.5" customHeight="1" x14ac:dyDescent="0.25">
      <c r="B8" s="2" t="s">
        <v>128</v>
      </c>
      <c r="C8" s="236" t="s">
        <v>122</v>
      </c>
      <c r="D8" s="93" t="s">
        <v>310</v>
      </c>
      <c r="E8" s="2" t="s">
        <v>309</v>
      </c>
      <c r="F8" s="2" t="s">
        <v>7</v>
      </c>
      <c r="G8" s="186">
        <v>2.63E-2</v>
      </c>
      <c r="H8" s="186">
        <v>0.1845</v>
      </c>
      <c r="I8" s="187">
        <v>44742</v>
      </c>
      <c r="J8" s="187">
        <v>44743</v>
      </c>
      <c r="K8" s="187">
        <v>44378</v>
      </c>
      <c r="L8" s="188" t="s">
        <v>297</v>
      </c>
      <c r="M8" s="67"/>
      <c r="N8" s="67"/>
      <c r="O8" s="67">
        <f>M8+N8</f>
        <v>0</v>
      </c>
      <c r="P8" s="29"/>
      <c r="Q8" s="67"/>
      <c r="R8" s="67"/>
      <c r="S8" s="68">
        <f>Q8+R8</f>
        <v>0</v>
      </c>
    </row>
    <row r="9" spans="1:20" ht="27.75" customHeight="1" x14ac:dyDescent="0.25">
      <c r="B9" s="2" t="s">
        <v>223</v>
      </c>
      <c r="C9" s="236" t="s">
        <v>333</v>
      </c>
      <c r="D9" s="93" t="s">
        <v>224</v>
      </c>
      <c r="E9" s="2" t="s">
        <v>225</v>
      </c>
      <c r="F9" s="2" t="s">
        <v>7</v>
      </c>
      <c r="G9" s="186">
        <v>2.63E-2</v>
      </c>
      <c r="H9" s="186">
        <v>0.1845</v>
      </c>
      <c r="I9" s="187">
        <v>44834</v>
      </c>
      <c r="J9" s="187">
        <v>44849</v>
      </c>
      <c r="K9" s="187">
        <v>43614</v>
      </c>
      <c r="L9" s="188" t="s">
        <v>274</v>
      </c>
      <c r="M9" s="67">
        <v>16006.89</v>
      </c>
      <c r="N9" s="67"/>
      <c r="O9" s="67">
        <f>M9+N9</f>
        <v>16006.89</v>
      </c>
      <c r="P9" s="29"/>
      <c r="Q9" s="67">
        <v>16006.89</v>
      </c>
      <c r="R9" s="67"/>
      <c r="S9" s="68">
        <f>Q9+R9</f>
        <v>16006.89</v>
      </c>
    </row>
    <row r="10" spans="1:20" ht="27.75" customHeight="1" x14ac:dyDescent="0.25">
      <c r="B10" s="2" t="s">
        <v>241</v>
      </c>
      <c r="C10" s="236" t="s">
        <v>242</v>
      </c>
      <c r="D10" s="93" t="s">
        <v>164</v>
      </c>
      <c r="E10" s="2" t="s">
        <v>247</v>
      </c>
      <c r="F10" s="2" t="s">
        <v>7</v>
      </c>
      <c r="G10" s="186">
        <v>2.63E-2</v>
      </c>
      <c r="H10" s="186">
        <v>0.1845</v>
      </c>
      <c r="I10" s="187">
        <v>44393</v>
      </c>
      <c r="J10" s="187">
        <v>44408</v>
      </c>
      <c r="K10" s="187">
        <v>42644</v>
      </c>
      <c r="L10" s="188" t="s">
        <v>273</v>
      </c>
      <c r="M10" s="79">
        <v>46536</v>
      </c>
      <c r="N10" s="67"/>
      <c r="O10" s="67">
        <f>M10+N10</f>
        <v>46536</v>
      </c>
      <c r="P10" s="67"/>
      <c r="Q10" s="67">
        <v>0</v>
      </c>
      <c r="R10" s="67"/>
      <c r="S10" s="68">
        <f>Q10+R10</f>
        <v>0</v>
      </c>
    </row>
    <row r="11" spans="1:20" ht="27.75" customHeight="1" x14ac:dyDescent="0.25">
      <c r="B11" s="2" t="s">
        <v>279</v>
      </c>
      <c r="C11" s="236" t="s">
        <v>333</v>
      </c>
      <c r="D11" s="93" t="s">
        <v>224</v>
      </c>
      <c r="E11" s="2" t="s">
        <v>280</v>
      </c>
      <c r="F11" s="2" t="s">
        <v>7</v>
      </c>
      <c r="G11" s="186">
        <v>2.63E-2</v>
      </c>
      <c r="H11" s="186">
        <v>0.1845</v>
      </c>
      <c r="I11" s="187">
        <v>44592</v>
      </c>
      <c r="J11" s="187">
        <v>44592</v>
      </c>
      <c r="K11" s="187">
        <v>43980</v>
      </c>
      <c r="L11" s="188" t="s">
        <v>332</v>
      </c>
      <c r="M11" s="79">
        <v>3000</v>
      </c>
      <c r="N11" s="67"/>
      <c r="O11" s="67">
        <f t="shared" ref="O11:O17" si="0">M11+N11</f>
        <v>3000</v>
      </c>
      <c r="P11" s="66"/>
      <c r="Q11" s="67"/>
      <c r="R11" s="67"/>
      <c r="S11" s="68">
        <f t="shared" ref="S11:S17" si="1">Q11+R11</f>
        <v>0</v>
      </c>
    </row>
    <row r="12" spans="1:20" ht="27.75" customHeight="1" x14ac:dyDescent="0.25">
      <c r="B12" s="2" t="s">
        <v>281</v>
      </c>
      <c r="C12" s="236" t="s">
        <v>334</v>
      </c>
      <c r="D12" s="93" t="s">
        <v>231</v>
      </c>
      <c r="E12" s="2" t="s">
        <v>282</v>
      </c>
      <c r="F12" s="2" t="s">
        <v>7</v>
      </c>
      <c r="G12" s="186">
        <v>2.63E-2</v>
      </c>
      <c r="H12" s="186">
        <v>0.1845</v>
      </c>
      <c r="I12" s="187">
        <v>44742</v>
      </c>
      <c r="J12" s="187">
        <v>44757</v>
      </c>
      <c r="K12" s="187">
        <v>43979</v>
      </c>
      <c r="L12" s="188" t="s">
        <v>283</v>
      </c>
      <c r="M12" s="79">
        <v>1027</v>
      </c>
      <c r="N12" s="67"/>
      <c r="O12" s="67">
        <f t="shared" si="0"/>
        <v>1027</v>
      </c>
      <c r="P12" s="66"/>
      <c r="Q12" s="67"/>
      <c r="R12" s="67"/>
      <c r="S12" s="68">
        <f t="shared" si="1"/>
        <v>0</v>
      </c>
    </row>
    <row r="13" spans="1:20" ht="27.75" customHeight="1" x14ac:dyDescent="0.25">
      <c r="B13" s="2" t="s">
        <v>321</v>
      </c>
      <c r="C13" s="236" t="s">
        <v>333</v>
      </c>
      <c r="D13" s="93" t="s">
        <v>288</v>
      </c>
      <c r="E13" s="2" t="s">
        <v>322</v>
      </c>
      <c r="F13" s="2" t="s">
        <v>7</v>
      </c>
      <c r="G13" s="186">
        <f>G12:H12</f>
        <v>2.63E-2</v>
      </c>
      <c r="H13" s="186">
        <f>H12</f>
        <v>0.1845</v>
      </c>
      <c r="I13" s="187">
        <v>45199</v>
      </c>
      <c r="J13" s="187">
        <v>45214</v>
      </c>
      <c r="K13" s="187">
        <v>44201</v>
      </c>
      <c r="L13" s="188" t="s">
        <v>323</v>
      </c>
      <c r="M13" s="79">
        <v>4833.75</v>
      </c>
      <c r="N13" s="67"/>
      <c r="O13" s="67">
        <f t="shared" si="0"/>
        <v>4833.75</v>
      </c>
      <c r="P13" s="66"/>
      <c r="Q13" s="67"/>
      <c r="R13" s="67"/>
      <c r="S13" s="68">
        <f t="shared" si="1"/>
        <v>0</v>
      </c>
    </row>
    <row r="14" spans="1:20" ht="27.75" customHeight="1" x14ac:dyDescent="0.25">
      <c r="B14" s="2" t="s">
        <v>324</v>
      </c>
      <c r="C14" s="236" t="s">
        <v>333</v>
      </c>
      <c r="D14" s="93" t="s">
        <v>288</v>
      </c>
      <c r="E14" s="2" t="s">
        <v>329</v>
      </c>
      <c r="F14" s="2" t="s">
        <v>7</v>
      </c>
      <c r="G14" s="186">
        <f>G13:H13</f>
        <v>2.63E-2</v>
      </c>
      <c r="H14" s="186">
        <f>H13</f>
        <v>0.1845</v>
      </c>
      <c r="I14" s="187">
        <v>45199</v>
      </c>
      <c r="J14" s="187">
        <v>45214</v>
      </c>
      <c r="K14" s="187">
        <v>44201</v>
      </c>
      <c r="L14" s="188" t="s">
        <v>325</v>
      </c>
      <c r="M14" s="79">
        <v>8733</v>
      </c>
      <c r="N14" s="67"/>
      <c r="O14" s="67">
        <f t="shared" si="0"/>
        <v>8733</v>
      </c>
      <c r="P14" s="66"/>
      <c r="Q14" s="67"/>
      <c r="R14" s="67"/>
      <c r="S14" s="68">
        <f t="shared" si="1"/>
        <v>0</v>
      </c>
    </row>
    <row r="15" spans="1:20" ht="27.75" customHeight="1" x14ac:dyDescent="0.25">
      <c r="B15" s="2" t="s">
        <v>326</v>
      </c>
      <c r="C15" s="236" t="s">
        <v>333</v>
      </c>
      <c r="D15" s="93" t="s">
        <v>288</v>
      </c>
      <c r="E15" s="2" t="s">
        <v>330</v>
      </c>
      <c r="F15" s="2" t="s">
        <v>7</v>
      </c>
      <c r="G15" s="186">
        <f>G14:H14</f>
        <v>2.63E-2</v>
      </c>
      <c r="H15" s="186">
        <f>H14</f>
        <v>0.1845</v>
      </c>
      <c r="I15" s="187">
        <v>45199</v>
      </c>
      <c r="J15" s="187">
        <v>45214</v>
      </c>
      <c r="K15" s="187">
        <v>44201</v>
      </c>
      <c r="L15" s="188" t="s">
        <v>323</v>
      </c>
      <c r="M15" s="79">
        <v>1268.8599999999999</v>
      </c>
      <c r="N15" s="67"/>
      <c r="O15" s="67">
        <f t="shared" si="0"/>
        <v>1268.8599999999999</v>
      </c>
      <c r="P15" s="66"/>
      <c r="Q15" s="67"/>
      <c r="R15" s="67"/>
      <c r="S15" s="68">
        <f t="shared" si="1"/>
        <v>0</v>
      </c>
    </row>
    <row r="16" spans="1:20" ht="27.75" customHeight="1" x14ac:dyDescent="0.25">
      <c r="B16" s="2" t="s">
        <v>370</v>
      </c>
      <c r="C16" s="236" t="s">
        <v>333</v>
      </c>
      <c r="D16" s="93" t="s">
        <v>288</v>
      </c>
      <c r="E16" s="2" t="s">
        <v>331</v>
      </c>
      <c r="F16" s="2" t="s">
        <v>7</v>
      </c>
      <c r="G16" s="186">
        <f t="shared" ref="G16" si="2">G15:H15</f>
        <v>2.63E-2</v>
      </c>
      <c r="H16" s="186">
        <f t="shared" ref="H16" si="3">H15</f>
        <v>0.1845</v>
      </c>
      <c r="I16" s="187">
        <v>45199</v>
      </c>
      <c r="J16" s="187">
        <v>45214</v>
      </c>
      <c r="K16" s="187">
        <v>44201</v>
      </c>
      <c r="L16" s="188" t="s">
        <v>325</v>
      </c>
      <c r="M16" s="79">
        <v>6005.93</v>
      </c>
      <c r="N16" s="67"/>
      <c r="O16" s="67">
        <f t="shared" si="0"/>
        <v>6005.93</v>
      </c>
      <c r="P16" s="66"/>
      <c r="Q16" s="67"/>
      <c r="R16" s="67"/>
      <c r="S16" s="68">
        <f t="shared" si="1"/>
        <v>0</v>
      </c>
    </row>
    <row r="17" spans="2:19" ht="27.75" customHeight="1" x14ac:dyDescent="0.25">
      <c r="B17" s="2" t="s">
        <v>287</v>
      </c>
      <c r="C17" s="236" t="s">
        <v>333</v>
      </c>
      <c r="D17" s="93" t="s">
        <v>288</v>
      </c>
      <c r="E17" s="2" t="s">
        <v>289</v>
      </c>
      <c r="F17" s="2" t="s">
        <v>7</v>
      </c>
      <c r="G17" s="186">
        <v>2.63E-2</v>
      </c>
      <c r="H17" s="186">
        <v>0.1845</v>
      </c>
      <c r="I17" s="187">
        <v>45199</v>
      </c>
      <c r="J17" s="187">
        <v>45199</v>
      </c>
      <c r="K17" s="187">
        <v>44201</v>
      </c>
      <c r="L17" s="188" t="s">
        <v>320</v>
      </c>
      <c r="M17" s="79">
        <v>11117.62</v>
      </c>
      <c r="N17" s="67"/>
      <c r="O17" s="67">
        <f t="shared" si="0"/>
        <v>11117.62</v>
      </c>
      <c r="P17" s="66"/>
      <c r="Q17" s="67"/>
      <c r="R17" s="67"/>
      <c r="S17" s="68">
        <f t="shared" si="1"/>
        <v>0</v>
      </c>
    </row>
    <row r="18" spans="2:19" x14ac:dyDescent="0.25">
      <c r="B18" s="29"/>
      <c r="C18" s="4"/>
      <c r="D18" s="4"/>
      <c r="G18" s="202"/>
      <c r="H18" s="186" t="s">
        <v>100</v>
      </c>
      <c r="I18" s="187"/>
      <c r="J18" s="187"/>
      <c r="K18" s="187"/>
      <c r="L18" s="205"/>
      <c r="M18" s="25"/>
      <c r="N18" s="25"/>
      <c r="O18" s="25"/>
      <c r="P18" s="29"/>
      <c r="Q18" s="25"/>
      <c r="R18" s="25"/>
      <c r="S18" s="26"/>
    </row>
    <row r="19" spans="2:19" ht="24.75" customHeight="1" x14ac:dyDescent="0.25">
      <c r="C19" s="4"/>
      <c r="D19" s="4"/>
      <c r="I19" s="116"/>
      <c r="J19" s="116"/>
      <c r="K19" s="116"/>
      <c r="L19" s="5" t="s">
        <v>38</v>
      </c>
      <c r="M19" s="66">
        <f>SUM(M7:M18)</f>
        <v>98529.049999999988</v>
      </c>
      <c r="N19" s="66">
        <f>SUM(N7:N18)</f>
        <v>0</v>
      </c>
      <c r="O19" s="66">
        <f>SUM(O7:O18)</f>
        <v>98529.049999999988</v>
      </c>
      <c r="Q19" s="66">
        <f>SUM(Q7:Q18)</f>
        <v>16006.89</v>
      </c>
      <c r="R19" s="66">
        <f>SUM(R7:R18)</f>
        <v>0</v>
      </c>
      <c r="S19" s="23">
        <f>SUM(S7:S18)</f>
        <v>16006.89</v>
      </c>
    </row>
    <row r="20" spans="2:19" x14ac:dyDescent="0.25">
      <c r="C20" s="4"/>
      <c r="D20" s="4"/>
      <c r="L20" s="5"/>
      <c r="M20" s="66"/>
      <c r="N20" s="66"/>
      <c r="O20" s="66"/>
      <c r="Q20" s="66"/>
      <c r="R20" s="66"/>
      <c r="S20" s="68"/>
    </row>
    <row r="21" spans="2:19" x14ac:dyDescent="0.25">
      <c r="C21" s="4"/>
      <c r="D21" s="4"/>
      <c r="L21" s="5"/>
      <c r="M21" s="66"/>
      <c r="N21" s="66"/>
      <c r="O21" s="66"/>
      <c r="Q21" s="66"/>
      <c r="R21" s="66"/>
      <c r="S21" s="68"/>
    </row>
    <row r="22" spans="2:19" x14ac:dyDescent="0.25">
      <c r="B22" s="8" t="s">
        <v>125</v>
      </c>
      <c r="C22" s="92"/>
      <c r="D22" s="92"/>
      <c r="L22" s="5"/>
      <c r="M22" s="66"/>
      <c r="N22" s="66"/>
      <c r="O22" s="66"/>
      <c r="Q22" s="66"/>
      <c r="R22" s="66"/>
      <c r="S22" s="68"/>
    </row>
    <row r="23" spans="2:19" ht="28.5" customHeight="1" x14ac:dyDescent="0.25">
      <c r="B23" s="341" t="s">
        <v>126</v>
      </c>
      <c r="C23" s="341"/>
      <c r="D23" s="341"/>
      <c r="E23" s="341"/>
      <c r="F23" s="341"/>
      <c r="G23" s="117"/>
      <c r="H23" s="117"/>
      <c r="I23" s="111"/>
      <c r="L23" s="5"/>
      <c r="M23" s="66"/>
      <c r="N23" s="66"/>
      <c r="O23" s="66"/>
      <c r="Q23" s="66"/>
      <c r="R23" s="66"/>
      <c r="S23" s="68"/>
    </row>
    <row r="24" spans="2:19" x14ac:dyDescent="0.25">
      <c r="C24" s="92"/>
      <c r="D24" s="92"/>
      <c r="L24" s="5"/>
      <c r="M24" s="66"/>
      <c r="N24" s="66"/>
      <c r="O24" s="66"/>
      <c r="Q24" s="66"/>
      <c r="R24" s="66"/>
      <c r="S24" s="68"/>
    </row>
    <row r="25" spans="2:19" ht="52.5" customHeight="1" x14ac:dyDescent="0.25">
      <c r="B25" s="341" t="s">
        <v>129</v>
      </c>
      <c r="C25" s="341"/>
      <c r="D25" s="341"/>
      <c r="E25" s="341"/>
      <c r="F25" s="341"/>
      <c r="G25" s="117"/>
      <c r="H25" s="117"/>
      <c r="I25" s="111"/>
      <c r="L25" s="5"/>
      <c r="M25" s="66"/>
      <c r="N25" s="66"/>
      <c r="O25" s="66"/>
      <c r="Q25" s="66"/>
      <c r="R25" s="66"/>
      <c r="S25" s="68"/>
    </row>
    <row r="26" spans="2:19" x14ac:dyDescent="0.25">
      <c r="B26" s="108"/>
      <c r="C26" s="108"/>
      <c r="D26" s="108"/>
      <c r="E26" s="108"/>
      <c r="F26" s="108"/>
      <c r="G26" s="117"/>
      <c r="H26" s="117"/>
      <c r="I26" s="111"/>
      <c r="L26" s="5"/>
      <c r="M26" s="66"/>
      <c r="N26" s="66"/>
      <c r="O26" s="66"/>
      <c r="Q26" s="66"/>
      <c r="R26" s="66"/>
      <c r="S26" s="68"/>
    </row>
    <row r="27" spans="2:19" ht="30" customHeight="1" x14ac:dyDescent="0.25">
      <c r="B27" s="341" t="s">
        <v>160</v>
      </c>
      <c r="C27" s="341"/>
      <c r="D27" s="341"/>
      <c r="E27" s="341"/>
      <c r="F27" s="341"/>
      <c r="G27" s="193"/>
      <c r="H27" s="193"/>
      <c r="I27" s="193"/>
      <c r="L27" s="5"/>
      <c r="M27" s="66"/>
      <c r="N27" s="66"/>
      <c r="O27" s="66"/>
      <c r="Q27" s="66"/>
      <c r="R27" s="66"/>
      <c r="S27" s="68"/>
    </row>
    <row r="28" spans="2:19" ht="15" customHeight="1" x14ac:dyDescent="0.25">
      <c r="B28" s="347" t="s">
        <v>159</v>
      </c>
      <c r="C28" s="341"/>
      <c r="D28" s="341"/>
      <c r="E28" s="341"/>
      <c r="F28" s="341"/>
      <c r="G28" s="193"/>
      <c r="H28" s="193"/>
      <c r="I28" s="193"/>
      <c r="L28" s="5"/>
      <c r="M28" s="66"/>
      <c r="N28" s="66"/>
      <c r="O28" s="66"/>
      <c r="Q28" s="66"/>
      <c r="R28" s="66"/>
      <c r="S28" s="68"/>
    </row>
    <row r="29" spans="2:19" ht="15" customHeight="1" x14ac:dyDescent="0.25">
      <c r="B29" s="195"/>
      <c r="C29" s="195"/>
      <c r="D29" s="195"/>
      <c r="E29" s="195"/>
      <c r="F29" s="195"/>
      <c r="G29" s="195"/>
      <c r="H29" s="195"/>
      <c r="I29" s="195"/>
      <c r="L29" s="5"/>
      <c r="M29" s="66"/>
      <c r="N29" s="66"/>
      <c r="O29" s="66"/>
      <c r="Q29" s="66"/>
      <c r="R29" s="66"/>
      <c r="S29" s="68"/>
    </row>
    <row r="30" spans="2:19" x14ac:dyDescent="0.25">
      <c r="B30" s="7" t="s">
        <v>109</v>
      </c>
      <c r="C30" s="101" t="s">
        <v>112</v>
      </c>
      <c r="D30" s="101" t="s">
        <v>113</v>
      </c>
      <c r="E30" s="108"/>
      <c r="F30" s="108"/>
      <c r="G30" s="117"/>
      <c r="H30" s="117"/>
      <c r="I30" s="111"/>
      <c r="L30" s="5"/>
      <c r="M30" s="66"/>
      <c r="N30" s="66"/>
      <c r="O30" s="66"/>
      <c r="Q30" s="66"/>
      <c r="R30" s="66"/>
      <c r="S30" s="68"/>
    </row>
    <row r="31" spans="2:19" hidden="1" x14ac:dyDescent="0.25">
      <c r="B31" s="2" t="s">
        <v>110</v>
      </c>
      <c r="C31" s="92" t="s">
        <v>180</v>
      </c>
      <c r="D31" s="92" t="s">
        <v>181</v>
      </c>
      <c r="L31" s="5"/>
      <c r="M31" s="66"/>
      <c r="N31" s="66"/>
      <c r="O31" s="66"/>
      <c r="Q31" s="66"/>
      <c r="R31" s="66"/>
      <c r="S31" s="68"/>
    </row>
    <row r="32" spans="2:19" x14ac:dyDescent="0.25">
      <c r="B32" s="2" t="s">
        <v>111</v>
      </c>
      <c r="C32" s="92" t="s">
        <v>300</v>
      </c>
      <c r="D32" s="92" t="s">
        <v>303</v>
      </c>
      <c r="L32" s="5"/>
      <c r="M32" s="66"/>
      <c r="N32" s="66"/>
      <c r="O32" s="66"/>
      <c r="Q32" s="66"/>
      <c r="R32" s="66"/>
      <c r="S32" s="68"/>
    </row>
    <row r="33" spans="2:20" x14ac:dyDescent="0.25">
      <c r="B33" s="2" t="s">
        <v>230</v>
      </c>
      <c r="C33" s="92" t="s">
        <v>135</v>
      </c>
      <c r="D33" s="92" t="s">
        <v>147</v>
      </c>
      <c r="L33" s="5"/>
      <c r="M33" s="66"/>
      <c r="N33" s="66"/>
      <c r="O33" s="66"/>
      <c r="Q33" s="66"/>
      <c r="R33" s="66"/>
      <c r="S33" s="68"/>
    </row>
    <row r="34" spans="2:20" x14ac:dyDescent="0.25">
      <c r="B34" s="2" t="s">
        <v>240</v>
      </c>
      <c r="C34" s="92" t="s">
        <v>135</v>
      </c>
      <c r="D34" s="92" t="s">
        <v>147</v>
      </c>
      <c r="L34" s="5"/>
      <c r="M34" s="66"/>
      <c r="N34" s="66"/>
      <c r="O34" s="66"/>
      <c r="Q34" s="66"/>
      <c r="R34" s="66"/>
      <c r="S34" s="68"/>
    </row>
    <row r="35" spans="2:20" x14ac:dyDescent="0.25">
      <c r="B35" s="2" t="s">
        <v>279</v>
      </c>
      <c r="C35" s="92" t="s">
        <v>135</v>
      </c>
      <c r="D35" s="92" t="s">
        <v>147</v>
      </c>
      <c r="L35" s="5"/>
      <c r="M35" s="66"/>
      <c r="N35" s="66"/>
      <c r="O35" s="66"/>
      <c r="Q35" s="66"/>
      <c r="R35" s="66"/>
      <c r="S35" s="68"/>
    </row>
    <row r="36" spans="2:20" x14ac:dyDescent="0.25">
      <c r="B36" s="2" t="s">
        <v>281</v>
      </c>
      <c r="C36" s="92" t="s">
        <v>135</v>
      </c>
      <c r="D36" s="92" t="s">
        <v>147</v>
      </c>
      <c r="L36" s="5"/>
      <c r="M36" s="66"/>
      <c r="N36" s="66"/>
      <c r="O36" s="66"/>
      <c r="Q36" s="66"/>
      <c r="R36" s="66"/>
      <c r="S36" s="68"/>
    </row>
    <row r="37" spans="2:20" x14ac:dyDescent="0.25">
      <c r="B37" s="2" t="s">
        <v>286</v>
      </c>
      <c r="C37" s="92" t="s">
        <v>135</v>
      </c>
      <c r="D37" s="92" t="s">
        <v>147</v>
      </c>
      <c r="L37" s="5"/>
      <c r="M37" s="66"/>
      <c r="N37" s="66"/>
      <c r="O37" s="66"/>
      <c r="Q37" s="66"/>
      <c r="R37" s="66"/>
      <c r="S37" s="68"/>
    </row>
    <row r="38" spans="2:20" x14ac:dyDescent="0.25">
      <c r="C38" s="92"/>
      <c r="D38" s="92"/>
      <c r="L38" s="5"/>
      <c r="M38" s="66"/>
      <c r="N38" s="66"/>
      <c r="O38" s="66"/>
      <c r="Q38" s="66"/>
      <c r="R38" s="66"/>
      <c r="S38" s="68"/>
    </row>
    <row r="39" spans="2:20" x14ac:dyDescent="0.25">
      <c r="B39" s="258" t="s">
        <v>298</v>
      </c>
      <c r="C39" s="92"/>
      <c r="D39" s="92"/>
      <c r="L39" s="5"/>
      <c r="M39" s="66"/>
      <c r="N39" s="66"/>
      <c r="O39" s="66"/>
      <c r="Q39" s="66"/>
      <c r="R39" s="66"/>
      <c r="S39" s="68"/>
    </row>
    <row r="40" spans="2:20" x14ac:dyDescent="0.25">
      <c r="B40" s="336" t="s">
        <v>299</v>
      </c>
      <c r="C40" s="336"/>
      <c r="D40" s="336"/>
      <c r="E40" s="336"/>
      <c r="F40" s="336"/>
      <c r="G40" s="336"/>
      <c r="H40" s="336"/>
      <c r="L40" s="5"/>
      <c r="M40" s="66"/>
      <c r="N40" s="66"/>
      <c r="O40" s="66"/>
      <c r="Q40" s="66"/>
      <c r="R40" s="66"/>
      <c r="S40" s="68"/>
    </row>
    <row r="41" spans="2:20" ht="15" customHeight="1" x14ac:dyDescent="0.25">
      <c r="B41" s="10"/>
      <c r="C41" s="10"/>
      <c r="D41" s="10"/>
      <c r="E41" s="10"/>
      <c r="F41" s="10"/>
      <c r="G41" s="10"/>
      <c r="H41" s="10"/>
      <c r="I41" s="10"/>
      <c r="J41" s="10"/>
      <c r="K41" s="10"/>
      <c r="L41" s="10"/>
      <c r="M41" s="10"/>
      <c r="N41" s="29"/>
      <c r="O41" s="29"/>
      <c r="P41" s="29"/>
      <c r="Q41" s="29"/>
      <c r="R41" s="29"/>
      <c r="S41" s="27"/>
    </row>
    <row r="42" spans="2:20" ht="15" customHeight="1" x14ac:dyDescent="0.25">
      <c r="N42" s="158"/>
      <c r="O42" s="158"/>
      <c r="P42" s="158"/>
      <c r="Q42" s="166" t="s">
        <v>90</v>
      </c>
      <c r="R42" s="163"/>
      <c r="S42" s="164"/>
      <c r="T42" s="51"/>
    </row>
    <row r="43" spans="2:20" ht="15" customHeight="1" x14ac:dyDescent="0.25">
      <c r="B43" s="17" t="s">
        <v>39</v>
      </c>
      <c r="C43" s="96" t="s">
        <v>2</v>
      </c>
      <c r="D43" s="96"/>
      <c r="E43" s="96" t="s">
        <v>34</v>
      </c>
      <c r="F43" s="96" t="s">
        <v>35</v>
      </c>
      <c r="G43" s="120"/>
      <c r="H43" s="120"/>
      <c r="I43" s="114"/>
      <c r="J43" s="96"/>
      <c r="K43" s="96"/>
      <c r="L43" s="96" t="s">
        <v>36</v>
      </c>
      <c r="M43" s="96" t="s">
        <v>37</v>
      </c>
      <c r="N43" s="10"/>
      <c r="O43" s="10"/>
      <c r="P43" s="10"/>
      <c r="Q43" s="54" t="s">
        <v>88</v>
      </c>
      <c r="R43" s="52"/>
      <c r="S43" s="53"/>
      <c r="T43" s="51"/>
    </row>
    <row r="44" spans="2:20" x14ac:dyDescent="0.25">
      <c r="B44" s="63"/>
      <c r="C44" s="9"/>
      <c r="D44" s="9"/>
      <c r="E44" s="9"/>
      <c r="F44" s="9"/>
      <c r="G44" s="9"/>
      <c r="H44" s="9"/>
      <c r="I44" s="9"/>
      <c r="J44" s="9"/>
      <c r="K44" s="9"/>
      <c r="L44" s="9"/>
      <c r="M44" s="9"/>
      <c r="Q44" s="59"/>
      <c r="R44" s="50"/>
      <c r="S44" s="50"/>
      <c r="T44" s="51"/>
    </row>
    <row r="45" spans="2:20" x14ac:dyDescent="0.25">
      <c r="B45" s="63"/>
      <c r="C45" s="148"/>
      <c r="D45" s="148"/>
      <c r="E45" s="148"/>
      <c r="F45" s="148"/>
      <c r="G45" s="148"/>
      <c r="H45" s="148"/>
      <c r="I45" s="148"/>
      <c r="J45" s="148"/>
      <c r="K45" s="148"/>
      <c r="L45" s="148"/>
      <c r="M45" s="148"/>
      <c r="Q45" s="59"/>
      <c r="R45" s="50"/>
      <c r="S45" s="50"/>
      <c r="T45" s="51"/>
    </row>
    <row r="46" spans="2:20" x14ac:dyDescent="0.25">
      <c r="B46" s="63"/>
      <c r="C46" s="9"/>
      <c r="D46" s="9"/>
      <c r="E46" s="9"/>
      <c r="F46" s="9"/>
      <c r="G46" s="9"/>
      <c r="H46" s="9"/>
      <c r="I46" s="9"/>
      <c r="J46" s="9"/>
      <c r="K46" s="9"/>
      <c r="L46" s="9"/>
      <c r="M46" s="9"/>
      <c r="R46" s="51"/>
      <c r="S46" s="51"/>
      <c r="T46" s="51"/>
    </row>
    <row r="47" spans="2:20" x14ac:dyDescent="0.25">
      <c r="B47" s="63"/>
      <c r="C47" s="148"/>
      <c r="D47" s="148"/>
      <c r="E47" s="148"/>
      <c r="F47" s="148"/>
      <c r="G47" s="148"/>
      <c r="H47" s="148"/>
      <c r="I47" s="148"/>
      <c r="J47" s="148"/>
      <c r="K47" s="148"/>
      <c r="L47" s="148"/>
      <c r="M47" s="148"/>
      <c r="R47" s="51"/>
      <c r="S47" s="51"/>
      <c r="T47" s="51"/>
    </row>
    <row r="48" spans="2:20" x14ac:dyDescent="0.25">
      <c r="B48" s="63"/>
      <c r="C48" s="148"/>
      <c r="D48" s="148"/>
      <c r="E48" s="148"/>
      <c r="F48" s="148"/>
      <c r="G48" s="148"/>
      <c r="H48" s="148"/>
      <c r="I48" s="148"/>
      <c r="J48" s="148"/>
      <c r="K48" s="148"/>
      <c r="L48" s="148"/>
      <c r="M48" s="148"/>
      <c r="R48" s="51"/>
      <c r="S48" s="51"/>
      <c r="T48" s="51"/>
    </row>
    <row r="49" spans="2:20" x14ac:dyDescent="0.25">
      <c r="B49" s="63"/>
      <c r="C49" s="148"/>
      <c r="D49" s="148"/>
      <c r="E49" s="148"/>
      <c r="F49" s="148"/>
      <c r="G49" s="148"/>
      <c r="H49" s="148"/>
      <c r="I49" s="148"/>
      <c r="J49" s="148"/>
      <c r="K49" s="148"/>
      <c r="L49" s="148"/>
      <c r="M49" s="148"/>
      <c r="R49" s="51"/>
      <c r="S49" s="51"/>
      <c r="T49" s="51"/>
    </row>
    <row r="50" spans="2:20" x14ac:dyDescent="0.25">
      <c r="B50" s="63"/>
      <c r="C50" s="148"/>
      <c r="D50" s="148"/>
      <c r="E50" s="148"/>
      <c r="F50" s="148"/>
      <c r="G50" s="148"/>
      <c r="H50" s="148"/>
      <c r="I50" s="148"/>
      <c r="J50" s="148"/>
      <c r="K50" s="148"/>
      <c r="L50" s="148"/>
      <c r="M50" s="148"/>
      <c r="R50" s="51"/>
      <c r="S50" s="51"/>
      <c r="T50" s="51"/>
    </row>
    <row r="51" spans="2:20" x14ac:dyDescent="0.25">
      <c r="B51" s="12"/>
      <c r="C51" s="13"/>
      <c r="D51" s="13"/>
      <c r="E51" s="41"/>
      <c r="F51" s="15"/>
      <c r="G51" s="15"/>
      <c r="H51" s="15"/>
      <c r="I51" s="15"/>
      <c r="J51" s="15"/>
      <c r="K51" s="15"/>
      <c r="L51" s="16"/>
      <c r="M51" s="20"/>
      <c r="N51" s="18"/>
      <c r="O51" s="18"/>
      <c r="P51" s="18"/>
      <c r="Q51" s="51"/>
      <c r="R51" s="51"/>
      <c r="S51" s="51"/>
    </row>
    <row r="52" spans="2:20" x14ac:dyDescent="0.25">
      <c r="B52" s="12"/>
      <c r="C52" s="13"/>
      <c r="D52" s="13"/>
      <c r="E52" s="41"/>
      <c r="F52" s="15"/>
      <c r="G52" s="15"/>
      <c r="H52" s="15"/>
      <c r="I52" s="15"/>
      <c r="J52" s="15"/>
      <c r="K52" s="15"/>
      <c r="L52" s="16"/>
      <c r="M52" s="20"/>
      <c r="N52" s="18"/>
      <c r="O52" s="18"/>
      <c r="P52" s="18"/>
      <c r="Q52" s="51"/>
      <c r="R52" s="51"/>
      <c r="S52" s="51"/>
    </row>
    <row r="53" spans="2:20" x14ac:dyDescent="0.25">
      <c r="B53" s="12"/>
      <c r="C53" s="13"/>
      <c r="D53" s="13"/>
      <c r="E53" s="41"/>
      <c r="F53" s="15"/>
      <c r="G53" s="15"/>
      <c r="H53" s="15"/>
      <c r="I53" s="15"/>
      <c r="J53" s="15"/>
      <c r="K53" s="15"/>
      <c r="L53" s="16"/>
      <c r="M53" s="20"/>
      <c r="N53" s="18"/>
      <c r="O53" s="18"/>
      <c r="P53" s="18"/>
      <c r="Q53" s="51"/>
      <c r="R53" s="51"/>
      <c r="S53" s="51"/>
    </row>
    <row r="54" spans="2:20" x14ac:dyDescent="0.25">
      <c r="B54" s="12"/>
      <c r="C54" s="13"/>
      <c r="D54" s="13"/>
      <c r="E54" s="41"/>
      <c r="F54" s="15"/>
      <c r="G54" s="15"/>
      <c r="H54" s="15"/>
      <c r="I54" s="15"/>
      <c r="J54" s="15"/>
      <c r="K54" s="15"/>
      <c r="L54" s="16"/>
      <c r="M54" s="20"/>
      <c r="N54" s="18"/>
      <c r="O54" s="18"/>
      <c r="P54" s="18"/>
    </row>
    <row r="55" spans="2:20" x14ac:dyDescent="0.25">
      <c r="B55" s="36"/>
      <c r="C55" s="40"/>
      <c r="D55" s="40"/>
      <c r="E55" s="41"/>
      <c r="F55" s="38"/>
      <c r="G55" s="38"/>
      <c r="H55" s="38"/>
      <c r="I55" s="38"/>
      <c r="J55" s="38"/>
      <c r="K55" s="38"/>
      <c r="L55" s="33"/>
      <c r="M55" s="31"/>
      <c r="N55" s="99"/>
      <c r="Q55" s="309" t="s">
        <v>316</v>
      </c>
      <c r="R55" s="309"/>
      <c r="S55" s="310">
        <f>S19</f>
        <v>16006.89</v>
      </c>
    </row>
    <row r="56" spans="2:20" ht="16.5" customHeight="1" x14ac:dyDescent="0.25">
      <c r="B56" s="36"/>
      <c r="C56" s="40"/>
      <c r="D56" s="40"/>
      <c r="E56" s="41"/>
      <c r="F56" s="38"/>
      <c r="G56" s="38"/>
      <c r="H56" s="38"/>
      <c r="I56" s="38"/>
      <c r="J56" s="38"/>
      <c r="K56" s="38"/>
      <c r="L56" s="39"/>
      <c r="M56" s="20"/>
      <c r="N56" s="99"/>
      <c r="O56" s="99"/>
      <c r="P56" s="29"/>
    </row>
    <row r="57" spans="2:20" ht="16.5" customHeight="1" x14ac:dyDescent="0.25"/>
    <row r="58" spans="2:20" ht="15" customHeight="1" x14ac:dyDescent="0.25">
      <c r="E58" s="21"/>
      <c r="F58" s="102"/>
      <c r="G58" s="102"/>
      <c r="H58" s="102"/>
      <c r="I58" s="102"/>
      <c r="J58" s="102"/>
      <c r="K58" s="102"/>
    </row>
    <row r="61" spans="2:20" ht="15" customHeight="1" x14ac:dyDescent="0.25"/>
  </sheetData>
  <mergeCells count="7">
    <mergeCell ref="B40:H40"/>
    <mergeCell ref="B28:F28"/>
    <mergeCell ref="Q2:S2"/>
    <mergeCell ref="Q1:S1"/>
    <mergeCell ref="B23:F23"/>
    <mergeCell ref="B25:F25"/>
    <mergeCell ref="B27:F27"/>
  </mergeCells>
  <hyperlinks>
    <hyperlink ref="B28" r:id="rId1"/>
  </hyperlinks>
  <printOptions horizontalCentered="1" gridLines="1"/>
  <pageMargins left="0" right="0" top="0.75" bottom="0.75" header="0.3" footer="0.3"/>
  <pageSetup scale="50" orientation="landscape" horizontalDpi="1200" verticalDpi="1200"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4"/>
  <sheetViews>
    <sheetView topLeftCell="C1" zoomScale="90" zoomScaleNormal="90" workbookViewId="0">
      <selection activeCell="Q9" sqref="Q9"/>
    </sheetView>
  </sheetViews>
  <sheetFormatPr defaultColWidth="9.140625" defaultRowHeight="15" x14ac:dyDescent="0.25"/>
  <cols>
    <col min="1" max="1" width="9.140625" style="2" hidden="1" customWidth="1"/>
    <col min="2" max="2" width="58" style="2" customWidth="1"/>
    <col min="3" max="3" width="28.28515625" style="2" customWidth="1"/>
    <col min="4" max="4" width="13.7109375" style="2" customWidth="1"/>
    <col min="5" max="5" width="18.42578125" style="2" customWidth="1"/>
    <col min="6" max="6" width="21.5703125" style="2" customWidth="1"/>
    <col min="7" max="7" width="10.28515625" style="2" customWidth="1"/>
    <col min="8" max="8" width="12.85546875" style="2" customWidth="1"/>
    <col min="9" max="9" width="13.42578125" style="2" customWidth="1"/>
    <col min="10" max="10" width="15.7109375" style="2" customWidth="1"/>
    <col min="11" max="11" width="8.85546875" style="2" customWidth="1"/>
    <col min="12" max="12" width="18"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6.7109375" style="2" customWidth="1"/>
    <col min="20" max="16384" width="9.140625" style="2"/>
  </cols>
  <sheetData>
    <row r="1" spans="1:20" ht="18" customHeight="1" x14ac:dyDescent="0.25">
      <c r="B1" s="1" t="s">
        <v>44</v>
      </c>
      <c r="Q1" s="338" t="s">
        <v>296</v>
      </c>
      <c r="R1" s="338"/>
      <c r="S1" s="338"/>
    </row>
    <row r="2" spans="1:20" ht="18" customHeight="1" x14ac:dyDescent="0.25">
      <c r="B2" s="88" t="s">
        <v>148</v>
      </c>
      <c r="C2" s="182">
        <v>44742</v>
      </c>
      <c r="M2" s="71"/>
      <c r="N2" s="71"/>
      <c r="P2" s="29"/>
      <c r="Q2" s="337" t="s">
        <v>375</v>
      </c>
      <c r="R2" s="337"/>
      <c r="S2" s="337"/>
    </row>
    <row r="3" spans="1:20" ht="18" customHeight="1" thickBot="1" x14ac:dyDescent="0.3">
      <c r="A3" s="2" t="s">
        <v>16</v>
      </c>
      <c r="B3" s="44" t="s">
        <v>73</v>
      </c>
      <c r="C3" s="8"/>
      <c r="D3" s="8"/>
      <c r="E3" s="8"/>
      <c r="P3" s="29"/>
      <c r="Q3" s="45"/>
      <c r="R3" s="30"/>
    </row>
    <row r="4" spans="1:20" ht="18.75" customHeight="1" x14ac:dyDescent="0.25">
      <c r="B4" s="8" t="s">
        <v>174</v>
      </c>
      <c r="M4" s="85" t="s">
        <v>28</v>
      </c>
      <c r="N4" s="85" t="s">
        <v>28</v>
      </c>
      <c r="O4" s="85" t="s">
        <v>28</v>
      </c>
      <c r="P4" s="9"/>
      <c r="Q4" s="89" t="s">
        <v>29</v>
      </c>
      <c r="R4" s="89" t="s">
        <v>31</v>
      </c>
      <c r="S4" s="89" t="s">
        <v>23</v>
      </c>
      <c r="T4" s="7"/>
    </row>
    <row r="5" spans="1:20" ht="15.75" thickBot="1" x14ac:dyDescent="0.3">
      <c r="G5" s="183" t="s">
        <v>295</v>
      </c>
      <c r="H5" s="183" t="s">
        <v>295</v>
      </c>
      <c r="M5" s="86" t="s">
        <v>27</v>
      </c>
      <c r="N5" s="86" t="s">
        <v>26</v>
      </c>
      <c r="O5" s="86" t="s">
        <v>25</v>
      </c>
      <c r="P5" s="9"/>
      <c r="Q5" s="90" t="s">
        <v>30</v>
      </c>
      <c r="R5" s="90" t="s">
        <v>30</v>
      </c>
      <c r="S5" s="90" t="s">
        <v>30</v>
      </c>
      <c r="T5" s="7"/>
    </row>
    <row r="6" spans="1:20" ht="85.5" customHeight="1" thickBot="1" x14ac:dyDescent="0.3">
      <c r="B6" s="84" t="s">
        <v>1</v>
      </c>
      <c r="C6" s="84" t="s">
        <v>389</v>
      </c>
      <c r="D6" s="84" t="s">
        <v>107</v>
      </c>
      <c r="E6" s="84" t="s">
        <v>3</v>
      </c>
      <c r="F6" s="84" t="s">
        <v>4</v>
      </c>
      <c r="G6" s="107" t="s">
        <v>136</v>
      </c>
      <c r="H6" s="107" t="s">
        <v>137</v>
      </c>
      <c r="I6" s="107" t="s">
        <v>133</v>
      </c>
      <c r="J6" s="107" t="s">
        <v>134</v>
      </c>
      <c r="K6" s="107" t="s">
        <v>121</v>
      </c>
      <c r="L6" s="83" t="s">
        <v>5</v>
      </c>
      <c r="M6" s="87" t="s">
        <v>6</v>
      </c>
      <c r="N6" s="87" t="s">
        <v>6</v>
      </c>
      <c r="O6" s="87" t="s">
        <v>6</v>
      </c>
      <c r="P6" s="9"/>
      <c r="Q6" s="91"/>
      <c r="R6" s="97" t="s">
        <v>32</v>
      </c>
      <c r="S6" s="98" t="s">
        <v>33</v>
      </c>
    </row>
    <row r="7" spans="1:20" ht="28.5" customHeight="1" x14ac:dyDescent="0.25">
      <c r="B7" s="2" t="s">
        <v>8</v>
      </c>
      <c r="C7" s="92" t="s">
        <v>106</v>
      </c>
      <c r="D7" s="92" t="s">
        <v>306</v>
      </c>
      <c r="E7" s="2" t="s">
        <v>307</v>
      </c>
      <c r="F7" s="2" t="s">
        <v>7</v>
      </c>
      <c r="G7" s="186">
        <v>2.63E-2</v>
      </c>
      <c r="H7" s="186">
        <v>0.1845</v>
      </c>
      <c r="I7" s="187">
        <v>44742</v>
      </c>
      <c r="J7" s="187">
        <v>44743</v>
      </c>
      <c r="K7" s="187">
        <v>44378</v>
      </c>
      <c r="L7" s="188" t="s">
        <v>297</v>
      </c>
      <c r="M7" s="70">
        <v>4245.5</v>
      </c>
      <c r="N7" s="70"/>
      <c r="O7" s="67">
        <f>M7+N7</f>
        <v>4245.5</v>
      </c>
      <c r="P7" s="42"/>
      <c r="Q7" s="43">
        <v>3549.58</v>
      </c>
      <c r="R7" s="67"/>
      <c r="S7" s="68">
        <f>Q7+R7</f>
        <v>3549.58</v>
      </c>
    </row>
    <row r="8" spans="1:20" ht="30.75" customHeight="1" x14ac:dyDescent="0.25">
      <c r="B8" s="2" t="s">
        <v>128</v>
      </c>
      <c r="C8" s="236" t="s">
        <v>122</v>
      </c>
      <c r="D8" s="93" t="s">
        <v>310</v>
      </c>
      <c r="E8" s="2" t="s">
        <v>309</v>
      </c>
      <c r="F8" s="2" t="s">
        <v>7</v>
      </c>
      <c r="G8" s="186">
        <v>2.63E-2</v>
      </c>
      <c r="H8" s="186">
        <v>0.1845</v>
      </c>
      <c r="I8" s="187">
        <f>+I7</f>
        <v>44742</v>
      </c>
      <c r="J8" s="187">
        <f>+J7</f>
        <v>44743</v>
      </c>
      <c r="K8" s="187">
        <f>+K7</f>
        <v>44378</v>
      </c>
      <c r="L8" s="204" t="str">
        <f t="shared" ref="L8" si="0">+L7</f>
        <v>07/01/21 - 06/30/22</v>
      </c>
      <c r="M8" s="70">
        <v>21699.61</v>
      </c>
      <c r="N8" s="70">
        <f>10176.41+23098.98</f>
        <v>33275.39</v>
      </c>
      <c r="O8" s="67">
        <f>M8+N8</f>
        <v>54975</v>
      </c>
      <c r="P8" s="42"/>
      <c r="Q8" s="43">
        <f>15354.04+6345.57+10176.41+23098.98</f>
        <v>54975</v>
      </c>
      <c r="R8" s="67"/>
      <c r="S8" s="68">
        <f>Q8+R8</f>
        <v>54975</v>
      </c>
    </row>
    <row r="9" spans="1:20" ht="33.6" customHeight="1" x14ac:dyDescent="0.25">
      <c r="B9" s="2" t="s">
        <v>223</v>
      </c>
      <c r="C9" s="236" t="s">
        <v>333</v>
      </c>
      <c r="D9" s="93" t="s">
        <v>224</v>
      </c>
      <c r="E9" s="2" t="s">
        <v>225</v>
      </c>
      <c r="F9" s="2" t="s">
        <v>7</v>
      </c>
      <c r="G9" s="186">
        <v>2.63E-2</v>
      </c>
      <c r="H9" s="186">
        <v>0.1845</v>
      </c>
      <c r="I9" s="187">
        <v>44834</v>
      </c>
      <c r="J9" s="187">
        <v>44849</v>
      </c>
      <c r="K9" s="187">
        <v>43614</v>
      </c>
      <c r="L9" s="188" t="s">
        <v>274</v>
      </c>
      <c r="M9" s="70">
        <v>7595.2</v>
      </c>
      <c r="N9" s="70"/>
      <c r="O9" s="67">
        <f>M9+N9</f>
        <v>7595.2</v>
      </c>
      <c r="P9" s="42"/>
      <c r="Q9" s="43"/>
      <c r="R9" s="67"/>
      <c r="S9" s="68">
        <f>Q9+R9</f>
        <v>0</v>
      </c>
    </row>
    <row r="10" spans="1:20" ht="33.6" customHeight="1" x14ac:dyDescent="0.25">
      <c r="B10" s="2" t="s">
        <v>241</v>
      </c>
      <c r="C10" s="236" t="s">
        <v>242</v>
      </c>
      <c r="D10" s="93" t="s">
        <v>164</v>
      </c>
      <c r="E10" s="2" t="s">
        <v>245</v>
      </c>
      <c r="F10" s="2" t="s">
        <v>7</v>
      </c>
      <c r="G10" s="186">
        <v>2.63E-2</v>
      </c>
      <c r="H10" s="186">
        <v>0.1845</v>
      </c>
      <c r="I10" s="187">
        <v>44393</v>
      </c>
      <c r="J10" s="187">
        <v>44408</v>
      </c>
      <c r="K10" s="187">
        <v>42644</v>
      </c>
      <c r="L10" s="188" t="s">
        <v>273</v>
      </c>
      <c r="M10" s="79">
        <v>37499</v>
      </c>
      <c r="N10" s="67"/>
      <c r="O10" s="67">
        <f>M10+N10</f>
        <v>37499</v>
      </c>
      <c r="P10" s="67"/>
      <c r="Q10" s="67">
        <v>1223.24</v>
      </c>
      <c r="R10" s="67"/>
      <c r="S10" s="68">
        <f>Q10+R10</f>
        <v>1223.24</v>
      </c>
    </row>
    <row r="11" spans="1:20" ht="33.6" customHeight="1" x14ac:dyDescent="0.25">
      <c r="B11" s="2" t="s">
        <v>279</v>
      </c>
      <c r="C11" s="236" t="s">
        <v>333</v>
      </c>
      <c r="D11" s="93" t="s">
        <v>224</v>
      </c>
      <c r="E11" s="2" t="s">
        <v>280</v>
      </c>
      <c r="F11" s="2" t="s">
        <v>7</v>
      </c>
      <c r="G11" s="186">
        <v>2.63E-2</v>
      </c>
      <c r="H11" s="186">
        <v>0.1845</v>
      </c>
      <c r="I11" s="187">
        <v>44592</v>
      </c>
      <c r="J11" s="187">
        <v>44592</v>
      </c>
      <c r="K11" s="187">
        <v>43980</v>
      </c>
      <c r="L11" s="188" t="s">
        <v>332</v>
      </c>
      <c r="M11" s="79">
        <v>3000</v>
      </c>
      <c r="N11" s="67"/>
      <c r="O11" s="67">
        <f t="shared" ref="O11:O18" si="1">M11+N11</f>
        <v>3000</v>
      </c>
      <c r="P11" s="66"/>
      <c r="Q11" s="67"/>
      <c r="R11" s="67"/>
      <c r="S11" s="68">
        <f t="shared" ref="S11:S18" si="2">Q11+R11</f>
        <v>0</v>
      </c>
    </row>
    <row r="12" spans="1:20" ht="33.6" customHeight="1" x14ac:dyDescent="0.25">
      <c r="B12" s="2" t="s">
        <v>281</v>
      </c>
      <c r="C12" s="236" t="s">
        <v>334</v>
      </c>
      <c r="D12" s="93" t="s">
        <v>231</v>
      </c>
      <c r="E12" s="2" t="s">
        <v>282</v>
      </c>
      <c r="F12" s="2" t="s">
        <v>7</v>
      </c>
      <c r="G12" s="186">
        <v>2.63E-2</v>
      </c>
      <c r="H12" s="186">
        <v>0.1845</v>
      </c>
      <c r="I12" s="187">
        <v>44742</v>
      </c>
      <c r="J12" s="187">
        <v>44757</v>
      </c>
      <c r="K12" s="187">
        <v>43979</v>
      </c>
      <c r="L12" s="188" t="s">
        <v>283</v>
      </c>
      <c r="M12" s="79">
        <v>1027</v>
      </c>
      <c r="N12" s="67"/>
      <c r="O12" s="67">
        <f t="shared" si="1"/>
        <v>1027</v>
      </c>
      <c r="P12" s="66"/>
      <c r="Q12" s="67"/>
      <c r="R12" s="67"/>
      <c r="S12" s="68">
        <f t="shared" si="2"/>
        <v>0</v>
      </c>
    </row>
    <row r="13" spans="1:20" ht="33.6" customHeight="1" x14ac:dyDescent="0.25">
      <c r="B13" s="2" t="s">
        <v>321</v>
      </c>
      <c r="C13" s="236" t="s">
        <v>333</v>
      </c>
      <c r="D13" s="93" t="s">
        <v>288</v>
      </c>
      <c r="E13" s="2" t="s">
        <v>322</v>
      </c>
      <c r="F13" s="2" t="s">
        <v>7</v>
      </c>
      <c r="G13" s="186">
        <f>G12:H12</f>
        <v>2.63E-2</v>
      </c>
      <c r="H13" s="186">
        <f>H12</f>
        <v>0.1845</v>
      </c>
      <c r="I13" s="187">
        <v>45199</v>
      </c>
      <c r="J13" s="187">
        <v>45214</v>
      </c>
      <c r="K13" s="187">
        <v>44201</v>
      </c>
      <c r="L13" s="188" t="s">
        <v>323</v>
      </c>
      <c r="M13" s="79">
        <v>6708.63</v>
      </c>
      <c r="N13" s="67"/>
      <c r="O13" s="67">
        <f t="shared" si="1"/>
        <v>6708.63</v>
      </c>
      <c r="P13" s="66"/>
      <c r="Q13" s="67"/>
      <c r="R13" s="67"/>
      <c r="S13" s="68">
        <f t="shared" si="2"/>
        <v>0</v>
      </c>
    </row>
    <row r="14" spans="1:20" ht="33.6" customHeight="1" x14ac:dyDescent="0.25">
      <c r="B14" s="2" t="s">
        <v>326</v>
      </c>
      <c r="C14" s="236" t="s">
        <v>333</v>
      </c>
      <c r="D14" s="93" t="s">
        <v>288</v>
      </c>
      <c r="E14" s="2" t="s">
        <v>330</v>
      </c>
      <c r="F14" s="2" t="s">
        <v>7</v>
      </c>
      <c r="G14" s="186">
        <f t="shared" ref="G14:G15" si="3">G13:H13</f>
        <v>2.63E-2</v>
      </c>
      <c r="H14" s="186">
        <f t="shared" ref="H14:H15" si="4">H13</f>
        <v>0.1845</v>
      </c>
      <c r="I14" s="187">
        <v>45199</v>
      </c>
      <c r="J14" s="187">
        <v>45214</v>
      </c>
      <c r="K14" s="187">
        <v>44201</v>
      </c>
      <c r="L14" s="188" t="s">
        <v>323</v>
      </c>
      <c r="M14" s="79">
        <v>1761.02</v>
      </c>
      <c r="N14" s="67"/>
      <c r="O14" s="67">
        <f t="shared" si="1"/>
        <v>1761.02</v>
      </c>
      <c r="P14" s="66"/>
      <c r="Q14" s="67"/>
      <c r="R14" s="67"/>
      <c r="S14" s="68">
        <f t="shared" si="2"/>
        <v>0</v>
      </c>
    </row>
    <row r="15" spans="1:20" ht="33.6" customHeight="1" x14ac:dyDescent="0.25">
      <c r="B15" s="2" t="s">
        <v>370</v>
      </c>
      <c r="C15" s="236" t="s">
        <v>333</v>
      </c>
      <c r="D15" s="93" t="s">
        <v>288</v>
      </c>
      <c r="E15" s="2" t="s">
        <v>331</v>
      </c>
      <c r="F15" s="2" t="s">
        <v>7</v>
      </c>
      <c r="G15" s="186">
        <f t="shared" si="3"/>
        <v>2.63E-2</v>
      </c>
      <c r="H15" s="186">
        <f t="shared" si="4"/>
        <v>0.1845</v>
      </c>
      <c r="I15" s="187">
        <v>45199</v>
      </c>
      <c r="J15" s="187">
        <v>45214</v>
      </c>
      <c r="K15" s="187">
        <v>44201</v>
      </c>
      <c r="L15" s="188" t="s">
        <v>325</v>
      </c>
      <c r="M15" s="79">
        <v>8335.4699999999993</v>
      </c>
      <c r="N15" s="67"/>
      <c r="O15" s="67">
        <f t="shared" si="1"/>
        <v>8335.4699999999993</v>
      </c>
      <c r="P15" s="66"/>
      <c r="Q15" s="67"/>
      <c r="R15" s="67"/>
      <c r="S15" s="68">
        <f t="shared" si="2"/>
        <v>0</v>
      </c>
    </row>
    <row r="16" spans="1:20" ht="33.6" customHeight="1" x14ac:dyDescent="0.25">
      <c r="B16" s="2" t="s">
        <v>287</v>
      </c>
      <c r="C16" s="236" t="s">
        <v>333</v>
      </c>
      <c r="D16" s="93" t="s">
        <v>288</v>
      </c>
      <c r="E16" s="2" t="s">
        <v>289</v>
      </c>
      <c r="F16" s="2" t="s">
        <v>7</v>
      </c>
      <c r="G16" s="186">
        <v>2.63E-2</v>
      </c>
      <c r="H16" s="186">
        <v>0.1845</v>
      </c>
      <c r="I16" s="187">
        <v>45199</v>
      </c>
      <c r="J16" s="187">
        <v>45199</v>
      </c>
      <c r="K16" s="187">
        <v>44201</v>
      </c>
      <c r="L16" s="188" t="s">
        <v>320</v>
      </c>
      <c r="M16" s="79">
        <v>15429.85</v>
      </c>
      <c r="N16" s="67"/>
      <c r="O16" s="67">
        <f t="shared" si="1"/>
        <v>15429.85</v>
      </c>
      <c r="P16" s="66"/>
      <c r="Q16" s="67"/>
      <c r="R16" s="67"/>
      <c r="S16" s="68">
        <f t="shared" si="2"/>
        <v>0</v>
      </c>
    </row>
    <row r="17" spans="2:19" ht="33.6" customHeight="1" x14ac:dyDescent="0.25">
      <c r="B17" s="2" t="s">
        <v>352</v>
      </c>
      <c r="C17" s="236" t="s">
        <v>353</v>
      </c>
      <c r="D17" s="93" t="s">
        <v>354</v>
      </c>
      <c r="E17" s="2" t="s">
        <v>355</v>
      </c>
      <c r="F17" s="2" t="s">
        <v>7</v>
      </c>
      <c r="G17" s="186">
        <v>2.63E-2</v>
      </c>
      <c r="H17" s="186">
        <v>0.1845</v>
      </c>
      <c r="I17" s="187">
        <v>45565</v>
      </c>
      <c r="J17" s="187">
        <v>45580</v>
      </c>
      <c r="K17" s="187">
        <v>44279</v>
      </c>
      <c r="L17" s="188" t="s">
        <v>356</v>
      </c>
      <c r="M17" s="79">
        <v>60328.63</v>
      </c>
      <c r="N17" s="67"/>
      <c r="O17" s="67">
        <f t="shared" si="1"/>
        <v>60328.63</v>
      </c>
      <c r="P17" s="66"/>
      <c r="Q17" s="67"/>
      <c r="R17" s="67"/>
      <c r="S17" s="68">
        <f t="shared" si="2"/>
        <v>0</v>
      </c>
    </row>
    <row r="18" spans="2:19" ht="33.6" customHeight="1" x14ac:dyDescent="0.25">
      <c r="B18" s="2" t="s">
        <v>357</v>
      </c>
      <c r="C18" s="236" t="s">
        <v>353</v>
      </c>
      <c r="D18" s="93" t="s">
        <v>354</v>
      </c>
      <c r="E18" s="2" t="s">
        <v>358</v>
      </c>
      <c r="F18" s="2" t="s">
        <v>7</v>
      </c>
      <c r="G18" s="186">
        <v>2.63E-2</v>
      </c>
      <c r="H18" s="186">
        <v>0.1845</v>
      </c>
      <c r="I18" s="187">
        <v>45565</v>
      </c>
      <c r="J18" s="187">
        <v>45580</v>
      </c>
      <c r="K18" s="187">
        <v>44279</v>
      </c>
      <c r="L18" s="188" t="s">
        <v>356</v>
      </c>
      <c r="M18" s="79">
        <v>15082.16</v>
      </c>
      <c r="N18" s="67"/>
      <c r="O18" s="67">
        <f t="shared" si="1"/>
        <v>15082.16</v>
      </c>
      <c r="P18" s="66"/>
      <c r="Q18" s="67"/>
      <c r="R18" s="67"/>
      <c r="S18" s="68">
        <f t="shared" si="2"/>
        <v>0</v>
      </c>
    </row>
    <row r="19" spans="2:19" x14ac:dyDescent="0.25">
      <c r="C19" s="93"/>
      <c r="D19" s="93"/>
      <c r="G19" s="202"/>
      <c r="H19" s="186"/>
      <c r="I19" s="187"/>
      <c r="J19" s="187"/>
      <c r="K19" s="187"/>
      <c r="L19" s="188"/>
      <c r="M19" s="25"/>
      <c r="N19" s="25"/>
      <c r="O19" s="25"/>
      <c r="P19" s="29"/>
      <c r="Q19" s="25"/>
      <c r="R19" s="25"/>
      <c r="S19" s="26"/>
    </row>
    <row r="20" spans="2:19" ht="20.25" customHeight="1" x14ac:dyDescent="0.25">
      <c r="C20" s="92"/>
      <c r="D20" s="92"/>
      <c r="I20" s="116"/>
      <c r="J20" s="116"/>
      <c r="K20" s="116"/>
      <c r="L20" s="5" t="s">
        <v>38</v>
      </c>
      <c r="M20" s="66">
        <f>SUM(M7:M19)</f>
        <v>182712.07</v>
      </c>
      <c r="N20" s="66">
        <f>SUM(N7:N19)</f>
        <v>33275.39</v>
      </c>
      <c r="O20" s="66">
        <f>SUM(O7:O19)</f>
        <v>215987.46000000002</v>
      </c>
      <c r="Q20" s="66">
        <f>SUM(Q7:Q19)</f>
        <v>59747.82</v>
      </c>
      <c r="R20" s="66">
        <f>SUM(R7:R19)</f>
        <v>0</v>
      </c>
      <c r="S20" s="68">
        <f>SUM(S7:S19)</f>
        <v>59747.82</v>
      </c>
    </row>
    <row r="21" spans="2:19" x14ac:dyDescent="0.25">
      <c r="C21" s="92"/>
      <c r="D21" s="92"/>
      <c r="L21" s="5"/>
      <c r="M21" s="66"/>
      <c r="N21" s="66"/>
      <c r="O21" s="66"/>
      <c r="Q21" s="66"/>
      <c r="R21" s="66"/>
      <c r="S21" s="68"/>
    </row>
    <row r="22" spans="2:19" x14ac:dyDescent="0.25">
      <c r="C22" s="92"/>
      <c r="D22" s="92"/>
      <c r="L22" s="5"/>
      <c r="M22" s="66"/>
      <c r="N22" s="66"/>
      <c r="O22" s="66"/>
      <c r="Q22" s="66"/>
      <c r="R22" s="66"/>
      <c r="S22" s="68"/>
    </row>
    <row r="23" spans="2:19" x14ac:dyDescent="0.25">
      <c r="B23" s="8" t="s">
        <v>125</v>
      </c>
      <c r="C23" s="92"/>
      <c r="D23" s="92"/>
      <c r="L23" s="5"/>
      <c r="M23" s="66"/>
      <c r="N23" s="66"/>
      <c r="O23" s="66"/>
      <c r="Q23" s="66"/>
      <c r="R23" s="66"/>
      <c r="S23" s="68"/>
    </row>
    <row r="24" spans="2:19" ht="30" customHeight="1" x14ac:dyDescent="0.25">
      <c r="B24" s="341" t="s">
        <v>126</v>
      </c>
      <c r="C24" s="341"/>
      <c r="D24" s="341"/>
      <c r="E24" s="341"/>
      <c r="F24" s="341"/>
      <c r="G24" s="117"/>
      <c r="H24" s="117"/>
      <c r="I24" s="111"/>
      <c r="L24" s="5"/>
      <c r="M24" s="66"/>
      <c r="N24" s="66"/>
      <c r="O24" s="66"/>
      <c r="Q24" s="66"/>
      <c r="R24" s="66"/>
      <c r="S24" s="68"/>
    </row>
    <row r="25" spans="2:19" x14ac:dyDescent="0.25">
      <c r="C25" s="92"/>
      <c r="D25" s="92"/>
      <c r="L25" s="5"/>
      <c r="M25" s="66"/>
      <c r="N25" s="66"/>
      <c r="O25" s="66"/>
      <c r="Q25" s="66"/>
      <c r="R25" s="66"/>
      <c r="S25" s="68"/>
    </row>
    <row r="26" spans="2:19" ht="46.5" customHeight="1" x14ac:dyDescent="0.25">
      <c r="B26" s="341" t="s">
        <v>129</v>
      </c>
      <c r="C26" s="341"/>
      <c r="D26" s="341"/>
      <c r="E26" s="341"/>
      <c r="F26" s="341"/>
      <c r="G26" s="117"/>
      <c r="H26" s="117"/>
      <c r="I26" s="111"/>
      <c r="L26" s="5"/>
      <c r="M26" s="66"/>
      <c r="N26" s="66"/>
      <c r="O26" s="66"/>
      <c r="Q26" s="66"/>
      <c r="R26" s="66"/>
      <c r="S26" s="68"/>
    </row>
    <row r="27" spans="2:19" x14ac:dyDescent="0.25">
      <c r="B27" s="108"/>
      <c r="C27" s="108"/>
      <c r="D27" s="108"/>
      <c r="E27" s="108"/>
      <c r="F27" s="108"/>
      <c r="G27" s="117"/>
      <c r="H27" s="117"/>
      <c r="I27" s="111"/>
      <c r="L27" s="5"/>
      <c r="M27" s="66"/>
      <c r="N27" s="66"/>
      <c r="O27" s="66"/>
      <c r="Q27" s="66"/>
      <c r="R27" s="66"/>
      <c r="S27" s="68"/>
    </row>
    <row r="28" spans="2:19" ht="30" customHeight="1" x14ac:dyDescent="0.25">
      <c r="B28" s="341" t="s">
        <v>160</v>
      </c>
      <c r="C28" s="341"/>
      <c r="D28" s="341"/>
      <c r="E28" s="341"/>
      <c r="F28" s="341"/>
      <c r="G28" s="193"/>
      <c r="H28" s="193"/>
      <c r="I28" s="193"/>
      <c r="L28" s="5"/>
      <c r="M28" s="66"/>
      <c r="N28" s="66"/>
      <c r="O28" s="66"/>
      <c r="Q28" s="66"/>
      <c r="R28" s="66"/>
      <c r="S28" s="68"/>
    </row>
    <row r="29" spans="2:19" ht="15" customHeight="1" x14ac:dyDescent="0.25">
      <c r="B29" s="347" t="s">
        <v>159</v>
      </c>
      <c r="C29" s="341"/>
      <c r="D29" s="341"/>
      <c r="E29" s="341"/>
      <c r="F29" s="341"/>
      <c r="G29" s="193"/>
      <c r="H29" s="193"/>
      <c r="I29" s="193"/>
      <c r="L29" s="5"/>
      <c r="M29" s="66"/>
      <c r="N29" s="66"/>
      <c r="O29" s="66"/>
      <c r="Q29" s="66"/>
      <c r="R29" s="66"/>
      <c r="S29" s="68"/>
    </row>
    <row r="30" spans="2:19" ht="15" customHeight="1" x14ac:dyDescent="0.25">
      <c r="B30" s="195"/>
      <c r="C30" s="195"/>
      <c r="D30" s="195"/>
      <c r="E30" s="195"/>
      <c r="F30" s="195"/>
      <c r="G30" s="195"/>
      <c r="H30" s="195"/>
      <c r="I30" s="195"/>
      <c r="L30" s="5"/>
      <c r="M30" s="66"/>
      <c r="N30" s="66"/>
      <c r="O30" s="66"/>
      <c r="Q30" s="66"/>
      <c r="R30" s="66"/>
      <c r="S30" s="68"/>
    </row>
    <row r="31" spans="2:19" x14ac:dyDescent="0.25">
      <c r="B31" s="7" t="s">
        <v>109</v>
      </c>
      <c r="C31" s="101" t="s">
        <v>112</v>
      </c>
      <c r="D31" s="101" t="s">
        <v>113</v>
      </c>
      <c r="E31" s="108"/>
      <c r="F31" s="108"/>
      <c r="G31" s="117"/>
      <c r="H31" s="117"/>
      <c r="I31" s="111"/>
      <c r="L31" s="5"/>
      <c r="M31" s="66"/>
      <c r="N31" s="66"/>
      <c r="O31" s="66"/>
      <c r="Q31" s="66"/>
      <c r="R31" s="66"/>
      <c r="S31" s="68"/>
    </row>
    <row r="32" spans="2:19" x14ac:dyDescent="0.25">
      <c r="B32" s="2" t="s">
        <v>110</v>
      </c>
      <c r="C32" s="92" t="s">
        <v>327</v>
      </c>
      <c r="D32" s="92" t="s">
        <v>118</v>
      </c>
      <c r="L32" s="5"/>
      <c r="M32" s="66"/>
      <c r="N32" s="66"/>
      <c r="O32" s="66"/>
      <c r="Q32" s="66"/>
      <c r="R32" s="66"/>
      <c r="S32" s="68"/>
    </row>
    <row r="33" spans="2:20" x14ac:dyDescent="0.25">
      <c r="B33" s="2" t="s">
        <v>111</v>
      </c>
      <c r="C33" s="92" t="s">
        <v>300</v>
      </c>
      <c r="D33" s="92" t="s">
        <v>303</v>
      </c>
      <c r="L33" s="5"/>
      <c r="M33" s="66"/>
      <c r="N33" s="66"/>
      <c r="O33" s="66"/>
      <c r="Q33" s="66"/>
      <c r="R33" s="66"/>
      <c r="S33" s="68"/>
    </row>
    <row r="34" spans="2:20" x14ac:dyDescent="0.25">
      <c r="B34" s="2" t="s">
        <v>230</v>
      </c>
      <c r="C34" s="92" t="s">
        <v>135</v>
      </c>
      <c r="D34" s="92" t="s">
        <v>147</v>
      </c>
      <c r="L34" s="5"/>
      <c r="M34" s="66"/>
      <c r="N34" s="66"/>
      <c r="O34" s="66"/>
      <c r="Q34" s="66"/>
      <c r="R34" s="66"/>
      <c r="S34" s="68"/>
    </row>
    <row r="35" spans="2:20" x14ac:dyDescent="0.25">
      <c r="B35" s="2" t="s">
        <v>240</v>
      </c>
      <c r="C35" s="92" t="s">
        <v>135</v>
      </c>
      <c r="D35" s="92" t="s">
        <v>147</v>
      </c>
      <c r="L35" s="5"/>
      <c r="M35" s="66"/>
      <c r="N35" s="66"/>
      <c r="O35" s="66"/>
      <c r="Q35" s="66"/>
      <c r="R35" s="66"/>
      <c r="S35" s="68"/>
    </row>
    <row r="36" spans="2:20" x14ac:dyDescent="0.25">
      <c r="B36" s="2" t="s">
        <v>279</v>
      </c>
      <c r="C36" s="92" t="s">
        <v>135</v>
      </c>
      <c r="D36" s="92" t="s">
        <v>147</v>
      </c>
      <c r="L36" s="5"/>
      <c r="M36" s="66"/>
      <c r="N36" s="66"/>
      <c r="O36" s="66"/>
      <c r="Q36" s="66"/>
      <c r="R36" s="66"/>
      <c r="S36" s="68"/>
    </row>
    <row r="37" spans="2:20" x14ac:dyDescent="0.25">
      <c r="B37" s="2" t="s">
        <v>281</v>
      </c>
      <c r="C37" s="92" t="s">
        <v>135</v>
      </c>
      <c r="D37" s="92" t="s">
        <v>147</v>
      </c>
      <c r="L37" s="5"/>
      <c r="M37" s="66"/>
      <c r="N37" s="66"/>
      <c r="O37" s="66"/>
      <c r="Q37" s="66"/>
      <c r="R37" s="66"/>
      <c r="S37" s="68"/>
    </row>
    <row r="38" spans="2:20" x14ac:dyDescent="0.25">
      <c r="B38" s="2" t="s">
        <v>286</v>
      </c>
      <c r="C38" s="92" t="s">
        <v>135</v>
      </c>
      <c r="D38" s="92" t="s">
        <v>147</v>
      </c>
      <c r="L38" s="5"/>
      <c r="M38" s="66"/>
      <c r="N38" s="66"/>
      <c r="O38" s="66"/>
      <c r="Q38" s="66"/>
      <c r="R38" s="66"/>
      <c r="S38" s="68"/>
    </row>
    <row r="39" spans="2:20" ht="15.75" x14ac:dyDescent="0.25">
      <c r="B39" s="196"/>
      <c r="C39" s="92"/>
      <c r="D39" s="92"/>
      <c r="L39" s="5"/>
      <c r="M39" s="66"/>
      <c r="N39" s="66"/>
      <c r="O39" s="66"/>
      <c r="Q39" s="66"/>
      <c r="R39" s="66"/>
      <c r="S39" s="68"/>
    </row>
    <row r="40" spans="2:20" x14ac:dyDescent="0.25">
      <c r="B40" s="348" t="s">
        <v>298</v>
      </c>
      <c r="C40" s="336"/>
      <c r="D40" s="336"/>
      <c r="E40" s="336"/>
      <c r="F40" s="336"/>
      <c r="G40" s="336"/>
      <c r="H40" s="336"/>
      <c r="L40" s="5"/>
      <c r="M40" s="66"/>
      <c r="N40" s="66"/>
      <c r="O40" s="66"/>
      <c r="Q40" s="66"/>
      <c r="R40" s="66"/>
      <c r="S40" s="68"/>
    </row>
    <row r="41" spans="2:20" x14ac:dyDescent="0.25">
      <c r="B41" s="242" t="s">
        <v>299</v>
      </c>
      <c r="C41" s="92"/>
      <c r="D41" s="92"/>
      <c r="L41" s="5"/>
      <c r="M41" s="66"/>
      <c r="N41" s="66"/>
      <c r="O41" s="66"/>
      <c r="Q41" s="66"/>
      <c r="R41" s="66"/>
      <c r="S41" s="68"/>
    </row>
    <row r="42" spans="2:20" x14ac:dyDescent="0.25">
      <c r="B42" s="10"/>
      <c r="C42" s="94"/>
      <c r="D42" s="94"/>
      <c r="E42" s="10"/>
      <c r="F42" s="10"/>
      <c r="G42" s="10"/>
      <c r="H42" s="10"/>
      <c r="I42" s="10"/>
      <c r="J42" s="10"/>
      <c r="K42" s="10"/>
      <c r="L42" s="10"/>
      <c r="M42" s="10"/>
      <c r="N42" s="29"/>
      <c r="O42" s="29"/>
      <c r="P42" s="29"/>
      <c r="Q42" s="29"/>
      <c r="R42" s="29"/>
      <c r="S42" s="27"/>
    </row>
    <row r="43" spans="2:20" ht="15" customHeight="1" x14ac:dyDescent="0.25">
      <c r="N43" s="109"/>
      <c r="O43" s="109"/>
      <c r="P43" s="109"/>
      <c r="Q43" s="166" t="s">
        <v>90</v>
      </c>
      <c r="R43" s="163"/>
      <c r="S43" s="164"/>
    </row>
    <row r="44" spans="2:20" ht="15" customHeight="1" x14ac:dyDescent="0.25">
      <c r="B44" s="17" t="s">
        <v>39</v>
      </c>
      <c r="C44" s="96" t="s">
        <v>2</v>
      </c>
      <c r="D44" s="96"/>
      <c r="E44" s="96" t="s">
        <v>34</v>
      </c>
      <c r="F44" s="96" t="s">
        <v>35</v>
      </c>
      <c r="G44" s="120"/>
      <c r="H44" s="120"/>
      <c r="I44" s="114"/>
      <c r="J44" s="96"/>
      <c r="K44" s="96"/>
      <c r="L44" s="96" t="s">
        <v>36</v>
      </c>
      <c r="M44" s="96" t="s">
        <v>37</v>
      </c>
      <c r="N44" s="47"/>
      <c r="O44" s="47"/>
      <c r="P44" s="47"/>
      <c r="Q44" s="54" t="s">
        <v>88</v>
      </c>
      <c r="R44" s="52"/>
      <c r="S44" s="53"/>
      <c r="T44" s="51"/>
    </row>
    <row r="45" spans="2:20" ht="15" customHeight="1" x14ac:dyDescent="0.25">
      <c r="B45" s="63"/>
      <c r="C45" s="9"/>
      <c r="D45" s="9"/>
      <c r="E45" s="9"/>
      <c r="F45" s="9"/>
      <c r="G45" s="9"/>
      <c r="H45" s="9"/>
      <c r="I45" s="9"/>
      <c r="J45" s="9"/>
      <c r="K45" s="9"/>
      <c r="L45" s="9"/>
      <c r="M45" s="9"/>
      <c r="N45" s="45"/>
      <c r="O45" s="45"/>
      <c r="P45" s="45"/>
      <c r="Q45" s="59"/>
      <c r="R45" s="50"/>
      <c r="S45" s="50"/>
      <c r="T45" s="51"/>
    </row>
    <row r="46" spans="2:20" x14ac:dyDescent="0.25">
      <c r="B46" s="63"/>
      <c r="C46" s="9"/>
      <c r="D46" s="9"/>
      <c r="E46" s="9"/>
      <c r="F46" s="9"/>
      <c r="G46" s="9"/>
      <c r="H46" s="9"/>
      <c r="I46" s="9"/>
      <c r="J46" s="9"/>
      <c r="K46" s="9"/>
      <c r="L46" s="9"/>
      <c r="M46" s="9"/>
      <c r="N46" s="45"/>
      <c r="O46" s="45"/>
      <c r="P46" s="45"/>
      <c r="R46" s="51"/>
      <c r="S46" s="51"/>
      <c r="T46" s="51"/>
    </row>
    <row r="47" spans="2:20" x14ac:dyDescent="0.25">
      <c r="B47" s="12"/>
      <c r="C47" s="13"/>
      <c r="D47" s="13"/>
      <c r="E47" s="41"/>
      <c r="F47" s="15"/>
      <c r="G47" s="15"/>
      <c r="H47" s="15"/>
      <c r="I47" s="15"/>
      <c r="J47" s="15"/>
      <c r="K47" s="15"/>
      <c r="L47" s="16"/>
      <c r="M47" s="20"/>
      <c r="N47" s="18"/>
      <c r="O47" s="18"/>
      <c r="P47" s="18"/>
      <c r="Q47" s="51"/>
      <c r="R47" s="51"/>
      <c r="S47" s="51"/>
      <c r="T47" s="51"/>
    </row>
    <row r="48" spans="2:20" x14ac:dyDescent="0.25">
      <c r="B48" s="12"/>
      <c r="C48" s="13"/>
      <c r="D48" s="13"/>
      <c r="E48" s="41"/>
      <c r="F48" s="15"/>
      <c r="G48" s="15"/>
      <c r="H48" s="15"/>
      <c r="I48" s="15"/>
      <c r="J48" s="15"/>
      <c r="K48" s="15"/>
      <c r="L48" s="16"/>
      <c r="M48" s="20"/>
      <c r="N48" s="18"/>
      <c r="O48" s="18"/>
      <c r="P48" s="18"/>
      <c r="Q48" s="51"/>
      <c r="R48" s="51"/>
      <c r="S48" s="51"/>
      <c r="T48" s="51"/>
    </row>
    <row r="49" spans="2:20" x14ac:dyDescent="0.25">
      <c r="B49" s="12"/>
      <c r="C49" s="13"/>
      <c r="D49" s="13"/>
      <c r="E49" s="41"/>
      <c r="F49" s="15"/>
      <c r="G49" s="15"/>
      <c r="H49" s="15"/>
      <c r="I49" s="15"/>
      <c r="J49" s="15"/>
      <c r="K49" s="15"/>
      <c r="L49" s="16"/>
      <c r="M49" s="20"/>
      <c r="N49" s="18"/>
      <c r="O49" s="18"/>
      <c r="P49" s="18"/>
      <c r="Q49" s="51"/>
      <c r="R49" s="51"/>
      <c r="S49" s="51"/>
      <c r="T49" s="51"/>
    </row>
    <row r="50" spans="2:20" x14ac:dyDescent="0.25">
      <c r="B50" s="12"/>
      <c r="C50" s="13"/>
      <c r="D50" s="13"/>
      <c r="E50" s="41"/>
      <c r="F50" s="15"/>
      <c r="G50" s="15"/>
      <c r="H50" s="15"/>
      <c r="I50" s="15"/>
      <c r="J50" s="15"/>
      <c r="K50" s="15"/>
      <c r="L50" s="16"/>
      <c r="M50" s="20"/>
      <c r="N50" s="18"/>
      <c r="O50" s="18"/>
      <c r="P50" s="18"/>
      <c r="Q50" s="51"/>
      <c r="R50" s="51"/>
      <c r="S50" s="51"/>
      <c r="T50" s="51"/>
    </row>
    <row r="51" spans="2:20" x14ac:dyDescent="0.25">
      <c r="B51" s="12"/>
      <c r="C51" s="13"/>
      <c r="D51" s="13"/>
      <c r="E51" s="41"/>
      <c r="F51" s="15"/>
      <c r="G51" s="15"/>
      <c r="H51" s="15"/>
      <c r="I51" s="15"/>
      <c r="J51" s="15"/>
      <c r="K51" s="15"/>
      <c r="L51" s="16"/>
      <c r="M51" s="20"/>
      <c r="N51" s="18"/>
      <c r="O51" s="18"/>
      <c r="P51" s="18"/>
      <c r="Q51" s="51"/>
      <c r="R51" s="51"/>
      <c r="S51" s="51"/>
      <c r="T51" s="51"/>
    </row>
    <row r="52" spans="2:20" x14ac:dyDescent="0.25">
      <c r="B52" s="12"/>
      <c r="C52" s="13"/>
      <c r="D52" s="13"/>
      <c r="E52" s="41"/>
      <c r="F52" s="15"/>
      <c r="G52" s="15"/>
      <c r="H52" s="15"/>
      <c r="I52" s="15"/>
      <c r="J52" s="15"/>
      <c r="K52" s="15"/>
      <c r="L52" s="16"/>
      <c r="M52" s="20"/>
      <c r="N52" s="18"/>
      <c r="O52" s="18"/>
      <c r="P52" s="18"/>
      <c r="Q52" s="51"/>
      <c r="R52" s="51"/>
      <c r="S52" s="51"/>
      <c r="T52" s="51"/>
    </row>
    <row r="53" spans="2:20" x14ac:dyDescent="0.25">
      <c r="B53" s="12"/>
      <c r="C53" s="13"/>
      <c r="D53" s="13"/>
      <c r="E53" s="41"/>
      <c r="F53" s="15"/>
      <c r="G53" s="15"/>
      <c r="H53" s="15"/>
      <c r="I53" s="15"/>
      <c r="J53" s="15"/>
      <c r="K53" s="15"/>
      <c r="L53" s="16"/>
      <c r="M53" s="20"/>
      <c r="N53" s="18"/>
      <c r="O53" s="18"/>
      <c r="P53" s="18"/>
      <c r="T53" s="51"/>
    </row>
    <row r="54" spans="2:20" x14ac:dyDescent="0.25">
      <c r="B54" s="36"/>
      <c r="C54" s="40"/>
      <c r="D54" s="40"/>
      <c r="E54" s="41"/>
      <c r="F54" s="38"/>
      <c r="G54" s="38"/>
      <c r="H54" s="38"/>
      <c r="I54" s="38"/>
      <c r="J54" s="38"/>
      <c r="K54" s="38"/>
      <c r="L54" s="39"/>
      <c r="M54" s="34"/>
      <c r="N54" s="104"/>
      <c r="O54" s="29"/>
      <c r="P54" s="29"/>
    </row>
    <row r="55" spans="2:20" x14ac:dyDescent="0.25">
      <c r="C55" s="40"/>
      <c r="D55" s="40"/>
      <c r="E55" s="41"/>
      <c r="F55" s="69"/>
      <c r="G55" s="69"/>
      <c r="H55" s="69"/>
      <c r="I55" s="69"/>
      <c r="J55" s="69"/>
      <c r="K55" s="69"/>
      <c r="L55" s="33"/>
      <c r="M55" s="35"/>
      <c r="N55" s="37"/>
      <c r="O55" s="37"/>
      <c r="P55" s="29"/>
      <c r="Q55" s="309" t="s">
        <v>316</v>
      </c>
      <c r="R55" s="309"/>
      <c r="S55" s="310">
        <f>S20</f>
        <v>59747.82</v>
      </c>
    </row>
    <row r="56" spans="2:20" ht="15" customHeight="1" x14ac:dyDescent="0.25">
      <c r="B56" s="36"/>
      <c r="C56" s="40"/>
      <c r="D56" s="40"/>
      <c r="E56" s="41"/>
      <c r="F56" s="38"/>
      <c r="G56" s="38"/>
      <c r="H56" s="38"/>
      <c r="I56" s="38"/>
      <c r="J56" s="38"/>
      <c r="K56" s="38"/>
      <c r="L56" s="33"/>
      <c r="M56" s="31"/>
      <c r="N56" s="99"/>
      <c r="O56" s="99"/>
      <c r="P56" s="29"/>
    </row>
    <row r="57" spans="2:20" x14ac:dyDescent="0.25">
      <c r="B57" s="36"/>
      <c r="C57" s="40"/>
      <c r="D57" s="40"/>
      <c r="E57" s="41"/>
      <c r="F57" s="38"/>
      <c r="G57" s="38"/>
      <c r="H57" s="38"/>
      <c r="I57" s="38"/>
      <c r="J57" s="38"/>
      <c r="K57" s="38"/>
      <c r="L57" s="33"/>
      <c r="M57" s="31"/>
      <c r="N57" s="99"/>
      <c r="O57" s="99"/>
      <c r="P57" s="29"/>
    </row>
    <row r="58" spans="2:20" x14ac:dyDescent="0.25">
      <c r="B58" s="36"/>
      <c r="C58" s="40"/>
      <c r="D58" s="40"/>
      <c r="E58" s="41"/>
      <c r="F58" s="38"/>
      <c r="G58" s="38"/>
      <c r="H58" s="38"/>
      <c r="I58" s="38"/>
      <c r="J58" s="38"/>
      <c r="K58" s="38"/>
      <c r="L58" s="33"/>
      <c r="M58" s="31"/>
      <c r="N58" s="99"/>
      <c r="O58" s="99"/>
      <c r="P58" s="29"/>
    </row>
    <row r="59" spans="2:20" ht="16.5" customHeight="1" x14ac:dyDescent="0.25">
      <c r="B59" s="36"/>
      <c r="C59" s="40"/>
      <c r="D59" s="40"/>
      <c r="E59" s="41"/>
      <c r="F59" s="38"/>
      <c r="G59" s="38"/>
      <c r="H59" s="38"/>
      <c r="I59" s="38"/>
      <c r="J59" s="38"/>
      <c r="K59" s="38"/>
      <c r="L59" s="39"/>
      <c r="M59" s="20"/>
      <c r="N59" s="99"/>
      <c r="O59" s="99"/>
      <c r="P59" s="29"/>
    </row>
    <row r="60" spans="2:20" ht="15" customHeight="1" x14ac:dyDescent="0.25"/>
    <row r="61" spans="2:20" ht="15" customHeight="1" x14ac:dyDescent="0.25">
      <c r="E61" s="21"/>
      <c r="F61" s="102"/>
      <c r="G61" s="102"/>
      <c r="H61" s="102"/>
      <c r="I61" s="102"/>
      <c r="J61" s="102"/>
      <c r="K61" s="102"/>
    </row>
    <row r="64" spans="2:20" ht="15" customHeight="1" x14ac:dyDescent="0.25"/>
  </sheetData>
  <mergeCells count="7">
    <mergeCell ref="B40:H40"/>
    <mergeCell ref="B29:F29"/>
    <mergeCell ref="Q2:S2"/>
    <mergeCell ref="Q1:S1"/>
    <mergeCell ref="B24:F24"/>
    <mergeCell ref="B26:F26"/>
    <mergeCell ref="B28:F28"/>
  </mergeCells>
  <hyperlinks>
    <hyperlink ref="B29" r:id="rId1"/>
  </hyperlinks>
  <printOptions horizontalCentered="1" gridLines="1"/>
  <pageMargins left="0" right="0" top="0.75" bottom="0.75" header="0.3" footer="0.3"/>
  <pageSetup scale="51" orientation="landscape" horizontalDpi="1200" verticalDpi="1200"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9"/>
  <sheetViews>
    <sheetView topLeftCell="B4" zoomScale="90" zoomScaleNormal="90" workbookViewId="0">
      <selection activeCell="Q18" sqref="Q18"/>
    </sheetView>
  </sheetViews>
  <sheetFormatPr defaultColWidth="9.140625" defaultRowHeight="15" x14ac:dyDescent="0.25"/>
  <cols>
    <col min="1" max="1" width="6.5703125" style="2" hidden="1" customWidth="1"/>
    <col min="2" max="2" width="58.7109375" style="2" customWidth="1"/>
    <col min="3" max="3" width="27.7109375" style="2" customWidth="1"/>
    <col min="4" max="4" width="13.7109375" style="2" customWidth="1"/>
    <col min="5" max="5" width="17.28515625" style="2" customWidth="1"/>
    <col min="6" max="6" width="22.28515625" style="2" customWidth="1"/>
    <col min="7" max="7" width="10.28515625" style="2" customWidth="1"/>
    <col min="8" max="8" width="12.85546875" style="2" customWidth="1"/>
    <col min="9" max="9" width="13.42578125" style="2" customWidth="1"/>
    <col min="10" max="10" width="15.7109375" style="2" customWidth="1"/>
    <col min="11" max="11" width="8.85546875" style="2" customWidth="1"/>
    <col min="12" max="12" width="18.425781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6.7109375" style="2" customWidth="1"/>
    <col min="20" max="16384" width="9.140625" style="2"/>
  </cols>
  <sheetData>
    <row r="1" spans="1:20" ht="18" customHeight="1" x14ac:dyDescent="0.25">
      <c r="B1" s="1" t="s">
        <v>11</v>
      </c>
      <c r="Q1" s="338" t="s">
        <v>296</v>
      </c>
      <c r="R1" s="338"/>
      <c r="S1" s="338"/>
    </row>
    <row r="2" spans="1:20" ht="18" customHeight="1" x14ac:dyDescent="0.25">
      <c r="B2" s="88" t="s">
        <v>148</v>
      </c>
      <c r="C2" s="182">
        <v>44742</v>
      </c>
      <c r="M2" s="71"/>
      <c r="N2" s="71"/>
      <c r="P2" s="29"/>
      <c r="Q2" s="337" t="s">
        <v>375</v>
      </c>
      <c r="R2" s="337"/>
      <c r="S2" s="337"/>
    </row>
    <row r="3" spans="1:20" ht="18" customHeight="1" thickBot="1" x14ac:dyDescent="0.3">
      <c r="A3" s="2" t="s">
        <v>16</v>
      </c>
      <c r="B3" s="44" t="s">
        <v>63</v>
      </c>
      <c r="C3" s="8"/>
      <c r="D3" s="8"/>
      <c r="E3" s="8"/>
      <c r="P3" s="29"/>
      <c r="Q3" s="45"/>
      <c r="R3" s="30"/>
    </row>
    <row r="4" spans="1:20" ht="18.75" customHeight="1" x14ac:dyDescent="0.25">
      <c r="B4" s="8" t="s">
        <v>174</v>
      </c>
      <c r="M4" s="85" t="s">
        <v>28</v>
      </c>
      <c r="N4" s="85" t="s">
        <v>28</v>
      </c>
      <c r="O4" s="85" t="s">
        <v>28</v>
      </c>
      <c r="P4" s="9"/>
      <c r="Q4" s="89" t="s">
        <v>29</v>
      </c>
      <c r="R4" s="89" t="s">
        <v>31</v>
      </c>
      <c r="S4" s="89" t="s">
        <v>23</v>
      </c>
      <c r="T4" s="7"/>
    </row>
    <row r="5" spans="1:20" ht="15.75" thickBot="1" x14ac:dyDescent="0.3">
      <c r="G5" s="183" t="s">
        <v>295</v>
      </c>
      <c r="H5" s="183" t="s">
        <v>295</v>
      </c>
      <c r="M5" s="86" t="s">
        <v>27</v>
      </c>
      <c r="N5" s="86" t="s">
        <v>26</v>
      </c>
      <c r="O5" s="86" t="s">
        <v>25</v>
      </c>
      <c r="P5" s="9"/>
      <c r="Q5" s="90" t="s">
        <v>30</v>
      </c>
      <c r="R5" s="90" t="s">
        <v>30</v>
      </c>
      <c r="S5" s="90" t="s">
        <v>30</v>
      </c>
      <c r="T5" s="7"/>
    </row>
    <row r="6" spans="1:20" ht="85.5" customHeight="1" thickBot="1" x14ac:dyDescent="0.3">
      <c r="B6" s="84" t="s">
        <v>1</v>
      </c>
      <c r="C6" s="84" t="s">
        <v>389</v>
      </c>
      <c r="D6" s="84" t="s">
        <v>107</v>
      </c>
      <c r="E6" s="84" t="s">
        <v>3</v>
      </c>
      <c r="F6" s="84" t="s">
        <v>4</v>
      </c>
      <c r="G6" s="107" t="s">
        <v>136</v>
      </c>
      <c r="H6" s="107" t="s">
        <v>137</v>
      </c>
      <c r="I6" s="107" t="s">
        <v>133</v>
      </c>
      <c r="J6" s="107" t="s">
        <v>134</v>
      </c>
      <c r="K6" s="107" t="s">
        <v>121</v>
      </c>
      <c r="L6" s="83" t="s">
        <v>5</v>
      </c>
      <c r="M6" s="87" t="s">
        <v>6</v>
      </c>
      <c r="N6" s="87" t="s">
        <v>6</v>
      </c>
      <c r="O6" s="87" t="s">
        <v>6</v>
      </c>
      <c r="P6" s="9"/>
      <c r="Q6" s="91"/>
      <c r="R6" s="97" t="s">
        <v>32</v>
      </c>
      <c r="S6" s="98" t="s">
        <v>33</v>
      </c>
    </row>
    <row r="7" spans="1:20" ht="24.75" customHeight="1" x14ac:dyDescent="0.25">
      <c r="A7" s="2">
        <v>4201</v>
      </c>
      <c r="B7" s="2" t="s">
        <v>8</v>
      </c>
      <c r="C7" s="92" t="s">
        <v>106</v>
      </c>
      <c r="D7" s="92" t="s">
        <v>306</v>
      </c>
      <c r="E7" s="2" t="s">
        <v>307</v>
      </c>
      <c r="F7" s="2" t="s">
        <v>7</v>
      </c>
      <c r="G7" s="186">
        <v>2.63E-2</v>
      </c>
      <c r="H7" s="186">
        <v>0.1845</v>
      </c>
      <c r="I7" s="187">
        <v>44742</v>
      </c>
      <c r="J7" s="187">
        <v>44743</v>
      </c>
      <c r="K7" s="187">
        <v>44378</v>
      </c>
      <c r="L7" s="188" t="s">
        <v>297</v>
      </c>
      <c r="M7" s="65">
        <v>67840.5</v>
      </c>
      <c r="N7" s="67"/>
      <c r="O7" s="67">
        <f t="shared" ref="O7:O22" si="0">M7+N7</f>
        <v>67840.5</v>
      </c>
      <c r="P7" s="67"/>
      <c r="Q7" s="67">
        <f>29372.6+23824.4+13058</f>
        <v>66255</v>
      </c>
      <c r="R7" s="67"/>
      <c r="S7" s="68">
        <f t="shared" ref="S7:S20" si="1">Q7+R7</f>
        <v>66255</v>
      </c>
    </row>
    <row r="8" spans="1:20" ht="35.25" customHeight="1" x14ac:dyDescent="0.25">
      <c r="A8" s="2">
        <v>4253</v>
      </c>
      <c r="B8" s="2" t="s">
        <v>128</v>
      </c>
      <c r="C8" s="225" t="s">
        <v>122</v>
      </c>
      <c r="D8" s="93" t="s">
        <v>310</v>
      </c>
      <c r="E8" s="2" t="s">
        <v>309</v>
      </c>
      <c r="F8" s="2" t="s">
        <v>7</v>
      </c>
      <c r="G8" s="298">
        <v>2.63E-2</v>
      </c>
      <c r="H8" s="298">
        <v>0.1845</v>
      </c>
      <c r="I8" s="275">
        <f t="shared" ref="I8:J9" si="2">I7</f>
        <v>44742</v>
      </c>
      <c r="J8" s="275">
        <f t="shared" si="2"/>
        <v>44743</v>
      </c>
      <c r="K8" s="275">
        <f>K7</f>
        <v>44378</v>
      </c>
      <c r="L8" s="188" t="str">
        <f>L7</f>
        <v>07/01/21 - 06/30/22</v>
      </c>
      <c r="M8" s="65">
        <v>8559.4599999999991</v>
      </c>
      <c r="N8" s="67"/>
      <c r="O8" s="67">
        <f t="shared" si="0"/>
        <v>8559.4599999999991</v>
      </c>
      <c r="P8" s="67"/>
      <c r="Q8" s="67">
        <v>8559.4599999999991</v>
      </c>
      <c r="R8" s="67"/>
      <c r="S8" s="68">
        <f t="shared" si="1"/>
        <v>8559.4599999999991</v>
      </c>
    </row>
    <row r="9" spans="1:20" ht="29.25" customHeight="1" x14ac:dyDescent="0.25">
      <c r="A9" s="2">
        <v>4255</v>
      </c>
      <c r="B9" s="2" t="s">
        <v>130</v>
      </c>
      <c r="C9" s="95" t="s">
        <v>131</v>
      </c>
      <c r="D9" s="93" t="s">
        <v>310</v>
      </c>
      <c r="E9" s="2" t="s">
        <v>314</v>
      </c>
      <c r="F9" s="2" t="s">
        <v>7</v>
      </c>
      <c r="G9" s="298">
        <v>2.63E-2</v>
      </c>
      <c r="H9" s="298">
        <v>0.1845</v>
      </c>
      <c r="I9" s="275">
        <f t="shared" si="2"/>
        <v>44742</v>
      </c>
      <c r="J9" s="275">
        <f t="shared" si="2"/>
        <v>44743</v>
      </c>
      <c r="K9" s="275">
        <f>K8</f>
        <v>44378</v>
      </c>
      <c r="L9" s="188" t="str">
        <f>L8</f>
        <v>07/01/21 - 06/30/22</v>
      </c>
      <c r="M9" s="65"/>
      <c r="N9" s="67"/>
      <c r="O9" s="67">
        <f t="shared" si="0"/>
        <v>0</v>
      </c>
      <c r="P9" s="67"/>
      <c r="Q9" s="67"/>
      <c r="R9" s="67"/>
      <c r="S9" s="68">
        <f t="shared" si="1"/>
        <v>0</v>
      </c>
    </row>
    <row r="10" spans="1:20" ht="27" customHeight="1" x14ac:dyDescent="0.25">
      <c r="B10" s="2" t="s">
        <v>223</v>
      </c>
      <c r="C10" s="236" t="s">
        <v>333</v>
      </c>
      <c r="D10" s="93" t="s">
        <v>224</v>
      </c>
      <c r="E10" s="2" t="s">
        <v>225</v>
      </c>
      <c r="F10" s="2" t="s">
        <v>7</v>
      </c>
      <c r="G10" s="298">
        <v>2.63E-2</v>
      </c>
      <c r="H10" s="298">
        <v>0.1845</v>
      </c>
      <c r="I10" s="275">
        <v>44834</v>
      </c>
      <c r="J10" s="275">
        <v>44849</v>
      </c>
      <c r="K10" s="275">
        <v>43614</v>
      </c>
      <c r="L10" s="188" t="s">
        <v>274</v>
      </c>
      <c r="M10" s="65">
        <v>33582.18</v>
      </c>
      <c r="N10" s="67"/>
      <c r="O10" s="67">
        <f t="shared" si="0"/>
        <v>33582.18</v>
      </c>
      <c r="P10" s="67"/>
      <c r="Q10" s="67"/>
      <c r="R10" s="67"/>
      <c r="S10" s="68">
        <f t="shared" si="1"/>
        <v>0</v>
      </c>
    </row>
    <row r="11" spans="1:20" ht="27" customHeight="1" x14ac:dyDescent="0.25">
      <c r="B11" s="2" t="s">
        <v>275</v>
      </c>
      <c r="C11" s="236" t="s">
        <v>333</v>
      </c>
      <c r="D11" s="93" t="s">
        <v>224</v>
      </c>
      <c r="E11" s="2" t="s">
        <v>276</v>
      </c>
      <c r="F11" s="2" t="s">
        <v>7</v>
      </c>
      <c r="G11" s="298">
        <v>2.63E-2</v>
      </c>
      <c r="H11" s="298">
        <v>0.1845</v>
      </c>
      <c r="I11" s="275">
        <v>44773</v>
      </c>
      <c r="J11" s="275">
        <v>44788</v>
      </c>
      <c r="K11" s="275">
        <v>43980</v>
      </c>
      <c r="L11" s="188" t="s">
        <v>277</v>
      </c>
      <c r="M11" s="79">
        <v>2714.67</v>
      </c>
      <c r="N11" s="70"/>
      <c r="O11" s="67">
        <f t="shared" si="0"/>
        <v>2714.67</v>
      </c>
      <c r="P11" s="67"/>
      <c r="Q11" s="67"/>
      <c r="R11" s="67"/>
      <c r="S11" s="68">
        <f t="shared" si="1"/>
        <v>0</v>
      </c>
    </row>
    <row r="12" spans="1:20" ht="27" customHeight="1" x14ac:dyDescent="0.25">
      <c r="B12" s="2" t="s">
        <v>279</v>
      </c>
      <c r="C12" s="236" t="s">
        <v>333</v>
      </c>
      <c r="D12" s="93" t="s">
        <v>224</v>
      </c>
      <c r="E12" s="2" t="s">
        <v>280</v>
      </c>
      <c r="F12" s="2" t="s">
        <v>7</v>
      </c>
      <c r="G12" s="298">
        <v>2.63E-2</v>
      </c>
      <c r="H12" s="298">
        <v>0.1845</v>
      </c>
      <c r="I12" s="187">
        <v>44592</v>
      </c>
      <c r="J12" s="187">
        <v>44592</v>
      </c>
      <c r="K12" s="187">
        <v>43980</v>
      </c>
      <c r="L12" s="188" t="s">
        <v>332</v>
      </c>
      <c r="M12" s="79">
        <v>3000</v>
      </c>
      <c r="N12" s="67"/>
      <c r="O12" s="67">
        <f t="shared" si="0"/>
        <v>3000</v>
      </c>
      <c r="P12" s="66"/>
      <c r="Q12" s="67">
        <v>3000</v>
      </c>
      <c r="R12" s="67"/>
      <c r="S12" s="68">
        <f t="shared" si="1"/>
        <v>3000</v>
      </c>
    </row>
    <row r="13" spans="1:20" ht="27" customHeight="1" x14ac:dyDescent="0.25">
      <c r="B13" s="2" t="s">
        <v>281</v>
      </c>
      <c r="C13" s="236" t="s">
        <v>334</v>
      </c>
      <c r="D13" s="93" t="s">
        <v>231</v>
      </c>
      <c r="E13" s="2" t="s">
        <v>282</v>
      </c>
      <c r="F13" s="2" t="s">
        <v>7</v>
      </c>
      <c r="G13" s="298">
        <v>2.63E-2</v>
      </c>
      <c r="H13" s="298">
        <v>0.1845</v>
      </c>
      <c r="I13" s="187">
        <v>44742</v>
      </c>
      <c r="J13" s="187">
        <v>44757</v>
      </c>
      <c r="K13" s="187">
        <v>43979</v>
      </c>
      <c r="L13" s="188" t="s">
        <v>283</v>
      </c>
      <c r="M13" s="79">
        <v>1027</v>
      </c>
      <c r="N13" s="67"/>
      <c r="O13" s="67">
        <f t="shared" si="0"/>
        <v>1027</v>
      </c>
      <c r="P13" s="66"/>
      <c r="Q13" s="67">
        <v>1025.3699999999999</v>
      </c>
      <c r="R13" s="67"/>
      <c r="S13" s="68">
        <f t="shared" si="1"/>
        <v>1025.3699999999999</v>
      </c>
    </row>
    <row r="14" spans="1:20" ht="27" customHeight="1" x14ac:dyDescent="0.25">
      <c r="B14" s="2" t="s">
        <v>321</v>
      </c>
      <c r="C14" s="236" t="s">
        <v>333</v>
      </c>
      <c r="D14" s="93" t="s">
        <v>288</v>
      </c>
      <c r="E14" s="2" t="s">
        <v>322</v>
      </c>
      <c r="F14" s="2" t="s">
        <v>7</v>
      </c>
      <c r="G14" s="186">
        <f>G13:H13</f>
        <v>2.63E-2</v>
      </c>
      <c r="H14" s="186">
        <f>H13</f>
        <v>0.1845</v>
      </c>
      <c r="I14" s="187">
        <v>45199</v>
      </c>
      <c r="J14" s="187">
        <v>45214</v>
      </c>
      <c r="K14" s="187">
        <v>44201</v>
      </c>
      <c r="L14" s="188" t="s">
        <v>323</v>
      </c>
      <c r="M14" s="79">
        <v>30792.62</v>
      </c>
      <c r="N14" s="67"/>
      <c r="O14" s="67">
        <f t="shared" si="0"/>
        <v>30792.62</v>
      </c>
      <c r="P14" s="66"/>
      <c r="Q14" s="67">
        <v>30030</v>
      </c>
      <c r="R14" s="67"/>
      <c r="S14" s="68">
        <f t="shared" si="1"/>
        <v>30030</v>
      </c>
    </row>
    <row r="15" spans="1:20" ht="27" customHeight="1" x14ac:dyDescent="0.25">
      <c r="B15" s="2" t="s">
        <v>324</v>
      </c>
      <c r="C15" s="236" t="s">
        <v>333</v>
      </c>
      <c r="D15" s="93" t="s">
        <v>288</v>
      </c>
      <c r="E15" s="2" t="s">
        <v>329</v>
      </c>
      <c r="F15" s="2" t="s">
        <v>7</v>
      </c>
      <c r="G15" s="186">
        <f>G14:H14</f>
        <v>2.63E-2</v>
      </c>
      <c r="H15" s="186">
        <f>H14</f>
        <v>0.1845</v>
      </c>
      <c r="I15" s="187">
        <v>45199</v>
      </c>
      <c r="J15" s="187">
        <v>45214</v>
      </c>
      <c r="K15" s="187">
        <v>44201</v>
      </c>
      <c r="L15" s="188" t="s">
        <v>325</v>
      </c>
      <c r="M15" s="79">
        <v>17466</v>
      </c>
      <c r="N15" s="67"/>
      <c r="O15" s="67">
        <f t="shared" si="0"/>
        <v>17466</v>
      </c>
      <c r="P15" s="66"/>
      <c r="Q15" s="67"/>
      <c r="R15" s="67"/>
      <c r="S15" s="68">
        <f t="shared" si="1"/>
        <v>0</v>
      </c>
    </row>
    <row r="16" spans="1:20" ht="27" customHeight="1" x14ac:dyDescent="0.25">
      <c r="B16" s="2" t="s">
        <v>326</v>
      </c>
      <c r="C16" s="236" t="s">
        <v>333</v>
      </c>
      <c r="D16" s="93" t="s">
        <v>288</v>
      </c>
      <c r="E16" s="2" t="s">
        <v>330</v>
      </c>
      <c r="F16" s="2" t="s">
        <v>7</v>
      </c>
      <c r="G16" s="186">
        <f>G15:H15</f>
        <v>2.63E-2</v>
      </c>
      <c r="H16" s="186">
        <f>H15</f>
        <v>0.1845</v>
      </c>
      <c r="I16" s="187">
        <v>45199</v>
      </c>
      <c r="J16" s="187">
        <v>45214</v>
      </c>
      <c r="K16" s="187">
        <v>44201</v>
      </c>
      <c r="L16" s="188" t="s">
        <v>323</v>
      </c>
      <c r="M16" s="79">
        <v>8083.06</v>
      </c>
      <c r="N16" s="67"/>
      <c r="O16" s="67">
        <f t="shared" si="0"/>
        <v>8083.06</v>
      </c>
      <c r="P16" s="66"/>
      <c r="Q16" s="67"/>
      <c r="R16" s="67"/>
      <c r="S16" s="68">
        <f t="shared" si="1"/>
        <v>0</v>
      </c>
    </row>
    <row r="17" spans="2:19" ht="27" customHeight="1" x14ac:dyDescent="0.25">
      <c r="B17" s="2" t="s">
        <v>370</v>
      </c>
      <c r="C17" s="236" t="s">
        <v>333</v>
      </c>
      <c r="D17" s="93" t="s">
        <v>288</v>
      </c>
      <c r="E17" s="2" t="s">
        <v>331</v>
      </c>
      <c r="F17" s="2" t="s">
        <v>7</v>
      </c>
      <c r="G17" s="186">
        <f t="shared" ref="G17" si="3">G16:H16</f>
        <v>2.63E-2</v>
      </c>
      <c r="H17" s="186">
        <f t="shared" ref="H17" si="4">H16</f>
        <v>0.1845</v>
      </c>
      <c r="I17" s="187">
        <v>45199</v>
      </c>
      <c r="J17" s="187">
        <v>45214</v>
      </c>
      <c r="K17" s="187">
        <v>44201</v>
      </c>
      <c r="L17" s="188" t="s">
        <v>325</v>
      </c>
      <c r="M17" s="79">
        <v>38259.83</v>
      </c>
      <c r="N17" s="67"/>
      <c r="O17" s="67">
        <f t="shared" si="0"/>
        <v>38259.83</v>
      </c>
      <c r="P17" s="66"/>
      <c r="Q17" s="67">
        <f>20000+18259.83</f>
        <v>38259.83</v>
      </c>
      <c r="R17" s="67"/>
      <c r="S17" s="68">
        <f t="shared" si="1"/>
        <v>38259.83</v>
      </c>
    </row>
    <row r="18" spans="2:19" ht="27" customHeight="1" x14ac:dyDescent="0.25">
      <c r="B18" s="2" t="s">
        <v>287</v>
      </c>
      <c r="C18" s="236" t="s">
        <v>333</v>
      </c>
      <c r="D18" s="93" t="s">
        <v>288</v>
      </c>
      <c r="E18" s="2" t="s">
        <v>289</v>
      </c>
      <c r="F18" s="2" t="s">
        <v>7</v>
      </c>
      <c r="G18" s="298">
        <v>2.63E-2</v>
      </c>
      <c r="H18" s="298">
        <v>0.1845</v>
      </c>
      <c r="I18" s="187">
        <v>45199</v>
      </c>
      <c r="J18" s="187">
        <v>45199</v>
      </c>
      <c r="K18" s="187">
        <v>44201</v>
      </c>
      <c r="L18" s="188" t="s">
        <v>320</v>
      </c>
      <c r="M18" s="79">
        <v>70823.02</v>
      </c>
      <c r="N18" s="67"/>
      <c r="O18" s="67">
        <f t="shared" si="0"/>
        <v>70823.02</v>
      </c>
      <c r="P18" s="66"/>
      <c r="Q18" s="67">
        <f>68482.75+2340.27</f>
        <v>70823.02</v>
      </c>
      <c r="R18" s="67"/>
      <c r="S18" s="68">
        <f t="shared" si="1"/>
        <v>70823.02</v>
      </c>
    </row>
    <row r="19" spans="2:19" ht="27" customHeight="1" x14ac:dyDescent="0.25">
      <c r="B19" s="2" t="s">
        <v>352</v>
      </c>
      <c r="C19" s="236" t="s">
        <v>353</v>
      </c>
      <c r="D19" s="93" t="s">
        <v>354</v>
      </c>
      <c r="E19" s="2" t="s">
        <v>355</v>
      </c>
      <c r="F19" s="2" t="s">
        <v>7</v>
      </c>
      <c r="G19" s="186">
        <v>2.63E-2</v>
      </c>
      <c r="H19" s="186">
        <v>0.1845</v>
      </c>
      <c r="I19" s="187">
        <v>45565</v>
      </c>
      <c r="J19" s="187">
        <v>45580</v>
      </c>
      <c r="K19" s="187">
        <v>44279</v>
      </c>
      <c r="L19" s="188" t="s">
        <v>356</v>
      </c>
      <c r="M19" s="79">
        <v>276908.42</v>
      </c>
      <c r="N19" s="67"/>
      <c r="O19" s="67">
        <f t="shared" si="0"/>
        <v>276908.42</v>
      </c>
      <c r="P19" s="66"/>
      <c r="Q19" s="67"/>
      <c r="R19" s="67"/>
      <c r="S19" s="68">
        <f t="shared" si="1"/>
        <v>0</v>
      </c>
    </row>
    <row r="20" spans="2:19" ht="27" customHeight="1" x14ac:dyDescent="0.25">
      <c r="B20" s="2" t="s">
        <v>357</v>
      </c>
      <c r="C20" s="236" t="s">
        <v>353</v>
      </c>
      <c r="D20" s="93" t="s">
        <v>354</v>
      </c>
      <c r="E20" s="2" t="s">
        <v>358</v>
      </c>
      <c r="F20" s="2" t="s">
        <v>7</v>
      </c>
      <c r="G20" s="186">
        <v>2.63E-2</v>
      </c>
      <c r="H20" s="186">
        <v>0.1845</v>
      </c>
      <c r="I20" s="187">
        <v>45565</v>
      </c>
      <c r="J20" s="187">
        <v>45580</v>
      </c>
      <c r="K20" s="187">
        <v>44279</v>
      </c>
      <c r="L20" s="188" t="s">
        <v>356</v>
      </c>
      <c r="M20" s="79">
        <v>69227.100000000006</v>
      </c>
      <c r="N20" s="67"/>
      <c r="O20" s="67">
        <f t="shared" si="0"/>
        <v>69227.100000000006</v>
      </c>
      <c r="P20" s="66"/>
      <c r="Q20" s="67"/>
      <c r="R20" s="67"/>
      <c r="S20" s="68">
        <f t="shared" si="1"/>
        <v>0</v>
      </c>
    </row>
    <row r="21" spans="2:19" ht="27" customHeight="1" x14ac:dyDescent="0.25">
      <c r="B21" s="2" t="s">
        <v>363</v>
      </c>
      <c r="C21" s="236" t="s">
        <v>333</v>
      </c>
      <c r="D21" s="93" t="s">
        <v>288</v>
      </c>
      <c r="E21" s="2" t="s">
        <v>364</v>
      </c>
      <c r="F21" s="2" t="s">
        <v>7</v>
      </c>
      <c r="G21" s="186">
        <v>2.63E-2</v>
      </c>
      <c r="H21" s="186">
        <v>0.1845</v>
      </c>
      <c r="I21" s="187">
        <v>45199</v>
      </c>
      <c r="J21" s="187">
        <v>45214</v>
      </c>
      <c r="K21" s="187">
        <v>44201</v>
      </c>
      <c r="L21" s="188" t="s">
        <v>365</v>
      </c>
      <c r="M21" s="79">
        <v>651.76</v>
      </c>
      <c r="N21" s="67"/>
      <c r="O21" s="67">
        <f t="shared" si="0"/>
        <v>651.76</v>
      </c>
      <c r="P21" s="66"/>
      <c r="Q21" s="67"/>
      <c r="R21" s="67"/>
      <c r="S21" s="68"/>
    </row>
    <row r="22" spans="2:19" ht="27" customHeight="1" x14ac:dyDescent="0.25">
      <c r="B22" s="2" t="s">
        <v>366</v>
      </c>
      <c r="C22" s="236" t="s">
        <v>333</v>
      </c>
      <c r="D22" s="93" t="s">
        <v>367</v>
      </c>
      <c r="E22" s="2" t="s">
        <v>368</v>
      </c>
      <c r="F22" s="2" t="s">
        <v>7</v>
      </c>
      <c r="G22" s="186">
        <v>2.63E-2</v>
      </c>
      <c r="H22" s="186">
        <v>0.1845</v>
      </c>
      <c r="I22" s="187">
        <v>45199</v>
      </c>
      <c r="J22" s="187">
        <v>45214</v>
      </c>
      <c r="K22" s="187">
        <v>44201</v>
      </c>
      <c r="L22" s="188" t="s">
        <v>369</v>
      </c>
      <c r="M22" s="79">
        <v>7187.4</v>
      </c>
      <c r="N22" s="67"/>
      <c r="O22" s="67">
        <f t="shared" si="0"/>
        <v>7187.4</v>
      </c>
      <c r="P22" s="66"/>
      <c r="Q22" s="67"/>
      <c r="R22" s="67"/>
      <c r="S22" s="68"/>
    </row>
    <row r="23" spans="2:19" ht="15" customHeight="1" x14ac:dyDescent="0.25">
      <c r="M23" s="25"/>
      <c r="N23" s="25"/>
      <c r="O23" s="25"/>
      <c r="P23" s="29"/>
      <c r="Q23" s="25"/>
      <c r="R23" s="25"/>
      <c r="S23" s="26"/>
    </row>
    <row r="24" spans="2:19" ht="19.5" customHeight="1" x14ac:dyDescent="0.25">
      <c r="B24" s="29"/>
      <c r="C24" s="92"/>
      <c r="D24" s="92"/>
      <c r="L24" s="5" t="s">
        <v>38</v>
      </c>
      <c r="M24" s="66">
        <f>SUM(M7:M23)</f>
        <v>636123.02</v>
      </c>
      <c r="N24" s="66">
        <f>SUM(N7:N23)</f>
        <v>0</v>
      </c>
      <c r="O24" s="66">
        <f>SUM(O7:O23)</f>
        <v>636123.02</v>
      </c>
      <c r="P24" s="66"/>
      <c r="Q24" s="66">
        <f>SUM(Q7:Q23)</f>
        <v>217952.68</v>
      </c>
      <c r="R24" s="66">
        <f>SUM(R7:R23)</f>
        <v>0</v>
      </c>
      <c r="S24" s="23">
        <f>SUM(S7:S23)</f>
        <v>217952.68</v>
      </c>
    </row>
    <row r="25" spans="2:19" x14ac:dyDescent="0.25">
      <c r="B25" s="8" t="s">
        <v>125</v>
      </c>
      <c r="C25" s="92"/>
      <c r="D25" s="92"/>
      <c r="L25" s="5"/>
      <c r="M25" s="66"/>
      <c r="N25" s="66"/>
      <c r="O25" s="66"/>
      <c r="Q25" s="66"/>
      <c r="R25" s="66"/>
      <c r="S25" s="68"/>
    </row>
    <row r="26" spans="2:19" ht="30.75" customHeight="1" x14ac:dyDescent="0.25">
      <c r="B26" s="341" t="s">
        <v>126</v>
      </c>
      <c r="C26" s="341"/>
      <c r="D26" s="341"/>
      <c r="E26" s="341"/>
      <c r="F26" s="341"/>
      <c r="G26" s="117"/>
      <c r="H26" s="117"/>
      <c r="I26" s="111"/>
      <c r="L26" s="5"/>
      <c r="M26" s="66"/>
      <c r="N26" s="66"/>
      <c r="O26" s="66"/>
      <c r="Q26" s="66"/>
      <c r="R26" s="66"/>
      <c r="S26" s="68"/>
    </row>
    <row r="27" spans="2:19" x14ac:dyDescent="0.25">
      <c r="C27" s="92"/>
      <c r="D27" s="92"/>
      <c r="L27" s="5"/>
      <c r="M27" s="66"/>
      <c r="N27" s="66"/>
      <c r="O27" s="66"/>
      <c r="Q27" s="66"/>
      <c r="R27" s="66"/>
      <c r="S27" s="68"/>
    </row>
    <row r="28" spans="2:19" ht="48" customHeight="1" x14ac:dyDescent="0.25">
      <c r="B28" s="341" t="s">
        <v>129</v>
      </c>
      <c r="C28" s="341"/>
      <c r="D28" s="341"/>
      <c r="E28" s="341"/>
      <c r="F28" s="341"/>
      <c r="G28" s="117"/>
      <c r="H28" s="117"/>
      <c r="I28" s="111"/>
      <c r="L28" s="5"/>
      <c r="M28" s="66"/>
      <c r="N28" s="66"/>
      <c r="O28" s="66"/>
      <c r="Q28" s="66"/>
      <c r="R28" s="66"/>
      <c r="S28" s="68"/>
    </row>
    <row r="29" spans="2:19" x14ac:dyDescent="0.25">
      <c r="B29" s="108"/>
      <c r="C29" s="108"/>
      <c r="D29" s="108"/>
      <c r="E29" s="108"/>
      <c r="F29" s="108"/>
      <c r="G29" s="117"/>
      <c r="H29" s="117"/>
      <c r="I29" s="111"/>
      <c r="L29" s="5"/>
      <c r="M29" s="66"/>
      <c r="N29" s="66"/>
      <c r="O29" s="66"/>
      <c r="Q29" s="66"/>
      <c r="R29" s="66"/>
      <c r="S29" s="68"/>
    </row>
    <row r="30" spans="2:19" ht="29.25" customHeight="1" x14ac:dyDescent="0.25">
      <c r="B30" s="341" t="s">
        <v>160</v>
      </c>
      <c r="C30" s="341"/>
      <c r="D30" s="341"/>
      <c r="E30" s="341"/>
      <c r="F30" s="341"/>
      <c r="G30" s="193"/>
      <c r="H30" s="193"/>
      <c r="I30" s="193"/>
      <c r="L30" s="5"/>
      <c r="M30" s="66"/>
      <c r="N30" s="66"/>
      <c r="O30" s="66"/>
      <c r="Q30" s="66"/>
      <c r="R30" s="66"/>
      <c r="S30" s="68"/>
    </row>
    <row r="31" spans="2:19" ht="15" customHeight="1" x14ac:dyDescent="0.25">
      <c r="B31" s="347" t="s">
        <v>159</v>
      </c>
      <c r="C31" s="341"/>
      <c r="D31" s="341"/>
      <c r="E31" s="341"/>
      <c r="F31" s="341"/>
      <c r="G31" s="193"/>
      <c r="H31" s="193"/>
      <c r="I31" s="193"/>
      <c r="L31" s="5"/>
      <c r="M31" s="66"/>
      <c r="N31" s="66"/>
      <c r="O31" s="66"/>
      <c r="Q31" s="66"/>
      <c r="R31" s="66"/>
      <c r="S31" s="68"/>
    </row>
    <row r="32" spans="2:19" ht="15" customHeight="1" x14ac:dyDescent="0.25">
      <c r="B32" s="195"/>
      <c r="C32" s="195"/>
      <c r="D32" s="195"/>
      <c r="E32" s="195"/>
      <c r="F32" s="195"/>
      <c r="G32" s="195"/>
      <c r="H32" s="195"/>
      <c r="I32" s="195"/>
      <c r="L32" s="5"/>
      <c r="M32" s="66"/>
      <c r="N32" s="66"/>
      <c r="O32" s="66"/>
      <c r="Q32" s="66"/>
      <c r="R32" s="66"/>
      <c r="S32" s="68"/>
    </row>
    <row r="33" spans="2:20" x14ac:dyDescent="0.25">
      <c r="B33" s="7" t="s">
        <v>109</v>
      </c>
      <c r="C33" s="101" t="s">
        <v>112</v>
      </c>
      <c r="D33" s="101" t="s">
        <v>113</v>
      </c>
      <c r="E33" s="108"/>
      <c r="F33" s="108"/>
      <c r="G33" s="117"/>
      <c r="H33" s="117"/>
      <c r="I33" s="111"/>
      <c r="L33" s="5"/>
      <c r="M33" s="66"/>
      <c r="N33" s="66"/>
      <c r="O33" s="66"/>
      <c r="Q33" s="66"/>
      <c r="R33" s="66"/>
      <c r="S33" s="68"/>
    </row>
    <row r="34" spans="2:20" x14ac:dyDescent="0.25">
      <c r="B34" s="2" t="s">
        <v>110</v>
      </c>
      <c r="C34" s="92" t="s">
        <v>327</v>
      </c>
      <c r="D34" s="92" t="s">
        <v>118</v>
      </c>
      <c r="L34" s="5"/>
      <c r="M34" s="66"/>
      <c r="N34" s="66"/>
      <c r="O34" s="66"/>
      <c r="Q34" s="66"/>
      <c r="R34" s="66"/>
      <c r="S34" s="68"/>
    </row>
    <row r="35" spans="2:20" x14ac:dyDescent="0.25">
      <c r="B35" s="2" t="s">
        <v>111</v>
      </c>
      <c r="C35" s="92" t="s">
        <v>300</v>
      </c>
      <c r="D35" s="92" t="s">
        <v>303</v>
      </c>
      <c r="L35" s="5"/>
      <c r="M35" s="66"/>
      <c r="N35" s="66"/>
      <c r="O35" s="66"/>
      <c r="Q35" s="66"/>
      <c r="R35" s="66"/>
      <c r="S35" s="68"/>
    </row>
    <row r="36" spans="2:20" x14ac:dyDescent="0.25">
      <c r="B36" s="2" t="s">
        <v>230</v>
      </c>
      <c r="C36" s="92" t="s">
        <v>135</v>
      </c>
      <c r="D36" s="92" t="s">
        <v>147</v>
      </c>
      <c r="L36" s="5"/>
      <c r="M36" s="66"/>
      <c r="N36" s="66"/>
      <c r="O36" s="66"/>
      <c r="P36" s="29"/>
      <c r="Q36" s="66"/>
      <c r="R36" s="66"/>
      <c r="S36" s="68"/>
    </row>
    <row r="37" spans="2:20" x14ac:dyDescent="0.25">
      <c r="B37" s="2" t="s">
        <v>275</v>
      </c>
      <c r="C37" s="92" t="s">
        <v>135</v>
      </c>
      <c r="D37" s="92" t="s">
        <v>147</v>
      </c>
      <c r="L37" s="5"/>
      <c r="M37" s="66"/>
      <c r="N37" s="66"/>
      <c r="O37" s="66"/>
      <c r="P37" s="29"/>
      <c r="Q37" s="66"/>
      <c r="R37" s="66"/>
      <c r="S37" s="68"/>
    </row>
    <row r="38" spans="2:20" x14ac:dyDescent="0.25">
      <c r="B38" s="2" t="s">
        <v>279</v>
      </c>
      <c r="C38" s="92" t="s">
        <v>135</v>
      </c>
      <c r="D38" s="92" t="s">
        <v>147</v>
      </c>
      <c r="L38" s="5"/>
      <c r="M38" s="66"/>
      <c r="N38" s="66"/>
      <c r="O38" s="66"/>
      <c r="P38" s="29"/>
      <c r="Q38" s="66"/>
      <c r="R38" s="66"/>
      <c r="S38" s="68"/>
    </row>
    <row r="39" spans="2:20" x14ac:dyDescent="0.25">
      <c r="B39" s="2" t="s">
        <v>281</v>
      </c>
      <c r="C39" s="92" t="s">
        <v>135</v>
      </c>
      <c r="D39" s="92" t="s">
        <v>147</v>
      </c>
      <c r="L39" s="5"/>
      <c r="M39" s="66"/>
      <c r="N39" s="66"/>
      <c r="O39" s="66"/>
      <c r="P39" s="29"/>
      <c r="Q39" s="66"/>
      <c r="R39" s="66"/>
      <c r="S39" s="68"/>
    </row>
    <row r="40" spans="2:20" x14ac:dyDescent="0.25">
      <c r="B40" s="2" t="s">
        <v>286</v>
      </c>
      <c r="C40" s="92" t="s">
        <v>135</v>
      </c>
      <c r="D40" s="92" t="s">
        <v>147</v>
      </c>
      <c r="L40" s="5"/>
      <c r="M40" s="66"/>
      <c r="N40" s="66"/>
      <c r="O40" s="66"/>
      <c r="P40" s="29"/>
      <c r="Q40" s="66"/>
      <c r="R40" s="66"/>
      <c r="S40" s="68"/>
    </row>
    <row r="41" spans="2:20" x14ac:dyDescent="0.25">
      <c r="C41" s="92"/>
      <c r="D41" s="92"/>
      <c r="L41" s="5"/>
      <c r="M41" s="66"/>
      <c r="N41" s="66"/>
      <c r="O41" s="66"/>
      <c r="P41" s="29"/>
      <c r="Q41" s="66"/>
      <c r="R41" s="66"/>
      <c r="S41" s="68"/>
    </row>
    <row r="42" spans="2:20" x14ac:dyDescent="0.25">
      <c r="B42" s="259" t="s">
        <v>298</v>
      </c>
      <c r="C42" s="92"/>
      <c r="D42" s="92"/>
      <c r="L42" s="5"/>
      <c r="M42" s="66"/>
      <c r="N42" s="66"/>
      <c r="O42" s="66"/>
      <c r="P42" s="29"/>
      <c r="Q42" s="66"/>
      <c r="R42" s="66"/>
      <c r="S42" s="68"/>
    </row>
    <row r="43" spans="2:20" x14ac:dyDescent="0.25">
      <c r="B43" s="125" t="s">
        <v>299</v>
      </c>
      <c r="C43" s="92"/>
      <c r="D43" s="92"/>
      <c r="L43" s="5"/>
      <c r="M43" s="66"/>
      <c r="N43" s="66"/>
      <c r="O43" s="66"/>
      <c r="P43" s="29"/>
      <c r="Q43" s="66"/>
      <c r="R43" s="66"/>
      <c r="S43" s="26"/>
    </row>
    <row r="44" spans="2:20" x14ac:dyDescent="0.25">
      <c r="B44" s="173"/>
      <c r="C44" s="109"/>
      <c r="D44" s="109"/>
      <c r="E44" s="109"/>
      <c r="F44" s="109"/>
      <c r="G44" s="109"/>
      <c r="H44" s="109"/>
      <c r="I44" s="109"/>
      <c r="J44" s="109"/>
      <c r="K44" s="109"/>
      <c r="L44" s="109"/>
      <c r="M44" s="109"/>
      <c r="N44" s="158"/>
      <c r="O44" s="158"/>
      <c r="P44" s="158"/>
      <c r="Q44" s="166" t="s">
        <v>90</v>
      </c>
      <c r="R44" s="163"/>
      <c r="S44" s="164"/>
      <c r="T44" s="51"/>
    </row>
    <row r="45" spans="2:20" ht="15" customHeight="1" x14ac:dyDescent="0.25">
      <c r="B45" s="175" t="s">
        <v>39</v>
      </c>
      <c r="C45" s="157" t="s">
        <v>2</v>
      </c>
      <c r="D45" s="157"/>
      <c r="E45" s="157" t="s">
        <v>34</v>
      </c>
      <c r="F45" s="157" t="s">
        <v>35</v>
      </c>
      <c r="G45" s="157"/>
      <c r="H45" s="157"/>
      <c r="I45" s="157"/>
      <c r="J45" s="157"/>
      <c r="K45" s="157"/>
      <c r="L45" s="157" t="s">
        <v>36</v>
      </c>
      <c r="M45" s="157" t="s">
        <v>37</v>
      </c>
      <c r="N45" s="10"/>
      <c r="O45" s="10"/>
      <c r="P45" s="10"/>
      <c r="Q45" s="54" t="s">
        <v>88</v>
      </c>
      <c r="R45" s="54"/>
      <c r="S45" s="55"/>
      <c r="T45" s="51"/>
    </row>
    <row r="46" spans="2:20" ht="15" customHeight="1" x14ac:dyDescent="0.25">
      <c r="B46" s="63"/>
      <c r="C46" s="9"/>
      <c r="D46" s="9"/>
      <c r="E46" s="9"/>
      <c r="F46" s="9"/>
      <c r="G46" s="9"/>
      <c r="H46" s="9"/>
      <c r="I46" s="9"/>
      <c r="J46" s="9"/>
      <c r="K46" s="9"/>
      <c r="L46" s="9"/>
      <c r="M46" s="9"/>
      <c r="Q46" s="59"/>
      <c r="R46" s="50"/>
      <c r="S46" s="50"/>
      <c r="T46" s="51"/>
    </row>
    <row r="47" spans="2:20" ht="15" customHeight="1" x14ac:dyDescent="0.25">
      <c r="B47" s="63"/>
      <c r="C47" s="9"/>
      <c r="D47" s="9"/>
      <c r="E47" s="9"/>
      <c r="F47" s="9"/>
      <c r="G47" s="9"/>
      <c r="H47" s="9"/>
      <c r="I47" s="9"/>
      <c r="J47" s="9"/>
      <c r="K47" s="9"/>
      <c r="L47" s="9"/>
      <c r="M47" s="9"/>
      <c r="T47" s="51"/>
    </row>
    <row r="48" spans="2:20" x14ac:dyDescent="0.25">
      <c r="B48" s="12"/>
      <c r="C48" s="13"/>
      <c r="D48" s="13"/>
      <c r="E48" s="41"/>
      <c r="F48" s="15"/>
      <c r="G48" s="15"/>
      <c r="H48" s="15"/>
      <c r="I48" s="15"/>
      <c r="J48" s="15"/>
      <c r="K48" s="15"/>
      <c r="L48" s="16"/>
      <c r="M48" s="31"/>
    </row>
    <row r="49" spans="2:19" ht="15" customHeight="1" x14ac:dyDescent="0.25">
      <c r="B49" s="36"/>
      <c r="C49" s="40"/>
      <c r="D49" s="40"/>
      <c r="E49" s="41"/>
      <c r="F49" s="38"/>
      <c r="G49" s="38"/>
      <c r="H49" s="38"/>
      <c r="I49" s="38"/>
      <c r="J49" s="38"/>
      <c r="K49" s="38"/>
      <c r="L49" s="16"/>
      <c r="M49" s="34"/>
      <c r="N49" s="104"/>
      <c r="O49" s="29"/>
      <c r="P49" s="29"/>
    </row>
    <row r="50" spans="2:19" x14ac:dyDescent="0.25">
      <c r="B50" s="36"/>
      <c r="C50" s="40"/>
      <c r="D50" s="40"/>
      <c r="E50" s="41"/>
      <c r="F50" s="38"/>
      <c r="G50" s="38"/>
      <c r="H50" s="38"/>
      <c r="I50" s="38"/>
      <c r="J50" s="38"/>
      <c r="K50" s="38"/>
      <c r="L50" s="39"/>
      <c r="M50" s="34"/>
      <c r="N50" s="104"/>
      <c r="O50" s="29"/>
      <c r="P50" s="29"/>
    </row>
    <row r="51" spans="2:19" x14ac:dyDescent="0.25">
      <c r="B51" s="36"/>
      <c r="C51" s="40"/>
      <c r="D51" s="40"/>
      <c r="E51" s="41"/>
      <c r="F51" s="38"/>
      <c r="G51" s="38"/>
      <c r="H51" s="38"/>
      <c r="I51" s="38"/>
      <c r="J51" s="38"/>
      <c r="K51" s="38"/>
      <c r="L51" s="39"/>
      <c r="M51" s="34"/>
      <c r="N51" s="104"/>
      <c r="O51" s="29"/>
      <c r="P51" s="29"/>
    </row>
    <row r="52" spans="2:19" x14ac:dyDescent="0.25">
      <c r="C52" s="40"/>
      <c r="D52" s="40"/>
      <c r="E52" s="41"/>
      <c r="F52" s="69"/>
      <c r="G52" s="69"/>
      <c r="H52" s="69"/>
      <c r="I52" s="69"/>
      <c r="J52" s="69"/>
      <c r="K52" s="69"/>
      <c r="L52" s="33"/>
      <c r="M52" s="31"/>
      <c r="N52" s="104"/>
    </row>
    <row r="53" spans="2:19" x14ac:dyDescent="0.25">
      <c r="C53" s="40"/>
      <c r="D53" s="40"/>
      <c r="E53" s="41"/>
      <c r="F53" s="69"/>
      <c r="G53" s="69"/>
      <c r="H53" s="69"/>
      <c r="I53" s="69"/>
      <c r="J53" s="69"/>
      <c r="K53" s="69"/>
      <c r="L53" s="33"/>
      <c r="M53" s="31"/>
      <c r="N53" s="105"/>
    </row>
    <row r="54" spans="2:19" ht="15" customHeight="1" x14ac:dyDescent="0.25">
      <c r="B54" s="36"/>
      <c r="C54" s="40"/>
      <c r="D54" s="40"/>
      <c r="E54" s="41"/>
      <c r="F54" s="38"/>
      <c r="G54" s="38"/>
      <c r="H54" s="38"/>
      <c r="I54" s="38"/>
      <c r="J54" s="38"/>
      <c r="K54" s="38"/>
      <c r="L54" s="33"/>
      <c r="M54" s="31"/>
      <c r="N54" s="99"/>
      <c r="O54" s="99"/>
      <c r="P54" s="29"/>
    </row>
    <row r="55" spans="2:19" ht="17.25" customHeight="1" x14ac:dyDescent="0.25">
      <c r="Q55" s="309" t="s">
        <v>316</v>
      </c>
      <c r="R55" s="309"/>
      <c r="S55" s="310">
        <f>S24</f>
        <v>217952.68</v>
      </c>
    </row>
    <row r="56" spans="2:19" ht="15" customHeight="1" x14ac:dyDescent="0.25">
      <c r="E56" s="21"/>
      <c r="F56" s="102"/>
      <c r="G56" s="102"/>
      <c r="H56" s="102"/>
      <c r="I56" s="102"/>
      <c r="J56" s="102"/>
      <c r="K56" s="102"/>
    </row>
    <row r="59" spans="2:19" ht="15" customHeight="1" x14ac:dyDescent="0.25"/>
  </sheetData>
  <mergeCells count="6">
    <mergeCell ref="B31:F31"/>
    <mergeCell ref="Q2:S2"/>
    <mergeCell ref="Q1:S1"/>
    <mergeCell ref="B26:F26"/>
    <mergeCell ref="B28:F28"/>
    <mergeCell ref="B30:F30"/>
  </mergeCells>
  <hyperlinks>
    <hyperlink ref="B31" r:id="rId1"/>
  </hyperlinks>
  <printOptions horizontalCentered="1" gridLines="1"/>
  <pageMargins left="0" right="0" top="0.75" bottom="0.75" header="0.3" footer="0.3"/>
  <pageSetup scale="51" orientation="landscape"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5"/>
  <sheetViews>
    <sheetView tabSelected="1" topLeftCell="B1" zoomScale="90" zoomScaleNormal="90" workbookViewId="0">
      <selection activeCell="O29" sqref="O29"/>
    </sheetView>
  </sheetViews>
  <sheetFormatPr defaultColWidth="9.140625" defaultRowHeight="15" x14ac:dyDescent="0.25"/>
  <cols>
    <col min="1" max="1" width="9.42578125" style="2" hidden="1" customWidth="1"/>
    <col min="2" max="2" width="62.5703125" style="2" customWidth="1"/>
    <col min="3" max="3" width="27.85546875" style="2" customWidth="1"/>
    <col min="4" max="4" width="13.7109375" style="2" customWidth="1"/>
    <col min="5" max="5" width="17" style="2" bestFit="1" customWidth="1"/>
    <col min="6" max="6" width="21" style="2" customWidth="1"/>
    <col min="7" max="7" width="10.140625" style="2" customWidth="1"/>
    <col min="8" max="8" width="12.5703125" style="2" customWidth="1"/>
    <col min="9" max="9" width="13.28515625" style="2" customWidth="1"/>
    <col min="10" max="10" width="14.7109375" style="2" customWidth="1"/>
    <col min="11" max="11" width="10.42578125" style="2" customWidth="1"/>
    <col min="12" max="12" width="19.7109375" style="2" customWidth="1"/>
    <col min="13" max="13" width="13.28515625" style="2" bestFit="1" customWidth="1"/>
    <col min="14" max="14" width="13.7109375" style="2" customWidth="1"/>
    <col min="15" max="15" width="14.42578125" style="2" customWidth="1"/>
    <col min="16" max="16" width="3.140625" style="2" customWidth="1"/>
    <col min="17" max="17" width="13.5703125" style="2" customWidth="1"/>
    <col min="18" max="18" width="14.140625" style="2" customWidth="1"/>
    <col min="19" max="19" width="16.7109375" style="2" customWidth="1"/>
    <col min="20" max="16384" width="9.140625" style="2"/>
  </cols>
  <sheetData>
    <row r="1" spans="1:20" ht="18" customHeight="1" x14ac:dyDescent="0.25">
      <c r="B1" s="8" t="s">
        <v>0</v>
      </c>
      <c r="Q1" s="338" t="s">
        <v>296</v>
      </c>
      <c r="R1" s="338"/>
      <c r="S1" s="338"/>
    </row>
    <row r="2" spans="1:20" ht="18" customHeight="1" x14ac:dyDescent="0.25">
      <c r="B2" s="88" t="s">
        <v>148</v>
      </c>
      <c r="C2" s="182">
        <v>44742</v>
      </c>
      <c r="M2" s="71"/>
      <c r="N2" s="71"/>
      <c r="P2" s="29"/>
      <c r="Q2" s="337" t="s">
        <v>375</v>
      </c>
      <c r="R2" s="337"/>
      <c r="S2" s="337"/>
    </row>
    <row r="3" spans="1:20" ht="18" customHeight="1" thickBot="1" x14ac:dyDescent="0.3">
      <c r="A3" s="2" t="s">
        <v>16</v>
      </c>
      <c r="B3" s="44" t="s">
        <v>48</v>
      </c>
      <c r="C3" s="8"/>
      <c r="D3" s="8"/>
      <c r="E3" s="8"/>
      <c r="P3" s="29"/>
      <c r="Q3" s="45"/>
      <c r="R3" s="30"/>
    </row>
    <row r="4" spans="1:20" ht="18.75" customHeight="1" x14ac:dyDescent="0.25">
      <c r="B4" s="8" t="s">
        <v>174</v>
      </c>
      <c r="M4" s="85" t="s">
        <v>28</v>
      </c>
      <c r="N4" s="85" t="s">
        <v>28</v>
      </c>
      <c r="O4" s="85" t="s">
        <v>28</v>
      </c>
      <c r="P4" s="9"/>
      <c r="Q4" s="89" t="s">
        <v>29</v>
      </c>
      <c r="R4" s="89" t="s">
        <v>31</v>
      </c>
      <c r="S4" s="89" t="s">
        <v>23</v>
      </c>
      <c r="T4" s="7"/>
    </row>
    <row r="5" spans="1:20" ht="15.75" thickBot="1" x14ac:dyDescent="0.3">
      <c r="G5" s="183" t="s">
        <v>295</v>
      </c>
      <c r="H5" s="183" t="s">
        <v>295</v>
      </c>
      <c r="M5" s="86" t="s">
        <v>27</v>
      </c>
      <c r="N5" s="86" t="s">
        <v>26</v>
      </c>
      <c r="O5" s="86" t="s">
        <v>25</v>
      </c>
      <c r="P5" s="9"/>
      <c r="Q5" s="90" t="s">
        <v>30</v>
      </c>
      <c r="R5" s="90" t="s">
        <v>30</v>
      </c>
      <c r="S5" s="90" t="s">
        <v>30</v>
      </c>
      <c r="T5" s="7"/>
    </row>
    <row r="6" spans="1:20" ht="85.5" customHeight="1" thickBot="1" x14ac:dyDescent="0.3">
      <c r="B6" s="84" t="s">
        <v>1</v>
      </c>
      <c r="C6" s="84" t="s">
        <v>389</v>
      </c>
      <c r="D6" s="84" t="s">
        <v>107</v>
      </c>
      <c r="E6" s="84" t="s">
        <v>3</v>
      </c>
      <c r="F6" s="84" t="s">
        <v>4</v>
      </c>
      <c r="G6" s="107" t="s">
        <v>136</v>
      </c>
      <c r="H6" s="107" t="s">
        <v>137</v>
      </c>
      <c r="I6" s="107" t="s">
        <v>133</v>
      </c>
      <c r="J6" s="107" t="s">
        <v>134</v>
      </c>
      <c r="K6" s="107" t="s">
        <v>121</v>
      </c>
      <c r="L6" s="83" t="s">
        <v>5</v>
      </c>
      <c r="M6" s="87" t="s">
        <v>6</v>
      </c>
      <c r="N6" s="87" t="s">
        <v>6</v>
      </c>
      <c r="O6" s="87" t="s">
        <v>6</v>
      </c>
      <c r="P6" s="9"/>
      <c r="Q6" s="91"/>
      <c r="R6" s="97" t="s">
        <v>32</v>
      </c>
      <c r="S6" s="98" t="s">
        <v>33</v>
      </c>
    </row>
    <row r="7" spans="1:20" ht="30.75" customHeight="1" x14ac:dyDescent="0.25">
      <c r="A7" s="2">
        <v>4201</v>
      </c>
      <c r="B7" s="2" t="s">
        <v>8</v>
      </c>
      <c r="C7" s="92" t="s">
        <v>106</v>
      </c>
      <c r="D7" s="92" t="s">
        <v>306</v>
      </c>
      <c r="E7" s="2" t="s">
        <v>307</v>
      </c>
      <c r="F7" s="2" t="s">
        <v>7</v>
      </c>
      <c r="G7" s="186">
        <v>2.63E-2</v>
      </c>
      <c r="H7" s="186">
        <v>0.1845</v>
      </c>
      <c r="I7" s="187">
        <v>44742</v>
      </c>
      <c r="J7" s="187">
        <v>44743</v>
      </c>
      <c r="K7" s="187">
        <v>44378</v>
      </c>
      <c r="L7" s="188" t="s">
        <v>297</v>
      </c>
      <c r="M7" s="22">
        <v>50946</v>
      </c>
      <c r="N7" s="66"/>
      <c r="O7" s="66">
        <f t="shared" ref="O7:O19" si="0">M7+N7</f>
        <v>50946</v>
      </c>
      <c r="P7" s="67"/>
      <c r="Q7" s="66">
        <f>20850.34+26489.37+3233.97</f>
        <v>50573.68</v>
      </c>
      <c r="R7" s="66"/>
      <c r="S7" s="68">
        <f t="shared" ref="S7:S23" si="1">Q7+R7</f>
        <v>50573.68</v>
      </c>
    </row>
    <row r="8" spans="1:20" ht="31.5" customHeight="1" x14ac:dyDescent="0.25">
      <c r="B8" s="2" t="s">
        <v>257</v>
      </c>
      <c r="C8" s="236" t="s">
        <v>260</v>
      </c>
      <c r="D8" s="93" t="s">
        <v>258</v>
      </c>
      <c r="E8" s="2" t="s">
        <v>259</v>
      </c>
      <c r="F8" s="2" t="s">
        <v>7</v>
      </c>
      <c r="G8" s="186">
        <v>2.63E-2</v>
      </c>
      <c r="H8" s="186">
        <v>0.1845</v>
      </c>
      <c r="I8" s="187">
        <v>44439</v>
      </c>
      <c r="J8" s="187">
        <v>44454</v>
      </c>
      <c r="K8" s="187">
        <v>44013</v>
      </c>
      <c r="L8" s="188" t="s">
        <v>290</v>
      </c>
      <c r="M8" s="65">
        <v>1910</v>
      </c>
      <c r="N8" s="67"/>
      <c r="O8" s="67">
        <f>M8+N8</f>
        <v>1910</v>
      </c>
      <c r="P8" s="67"/>
      <c r="Q8" s="67">
        <v>1910</v>
      </c>
      <c r="R8" s="67"/>
      <c r="S8" s="68">
        <f t="shared" ref="S8" si="2">Q8+R8</f>
        <v>1910</v>
      </c>
    </row>
    <row r="9" spans="1:20" ht="31.5" customHeight="1" x14ac:dyDescent="0.25">
      <c r="B9" s="2" t="s">
        <v>128</v>
      </c>
      <c r="C9" s="236" t="s">
        <v>122</v>
      </c>
      <c r="D9" s="93" t="s">
        <v>308</v>
      </c>
      <c r="E9" s="2" t="s">
        <v>309</v>
      </c>
      <c r="F9" s="2" t="s">
        <v>7</v>
      </c>
      <c r="G9" s="186">
        <f t="shared" ref="G9:L9" si="3">+G7</f>
        <v>2.63E-2</v>
      </c>
      <c r="H9" s="186">
        <f t="shared" si="3"/>
        <v>0.1845</v>
      </c>
      <c r="I9" s="187">
        <f t="shared" si="3"/>
        <v>44742</v>
      </c>
      <c r="J9" s="187">
        <f t="shared" si="3"/>
        <v>44743</v>
      </c>
      <c r="K9" s="187">
        <f t="shared" si="3"/>
        <v>44378</v>
      </c>
      <c r="L9" s="188" t="str">
        <f t="shared" si="3"/>
        <v>07/01/21 - 06/30/22</v>
      </c>
      <c r="M9" s="79">
        <v>3701.39</v>
      </c>
      <c r="N9" s="67"/>
      <c r="O9" s="67">
        <f t="shared" si="0"/>
        <v>3701.39</v>
      </c>
      <c r="P9" s="66"/>
      <c r="Q9" s="67">
        <v>3701.39</v>
      </c>
      <c r="R9" s="67"/>
      <c r="S9" s="68">
        <f t="shared" si="1"/>
        <v>3701.39</v>
      </c>
    </row>
    <row r="10" spans="1:20" ht="31.5" customHeight="1" x14ac:dyDescent="0.25">
      <c r="B10" s="330" t="s">
        <v>371</v>
      </c>
      <c r="C10" s="236" t="s">
        <v>373</v>
      </c>
      <c r="D10" s="331" t="s">
        <v>372</v>
      </c>
      <c r="E10" s="29" t="s">
        <v>374</v>
      </c>
      <c r="F10" s="2" t="s">
        <v>7</v>
      </c>
      <c r="G10" s="186">
        <v>2.63E-2</v>
      </c>
      <c r="H10" s="186">
        <v>0.1845</v>
      </c>
      <c r="I10" s="187">
        <v>45199</v>
      </c>
      <c r="J10" s="187">
        <v>45214</v>
      </c>
      <c r="K10" s="187">
        <v>44378</v>
      </c>
      <c r="L10" s="188" t="s">
        <v>325</v>
      </c>
      <c r="M10" s="70">
        <v>1108.03</v>
      </c>
      <c r="N10" s="70"/>
      <c r="O10" s="67">
        <f>M10+N10</f>
        <v>1108.03</v>
      </c>
      <c r="P10" s="42"/>
      <c r="Q10" s="43">
        <v>1108.03</v>
      </c>
      <c r="R10" s="67"/>
      <c r="S10" s="68">
        <f t="shared" si="1"/>
        <v>1108.03</v>
      </c>
    </row>
    <row r="11" spans="1:20" ht="31.5" customHeight="1" x14ac:dyDescent="0.25">
      <c r="B11" s="2" t="s">
        <v>223</v>
      </c>
      <c r="C11" s="236" t="s">
        <v>333</v>
      </c>
      <c r="D11" s="93" t="s">
        <v>224</v>
      </c>
      <c r="E11" s="2" t="s">
        <v>225</v>
      </c>
      <c r="F11" s="2" t="s">
        <v>7</v>
      </c>
      <c r="G11" s="186">
        <f>+G9</f>
        <v>2.63E-2</v>
      </c>
      <c r="H11" s="186">
        <f>+H9</f>
        <v>0.1845</v>
      </c>
      <c r="I11" s="187">
        <v>44834</v>
      </c>
      <c r="J11" s="187">
        <v>44849</v>
      </c>
      <c r="K11" s="187">
        <v>43614</v>
      </c>
      <c r="L11" s="188" t="s">
        <v>274</v>
      </c>
      <c r="M11" s="79">
        <v>24684.400000000001</v>
      </c>
      <c r="N11" s="67"/>
      <c r="O11" s="67">
        <f t="shared" si="0"/>
        <v>24684.400000000001</v>
      </c>
      <c r="P11" s="66"/>
      <c r="Q11" s="67">
        <f>2510.78+542.79</f>
        <v>3053.57</v>
      </c>
      <c r="R11" s="67"/>
      <c r="S11" s="68">
        <f t="shared" si="1"/>
        <v>3053.57</v>
      </c>
    </row>
    <row r="12" spans="1:20" ht="31.5" customHeight="1" x14ac:dyDescent="0.25">
      <c r="B12" s="2" t="s">
        <v>241</v>
      </c>
      <c r="C12" s="236" t="s">
        <v>242</v>
      </c>
      <c r="D12" s="93" t="s">
        <v>164</v>
      </c>
      <c r="E12" s="2" t="s">
        <v>251</v>
      </c>
      <c r="F12" s="2" t="s">
        <v>7</v>
      </c>
      <c r="G12" s="186">
        <f>+G11</f>
        <v>2.63E-2</v>
      </c>
      <c r="H12" s="186">
        <f>+H11</f>
        <v>0.1845</v>
      </c>
      <c r="I12" s="187">
        <v>44393</v>
      </c>
      <c r="J12" s="187">
        <v>44408</v>
      </c>
      <c r="K12" s="187">
        <v>42644</v>
      </c>
      <c r="L12" s="188" t="s">
        <v>273</v>
      </c>
      <c r="M12" s="79">
        <v>52433</v>
      </c>
      <c r="N12" s="67"/>
      <c r="O12" s="67">
        <f t="shared" si="0"/>
        <v>52433</v>
      </c>
      <c r="P12" s="66"/>
      <c r="Q12" s="67">
        <v>0</v>
      </c>
      <c r="R12" s="67"/>
      <c r="S12" s="68">
        <f t="shared" si="1"/>
        <v>0</v>
      </c>
    </row>
    <row r="13" spans="1:20" ht="31.5" customHeight="1" x14ac:dyDescent="0.25">
      <c r="B13" s="2" t="s">
        <v>275</v>
      </c>
      <c r="C13" s="236" t="s">
        <v>333</v>
      </c>
      <c r="D13" s="93" t="s">
        <v>224</v>
      </c>
      <c r="E13" s="2" t="s">
        <v>276</v>
      </c>
      <c r="F13" s="2" t="s">
        <v>7</v>
      </c>
      <c r="G13" s="186">
        <f>G12</f>
        <v>2.63E-2</v>
      </c>
      <c r="H13" s="186">
        <f>H12</f>
        <v>0.1845</v>
      </c>
      <c r="I13" s="187">
        <v>44773</v>
      </c>
      <c r="J13" s="187">
        <v>44788</v>
      </c>
      <c r="K13" s="187">
        <v>43980</v>
      </c>
      <c r="L13" s="188" t="s">
        <v>277</v>
      </c>
      <c r="M13" s="79">
        <v>905.23</v>
      </c>
      <c r="N13" s="67"/>
      <c r="O13" s="67">
        <f t="shared" si="0"/>
        <v>905.23</v>
      </c>
      <c r="P13" s="66"/>
      <c r="Q13" s="67">
        <v>905.23</v>
      </c>
      <c r="R13" s="67"/>
      <c r="S13" s="68">
        <f t="shared" si="1"/>
        <v>905.23</v>
      </c>
    </row>
    <row r="14" spans="1:20" ht="31.5" customHeight="1" x14ac:dyDescent="0.25">
      <c r="B14" s="2" t="s">
        <v>279</v>
      </c>
      <c r="C14" s="236" t="s">
        <v>333</v>
      </c>
      <c r="D14" s="93" t="s">
        <v>224</v>
      </c>
      <c r="E14" s="2" t="s">
        <v>280</v>
      </c>
      <c r="F14" s="2" t="s">
        <v>7</v>
      </c>
      <c r="G14" s="186">
        <f t="shared" ref="G14:H14" si="4">+G12</f>
        <v>2.63E-2</v>
      </c>
      <c r="H14" s="186">
        <f t="shared" si="4"/>
        <v>0.1845</v>
      </c>
      <c r="I14" s="187">
        <v>44592</v>
      </c>
      <c r="J14" s="187">
        <v>44592</v>
      </c>
      <c r="K14" s="187">
        <v>43980</v>
      </c>
      <c r="L14" s="188" t="s">
        <v>332</v>
      </c>
      <c r="M14" s="79">
        <v>3000</v>
      </c>
      <c r="N14" s="67"/>
      <c r="O14" s="67">
        <f t="shared" si="0"/>
        <v>3000</v>
      </c>
      <c r="P14" s="66"/>
      <c r="Q14" s="67"/>
      <c r="R14" s="67"/>
      <c r="S14" s="68">
        <f t="shared" si="1"/>
        <v>0</v>
      </c>
    </row>
    <row r="15" spans="1:20" ht="31.5" customHeight="1" x14ac:dyDescent="0.25">
      <c r="B15" s="2" t="s">
        <v>281</v>
      </c>
      <c r="C15" s="236" t="s">
        <v>334</v>
      </c>
      <c r="D15" s="93" t="s">
        <v>231</v>
      </c>
      <c r="E15" s="2" t="s">
        <v>282</v>
      </c>
      <c r="F15" s="2" t="s">
        <v>7</v>
      </c>
      <c r="G15" s="186">
        <f>G14:H14</f>
        <v>2.63E-2</v>
      </c>
      <c r="H15" s="186">
        <f>H14</f>
        <v>0.1845</v>
      </c>
      <c r="I15" s="187">
        <v>44742</v>
      </c>
      <c r="J15" s="187">
        <v>44757</v>
      </c>
      <c r="K15" s="187">
        <v>43979</v>
      </c>
      <c r="L15" s="188" t="s">
        <v>283</v>
      </c>
      <c r="M15" s="79">
        <v>1027</v>
      </c>
      <c r="N15" s="67"/>
      <c r="O15" s="67">
        <f t="shared" si="0"/>
        <v>1027</v>
      </c>
      <c r="P15" s="66"/>
      <c r="Q15" s="67">
        <v>1026.77</v>
      </c>
      <c r="R15" s="67"/>
      <c r="S15" s="68">
        <f t="shared" si="1"/>
        <v>1026.77</v>
      </c>
    </row>
    <row r="16" spans="1:20" ht="31.5" customHeight="1" x14ac:dyDescent="0.25">
      <c r="B16" s="2" t="s">
        <v>321</v>
      </c>
      <c r="C16" s="236" t="s">
        <v>333</v>
      </c>
      <c r="D16" s="93" t="s">
        <v>288</v>
      </c>
      <c r="E16" s="2" t="s">
        <v>322</v>
      </c>
      <c r="F16" s="2" t="s">
        <v>7</v>
      </c>
      <c r="G16" s="186">
        <f>G15:H15</f>
        <v>2.63E-2</v>
      </c>
      <c r="H16" s="186">
        <f>H15</f>
        <v>0.1845</v>
      </c>
      <c r="I16" s="187">
        <v>45199</v>
      </c>
      <c r="J16" s="187">
        <v>45214</v>
      </c>
      <c r="K16" s="187">
        <v>44201</v>
      </c>
      <c r="L16" s="188" t="s">
        <v>323</v>
      </c>
      <c r="M16" s="79">
        <v>15373.36</v>
      </c>
      <c r="N16" s="67"/>
      <c r="O16" s="67">
        <f t="shared" si="0"/>
        <v>15373.36</v>
      </c>
      <c r="P16" s="66"/>
      <c r="Q16" s="67">
        <f>7447.14+3000+4926.22</f>
        <v>15373.36</v>
      </c>
      <c r="R16" s="67"/>
      <c r="S16" s="68">
        <f t="shared" si="1"/>
        <v>15373.36</v>
      </c>
    </row>
    <row r="17" spans="2:20" ht="31.5" customHeight="1" x14ac:dyDescent="0.25">
      <c r="B17" s="2" t="s">
        <v>324</v>
      </c>
      <c r="C17" s="236" t="s">
        <v>333</v>
      </c>
      <c r="D17" s="93" t="s">
        <v>288</v>
      </c>
      <c r="E17" s="2" t="s">
        <v>329</v>
      </c>
      <c r="F17" s="2" t="s">
        <v>7</v>
      </c>
      <c r="G17" s="186">
        <f>G16:H16</f>
        <v>2.63E-2</v>
      </c>
      <c r="H17" s="186">
        <f>H16</f>
        <v>0.1845</v>
      </c>
      <c r="I17" s="187">
        <v>45199</v>
      </c>
      <c r="J17" s="187">
        <v>45214</v>
      </c>
      <c r="K17" s="187">
        <v>44201</v>
      </c>
      <c r="L17" s="188" t="s">
        <v>325</v>
      </c>
      <c r="M17" s="79">
        <v>8733</v>
      </c>
      <c r="N17" s="67"/>
      <c r="O17" s="67">
        <f t="shared" si="0"/>
        <v>8733</v>
      </c>
      <c r="P17" s="66"/>
      <c r="Q17" s="67"/>
      <c r="R17" s="67"/>
      <c r="S17" s="68">
        <f t="shared" si="1"/>
        <v>0</v>
      </c>
    </row>
    <row r="18" spans="2:20" ht="31.5" customHeight="1" x14ac:dyDescent="0.25">
      <c r="B18" s="2" t="s">
        <v>326</v>
      </c>
      <c r="C18" s="236" t="s">
        <v>333</v>
      </c>
      <c r="D18" s="93" t="s">
        <v>288</v>
      </c>
      <c r="E18" s="2" t="s">
        <v>330</v>
      </c>
      <c r="F18" s="2" t="s">
        <v>7</v>
      </c>
      <c r="G18" s="186">
        <f>G17:H17</f>
        <v>2.63E-2</v>
      </c>
      <c r="H18" s="186">
        <f>H17</f>
        <v>0.1845</v>
      </c>
      <c r="I18" s="187">
        <v>45199</v>
      </c>
      <c r="J18" s="187">
        <v>45214</v>
      </c>
      <c r="K18" s="187">
        <v>44201</v>
      </c>
      <c r="L18" s="188" t="s">
        <v>323</v>
      </c>
      <c r="M18" s="79">
        <v>4035.51</v>
      </c>
      <c r="N18" s="67"/>
      <c r="O18" s="67">
        <f t="shared" si="0"/>
        <v>4035.51</v>
      </c>
      <c r="P18" s="66"/>
      <c r="Q18" s="67"/>
      <c r="R18" s="67"/>
      <c r="S18" s="68">
        <f t="shared" si="1"/>
        <v>0</v>
      </c>
    </row>
    <row r="19" spans="2:20" ht="31.5" customHeight="1" x14ac:dyDescent="0.25">
      <c r="B19" s="2" t="s">
        <v>370</v>
      </c>
      <c r="C19" s="236" t="s">
        <v>333</v>
      </c>
      <c r="D19" s="93" t="s">
        <v>288</v>
      </c>
      <c r="E19" s="2" t="s">
        <v>331</v>
      </c>
      <c r="F19" s="2" t="s">
        <v>7</v>
      </c>
      <c r="G19" s="186">
        <f>G18:H18</f>
        <v>2.63E-2</v>
      </c>
      <c r="H19" s="186">
        <f>H18</f>
        <v>0.1845</v>
      </c>
      <c r="I19" s="187">
        <v>45199</v>
      </c>
      <c r="J19" s="187">
        <v>45214</v>
      </c>
      <c r="K19" s="187">
        <v>44201</v>
      </c>
      <c r="L19" s="188" t="s">
        <v>325</v>
      </c>
      <c r="M19" s="79">
        <v>19101.400000000001</v>
      </c>
      <c r="N19" s="67"/>
      <c r="O19" s="67">
        <f t="shared" si="0"/>
        <v>19101.400000000001</v>
      </c>
      <c r="P19" s="66"/>
      <c r="Q19" s="67"/>
      <c r="R19" s="67"/>
      <c r="S19" s="68">
        <f t="shared" si="1"/>
        <v>0</v>
      </c>
    </row>
    <row r="20" spans="2:20" ht="31.5" customHeight="1" x14ac:dyDescent="0.25">
      <c r="B20" s="2" t="s">
        <v>287</v>
      </c>
      <c r="C20" s="236" t="s">
        <v>333</v>
      </c>
      <c r="D20" s="93" t="s">
        <v>288</v>
      </c>
      <c r="E20" s="2" t="s">
        <v>289</v>
      </c>
      <c r="F20" s="2" t="s">
        <v>7</v>
      </c>
      <c r="G20" s="186">
        <f>G15</f>
        <v>2.63E-2</v>
      </c>
      <c r="H20" s="186">
        <f>H15</f>
        <v>0.1845</v>
      </c>
      <c r="I20" s="187">
        <v>45199</v>
      </c>
      <c r="J20" s="187">
        <v>45199</v>
      </c>
      <c r="K20" s="187">
        <v>44201</v>
      </c>
      <c r="L20" s="188" t="s">
        <v>320</v>
      </c>
      <c r="M20" s="79">
        <v>35358.720000000001</v>
      </c>
      <c r="N20" s="67"/>
      <c r="O20" s="67">
        <f t="shared" ref="O20:O24" si="5">M20+N20</f>
        <v>35358.720000000001</v>
      </c>
      <c r="P20" s="66"/>
      <c r="Q20" s="67">
        <v>35358.720000000001</v>
      </c>
      <c r="R20" s="67"/>
      <c r="S20" s="68">
        <f t="shared" si="1"/>
        <v>35358.720000000001</v>
      </c>
    </row>
    <row r="21" spans="2:20" ht="26.25" customHeight="1" x14ac:dyDescent="0.25">
      <c r="B21" s="2" t="s">
        <v>352</v>
      </c>
      <c r="C21" s="236" t="s">
        <v>353</v>
      </c>
      <c r="D21" s="93" t="s">
        <v>354</v>
      </c>
      <c r="E21" s="2" t="s">
        <v>355</v>
      </c>
      <c r="F21" s="2" t="s">
        <v>7</v>
      </c>
      <c r="G21" s="186">
        <v>2.63E-2</v>
      </c>
      <c r="H21" s="186">
        <v>0.1845</v>
      </c>
      <c r="I21" s="187">
        <v>45565</v>
      </c>
      <c r="J21" s="187">
        <v>45580</v>
      </c>
      <c r="K21" s="187">
        <v>44279</v>
      </c>
      <c r="L21" s="188" t="s">
        <v>356</v>
      </c>
      <c r="M21" s="79">
        <v>138247.82</v>
      </c>
      <c r="N21" s="67"/>
      <c r="O21" s="67">
        <f t="shared" si="5"/>
        <v>138247.82</v>
      </c>
      <c r="P21" s="66"/>
      <c r="Q21" s="67"/>
      <c r="R21" s="67"/>
      <c r="S21" s="68">
        <f t="shared" si="1"/>
        <v>0</v>
      </c>
    </row>
    <row r="22" spans="2:20" ht="21.75" customHeight="1" x14ac:dyDescent="0.25">
      <c r="B22" s="2" t="s">
        <v>357</v>
      </c>
      <c r="C22" s="236" t="s">
        <v>353</v>
      </c>
      <c r="D22" s="93" t="s">
        <v>354</v>
      </c>
      <c r="E22" s="2" t="s">
        <v>358</v>
      </c>
      <c r="F22" s="2" t="s">
        <v>7</v>
      </c>
      <c r="G22" s="186">
        <v>2.63E-2</v>
      </c>
      <c r="H22" s="186">
        <v>0.1845</v>
      </c>
      <c r="I22" s="187">
        <v>45565</v>
      </c>
      <c r="J22" s="187">
        <v>45580</v>
      </c>
      <c r="K22" s="187">
        <v>44279</v>
      </c>
      <c r="L22" s="188" t="s">
        <v>356</v>
      </c>
      <c r="M22" s="79">
        <v>34561.96</v>
      </c>
      <c r="N22" s="67"/>
      <c r="O22" s="67">
        <f t="shared" si="5"/>
        <v>34561.96</v>
      </c>
      <c r="P22" s="66"/>
      <c r="Q22" s="67"/>
      <c r="R22" s="67"/>
      <c r="S22" s="68">
        <f t="shared" si="1"/>
        <v>0</v>
      </c>
    </row>
    <row r="23" spans="2:20" ht="21.75" customHeight="1" x14ac:dyDescent="0.25">
      <c r="B23" s="2" t="s">
        <v>363</v>
      </c>
      <c r="C23" s="236" t="s">
        <v>333</v>
      </c>
      <c r="D23" s="93" t="s">
        <v>288</v>
      </c>
      <c r="E23" s="2" t="s">
        <v>364</v>
      </c>
      <c r="F23" s="2" t="s">
        <v>7</v>
      </c>
      <c r="G23" s="186">
        <v>2.63E-2</v>
      </c>
      <c r="H23" s="186">
        <v>0.1845</v>
      </c>
      <c r="I23" s="187">
        <v>45199</v>
      </c>
      <c r="J23" s="187">
        <v>45214</v>
      </c>
      <c r="K23" s="187">
        <v>44201</v>
      </c>
      <c r="L23" s="188" t="s">
        <v>365</v>
      </c>
      <c r="M23" s="79">
        <v>325.39</v>
      </c>
      <c r="N23" s="67"/>
      <c r="O23" s="67">
        <f t="shared" si="5"/>
        <v>325.39</v>
      </c>
      <c r="P23" s="66"/>
      <c r="Q23" s="67">
        <v>322.23</v>
      </c>
      <c r="R23" s="67"/>
      <c r="S23" s="68">
        <f t="shared" si="1"/>
        <v>322.23</v>
      </c>
    </row>
    <row r="24" spans="2:20" ht="21.75" customHeight="1" x14ac:dyDescent="0.25">
      <c r="B24" s="2" t="s">
        <v>366</v>
      </c>
      <c r="C24" s="236" t="s">
        <v>333</v>
      </c>
      <c r="D24" s="93" t="s">
        <v>367</v>
      </c>
      <c r="E24" s="2" t="s">
        <v>368</v>
      </c>
      <c r="F24" s="2" t="s">
        <v>7</v>
      </c>
      <c r="G24" s="186">
        <v>2.63E-2</v>
      </c>
      <c r="H24" s="186">
        <v>0.1845</v>
      </c>
      <c r="I24" s="187">
        <v>45199</v>
      </c>
      <c r="J24" s="187">
        <v>45214</v>
      </c>
      <c r="K24" s="187">
        <v>44201</v>
      </c>
      <c r="L24" s="188" t="s">
        <v>369</v>
      </c>
      <c r="M24" s="79">
        <v>2228.04</v>
      </c>
      <c r="N24" s="67"/>
      <c r="O24" s="67">
        <f t="shared" si="5"/>
        <v>2228.04</v>
      </c>
      <c r="P24" s="66"/>
      <c r="Q24" s="67"/>
      <c r="R24" s="67"/>
      <c r="S24" s="68"/>
    </row>
    <row r="25" spans="2:20" x14ac:dyDescent="0.25">
      <c r="C25" s="93"/>
      <c r="D25" s="93"/>
      <c r="I25" s="116"/>
      <c r="J25" s="116"/>
      <c r="K25" s="116"/>
      <c r="L25" s="93"/>
      <c r="M25" s="74"/>
      <c r="N25" s="25"/>
      <c r="O25" s="25"/>
      <c r="P25" s="66"/>
      <c r="Q25" s="25"/>
      <c r="R25" s="25"/>
      <c r="S25" s="26"/>
    </row>
    <row r="26" spans="2:20" ht="24.75" customHeight="1" x14ac:dyDescent="0.25">
      <c r="C26" s="93"/>
      <c r="D26" s="93"/>
      <c r="L26" s="21" t="s">
        <v>38</v>
      </c>
      <c r="M26" s="66">
        <f>SUM(M7:M24)</f>
        <v>397680.25000000006</v>
      </c>
      <c r="N26" s="66">
        <f>SUM(N7:N24)</f>
        <v>0</v>
      </c>
      <c r="O26" s="66">
        <f>SUM(O7:O24)</f>
        <v>397680.25000000006</v>
      </c>
      <c r="P26" s="66"/>
      <c r="Q26" s="66">
        <f>SUM(Q7:Q24)</f>
        <v>113332.98</v>
      </c>
      <c r="R26" s="66">
        <f>SUM(R7:R24)</f>
        <v>0</v>
      </c>
      <c r="S26" s="66">
        <f>SUM(S7:S24)</f>
        <v>113332.98</v>
      </c>
      <c r="T26" s="66"/>
    </row>
    <row r="27" spans="2:20" x14ac:dyDescent="0.25">
      <c r="C27" s="93"/>
      <c r="D27" s="93"/>
      <c r="L27" s="21"/>
      <c r="M27" s="66"/>
      <c r="N27" s="66"/>
      <c r="O27" s="66"/>
      <c r="P27" s="66"/>
      <c r="Q27" s="66"/>
      <c r="R27" s="66"/>
      <c r="S27" s="68"/>
      <c r="T27" s="66"/>
    </row>
    <row r="28" spans="2:20" x14ac:dyDescent="0.25">
      <c r="B28" s="8" t="s">
        <v>125</v>
      </c>
      <c r="C28" s="93"/>
      <c r="D28" s="93"/>
      <c r="L28" s="21"/>
      <c r="M28" s="66"/>
      <c r="N28" s="66"/>
      <c r="O28" s="66"/>
      <c r="P28" s="66"/>
      <c r="Q28" s="66"/>
      <c r="R28" s="66"/>
      <c r="S28" s="68"/>
      <c r="T28" s="66"/>
    </row>
    <row r="29" spans="2:20" ht="33" customHeight="1" x14ac:dyDescent="0.25">
      <c r="B29" s="339" t="s">
        <v>126</v>
      </c>
      <c r="C29" s="340"/>
      <c r="D29" s="340"/>
      <c r="E29" s="340"/>
      <c r="F29" s="340"/>
      <c r="G29" s="118"/>
      <c r="H29" s="118"/>
      <c r="I29" s="112"/>
      <c r="S29" s="27"/>
    </row>
    <row r="30" spans="2:20" x14ac:dyDescent="0.25">
      <c r="C30" s="93"/>
      <c r="D30" s="93"/>
      <c r="S30" s="27"/>
    </row>
    <row r="31" spans="2:20" ht="45" customHeight="1" x14ac:dyDescent="0.25">
      <c r="B31" s="341" t="s">
        <v>129</v>
      </c>
      <c r="C31" s="341"/>
      <c r="D31" s="341"/>
      <c r="E31" s="341"/>
      <c r="F31" s="341"/>
      <c r="G31" s="117"/>
      <c r="H31" s="117"/>
      <c r="I31" s="111"/>
      <c r="S31" s="27"/>
    </row>
    <row r="32" spans="2:20" x14ac:dyDescent="0.25">
      <c r="B32" s="193"/>
      <c r="C32" s="193"/>
      <c r="D32" s="193"/>
      <c r="E32" s="193"/>
      <c r="F32" s="193"/>
      <c r="G32" s="193"/>
      <c r="H32" s="193"/>
      <c r="I32" s="193"/>
      <c r="S32" s="27"/>
    </row>
    <row r="33" spans="2:19" ht="31.5" customHeight="1" x14ac:dyDescent="0.25">
      <c r="B33" s="341" t="s">
        <v>160</v>
      </c>
      <c r="C33" s="341"/>
      <c r="D33" s="341"/>
      <c r="E33" s="341"/>
      <c r="F33" s="341"/>
      <c r="S33" s="27"/>
    </row>
    <row r="34" spans="2:19" x14ac:dyDescent="0.25">
      <c r="B34" s="192" t="s">
        <v>159</v>
      </c>
      <c r="C34" s="93"/>
      <c r="D34" s="93"/>
      <c r="S34" s="27"/>
    </row>
    <row r="35" spans="2:19" x14ac:dyDescent="0.25">
      <c r="B35" s="192"/>
      <c r="C35" s="93"/>
      <c r="D35" s="93"/>
      <c r="S35" s="27"/>
    </row>
    <row r="36" spans="2:19" x14ac:dyDescent="0.25">
      <c r="B36" s="7" t="s">
        <v>109</v>
      </c>
      <c r="C36" s="101" t="s">
        <v>112</v>
      </c>
      <c r="D36" s="101" t="s">
        <v>113</v>
      </c>
      <c r="S36" s="27"/>
    </row>
    <row r="37" spans="2:19" x14ac:dyDescent="0.25">
      <c r="B37" s="2" t="s">
        <v>110</v>
      </c>
      <c r="C37" s="92" t="s">
        <v>327</v>
      </c>
      <c r="D37" s="92" t="s">
        <v>118</v>
      </c>
      <c r="S37" s="27"/>
    </row>
    <row r="38" spans="2:19" x14ac:dyDescent="0.25">
      <c r="B38" s="2" t="s">
        <v>111</v>
      </c>
      <c r="C38" s="92" t="s">
        <v>300</v>
      </c>
      <c r="D38" s="92" t="s">
        <v>303</v>
      </c>
      <c r="S38" s="27"/>
    </row>
    <row r="39" spans="2:19" x14ac:dyDescent="0.25">
      <c r="B39" s="2" t="s">
        <v>230</v>
      </c>
      <c r="C39" s="92" t="s">
        <v>135</v>
      </c>
      <c r="D39" s="92" t="s">
        <v>147</v>
      </c>
      <c r="S39" s="27"/>
    </row>
    <row r="40" spans="2:19" x14ac:dyDescent="0.25">
      <c r="B40" s="2" t="s">
        <v>240</v>
      </c>
      <c r="C40" s="92" t="s">
        <v>135</v>
      </c>
      <c r="D40" s="92" t="s">
        <v>147</v>
      </c>
      <c r="S40" s="27"/>
    </row>
    <row r="41" spans="2:19" x14ac:dyDescent="0.25">
      <c r="B41" s="2" t="s">
        <v>275</v>
      </c>
      <c r="C41" s="92" t="s">
        <v>135</v>
      </c>
      <c r="D41" s="92" t="s">
        <v>147</v>
      </c>
      <c r="S41" s="27"/>
    </row>
    <row r="42" spans="2:19" x14ac:dyDescent="0.25">
      <c r="B42" s="2" t="s">
        <v>279</v>
      </c>
      <c r="C42" s="92" t="s">
        <v>135</v>
      </c>
      <c r="D42" s="92" t="s">
        <v>147</v>
      </c>
      <c r="S42" s="27"/>
    </row>
    <row r="43" spans="2:19" x14ac:dyDescent="0.25">
      <c r="B43" s="2" t="s">
        <v>281</v>
      </c>
      <c r="C43" s="92" t="s">
        <v>135</v>
      </c>
      <c r="D43" s="92" t="s">
        <v>147</v>
      </c>
      <c r="S43" s="27"/>
    </row>
    <row r="44" spans="2:19" x14ac:dyDescent="0.25">
      <c r="B44" s="2" t="s">
        <v>286</v>
      </c>
      <c r="C44" s="92" t="s">
        <v>135</v>
      </c>
      <c r="D44" s="92" t="s">
        <v>147</v>
      </c>
      <c r="S44" s="27"/>
    </row>
    <row r="45" spans="2:19" x14ac:dyDescent="0.25">
      <c r="C45" s="92"/>
      <c r="D45" s="92"/>
      <c r="S45" s="27"/>
    </row>
    <row r="46" spans="2:19" x14ac:dyDescent="0.25">
      <c r="B46" s="336" t="s">
        <v>298</v>
      </c>
      <c r="C46" s="336"/>
      <c r="D46" s="336"/>
      <c r="E46" s="336"/>
      <c r="F46" s="336"/>
      <c r="G46" s="336"/>
      <c r="H46" s="336"/>
      <c r="S46" s="27"/>
    </row>
    <row r="47" spans="2:19" x14ac:dyDescent="0.25">
      <c r="B47" s="242" t="s">
        <v>299</v>
      </c>
      <c r="C47" s="92"/>
      <c r="D47" s="92"/>
      <c r="S47" s="27"/>
    </row>
    <row r="48" spans="2:19" x14ac:dyDescent="0.25">
      <c r="B48" s="125"/>
      <c r="C48" s="92"/>
      <c r="D48" s="92"/>
      <c r="S48" s="27"/>
    </row>
    <row r="49" spans="2:20" ht="15" customHeight="1" x14ac:dyDescent="0.25">
      <c r="B49" s="109"/>
      <c r="C49" s="109"/>
      <c r="D49" s="109"/>
      <c r="E49" s="109"/>
      <c r="F49" s="109"/>
      <c r="G49" s="109"/>
      <c r="H49" s="109"/>
      <c r="I49" s="109"/>
      <c r="J49" s="109"/>
      <c r="K49" s="109"/>
      <c r="L49" s="109"/>
      <c r="M49" s="109"/>
      <c r="N49" s="109"/>
      <c r="O49" s="109"/>
      <c r="P49" s="109"/>
      <c r="Q49" s="163" t="s">
        <v>89</v>
      </c>
      <c r="R49" s="163"/>
      <c r="S49" s="164"/>
    </row>
    <row r="50" spans="2:20" ht="15" customHeight="1" x14ac:dyDescent="0.25">
      <c r="B50" s="17" t="s">
        <v>39</v>
      </c>
      <c r="C50" s="96" t="s">
        <v>2</v>
      </c>
      <c r="D50" s="96"/>
      <c r="E50" s="157" t="s">
        <v>34</v>
      </c>
      <c r="F50" s="157" t="s">
        <v>35</v>
      </c>
      <c r="G50" s="157"/>
      <c r="H50" s="157"/>
      <c r="I50" s="157"/>
      <c r="J50" s="157"/>
      <c r="K50" s="157"/>
      <c r="L50" s="157" t="s">
        <v>36</v>
      </c>
      <c r="M50" s="157" t="s">
        <v>37</v>
      </c>
      <c r="N50" s="47"/>
      <c r="O50" s="47"/>
      <c r="P50" s="47"/>
      <c r="Q50" s="54" t="s">
        <v>88</v>
      </c>
      <c r="R50" s="52"/>
      <c r="S50" s="53"/>
      <c r="T50" s="51"/>
    </row>
    <row r="51" spans="2:20" x14ac:dyDescent="0.25">
      <c r="B51" s="63"/>
      <c r="C51" s="9"/>
      <c r="D51" s="9"/>
      <c r="E51" s="9"/>
      <c r="F51" s="9"/>
      <c r="G51" s="9"/>
      <c r="H51" s="9"/>
      <c r="I51" s="9"/>
      <c r="J51" s="9"/>
      <c r="K51" s="9"/>
      <c r="L51" s="9"/>
      <c r="M51" s="9"/>
      <c r="N51" s="45"/>
      <c r="O51" s="45"/>
      <c r="P51" s="45"/>
      <c r="T51" s="51"/>
    </row>
    <row r="52" spans="2:20" x14ac:dyDescent="0.25">
      <c r="B52" s="63"/>
      <c r="C52" s="9"/>
      <c r="D52" s="9"/>
      <c r="E52" s="9"/>
      <c r="F52" s="9"/>
      <c r="G52" s="9"/>
      <c r="H52" s="9"/>
      <c r="I52" s="9"/>
      <c r="J52" s="9"/>
      <c r="K52" s="9"/>
      <c r="L52" s="9"/>
      <c r="M52" s="9"/>
      <c r="N52" s="45"/>
      <c r="O52" s="45"/>
      <c r="P52" s="45"/>
      <c r="Q52" s="49"/>
      <c r="R52" s="50"/>
      <c r="S52" s="50"/>
      <c r="T52" s="51"/>
    </row>
    <row r="53" spans="2:20" x14ac:dyDescent="0.25">
      <c r="B53" s="63"/>
      <c r="C53" s="148"/>
      <c r="D53" s="148"/>
      <c r="E53" s="148"/>
      <c r="F53" s="148"/>
      <c r="G53" s="148"/>
      <c r="H53" s="148"/>
      <c r="I53" s="148"/>
      <c r="J53" s="148"/>
      <c r="K53" s="148"/>
      <c r="L53" s="148"/>
      <c r="M53" s="148"/>
      <c r="N53" s="45"/>
      <c r="O53" s="45"/>
      <c r="P53" s="45"/>
      <c r="Q53" s="49"/>
      <c r="R53" s="50"/>
      <c r="S53" s="50"/>
      <c r="T53" s="51"/>
    </row>
    <row r="54" spans="2:20" x14ac:dyDescent="0.25">
      <c r="B54" s="63"/>
      <c r="C54" s="148"/>
      <c r="D54" s="148"/>
      <c r="E54" s="148"/>
      <c r="F54" s="148"/>
      <c r="G54" s="148"/>
      <c r="H54" s="148"/>
      <c r="I54" s="148"/>
      <c r="J54" s="148"/>
      <c r="K54" s="148"/>
      <c r="L54" s="148"/>
      <c r="M54" s="148"/>
      <c r="N54" s="45"/>
      <c r="O54" s="45"/>
      <c r="P54" s="45"/>
      <c r="Q54" s="49"/>
      <c r="R54" s="50"/>
      <c r="S54" s="50"/>
      <c r="T54" s="51"/>
    </row>
    <row r="55" spans="2:20" x14ac:dyDescent="0.25">
      <c r="Q55" s="309" t="s">
        <v>316</v>
      </c>
      <c r="R55" s="309"/>
      <c r="S55" s="310">
        <f>S26</f>
        <v>113332.98</v>
      </c>
    </row>
  </sheetData>
  <mergeCells count="6">
    <mergeCell ref="B46:H46"/>
    <mergeCell ref="Q2:S2"/>
    <mergeCell ref="Q1:S1"/>
    <mergeCell ref="B29:F29"/>
    <mergeCell ref="B31:F31"/>
    <mergeCell ref="B33:F33"/>
  </mergeCells>
  <hyperlinks>
    <hyperlink ref="B34" r:id="rId1"/>
  </hyperlinks>
  <printOptions horizontalCentered="1" gridLines="1"/>
  <pageMargins left="0" right="0" top="0.75" bottom="0.75" header="0.3" footer="0.3"/>
  <pageSetup paperSize="5" scale="60" orientation="landscape" horizontalDpi="1200" verticalDpi="1200"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4"/>
  <sheetViews>
    <sheetView topLeftCell="B4" zoomScale="90" zoomScaleNormal="90" workbookViewId="0">
      <selection activeCell="Q20" sqref="Q20"/>
    </sheetView>
  </sheetViews>
  <sheetFormatPr defaultColWidth="9.140625" defaultRowHeight="15" x14ac:dyDescent="0.25"/>
  <cols>
    <col min="1" max="1" width="9.140625" style="2" hidden="1" customWidth="1"/>
    <col min="2" max="2" width="61" style="2" customWidth="1"/>
    <col min="3" max="3" width="26.140625" style="2" customWidth="1"/>
    <col min="4" max="4" width="13.7109375" style="2" customWidth="1"/>
    <col min="5" max="5" width="17.5703125" style="2" customWidth="1"/>
    <col min="6" max="6" width="22" style="2" customWidth="1"/>
    <col min="7" max="7" width="10.28515625" style="2" customWidth="1"/>
    <col min="8" max="8" width="12.85546875" style="2" customWidth="1"/>
    <col min="9" max="9" width="13.42578125" style="2" customWidth="1"/>
    <col min="10" max="10" width="15.7109375" style="2" customWidth="1"/>
    <col min="11" max="11" width="8.85546875" style="2" customWidth="1"/>
    <col min="12" max="12" width="17.710937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6.7109375" style="2" customWidth="1"/>
    <col min="20" max="16384" width="9.140625" style="2"/>
  </cols>
  <sheetData>
    <row r="1" spans="1:20" ht="18" customHeight="1" x14ac:dyDescent="0.25">
      <c r="B1" s="1" t="s">
        <v>209</v>
      </c>
      <c r="Q1" s="338" t="s">
        <v>296</v>
      </c>
      <c r="R1" s="338"/>
      <c r="S1" s="338"/>
    </row>
    <row r="2" spans="1:20" ht="18" customHeight="1" x14ac:dyDescent="0.25">
      <c r="B2" s="88" t="s">
        <v>148</v>
      </c>
      <c r="C2" s="182">
        <v>44742</v>
      </c>
      <c r="M2" s="71"/>
      <c r="N2" s="71"/>
      <c r="P2" s="29"/>
      <c r="Q2" s="337" t="s">
        <v>375</v>
      </c>
      <c r="R2" s="337"/>
      <c r="S2" s="337"/>
    </row>
    <row r="3" spans="1:20" ht="18" customHeight="1" thickBot="1" x14ac:dyDescent="0.3">
      <c r="A3" s="2" t="s">
        <v>16</v>
      </c>
      <c r="B3" s="44" t="s">
        <v>61</v>
      </c>
      <c r="C3" s="8"/>
      <c r="D3" s="8"/>
      <c r="E3" s="8"/>
      <c r="P3" s="29"/>
      <c r="Q3" s="45"/>
      <c r="R3" s="30"/>
    </row>
    <row r="4" spans="1:20" ht="18.75" customHeight="1" x14ac:dyDescent="0.25">
      <c r="B4" s="8" t="s">
        <v>174</v>
      </c>
      <c r="M4" s="85" t="s">
        <v>28</v>
      </c>
      <c r="N4" s="85" t="s">
        <v>28</v>
      </c>
      <c r="O4" s="85" t="s">
        <v>28</v>
      </c>
      <c r="P4" s="9"/>
      <c r="Q4" s="89" t="s">
        <v>29</v>
      </c>
      <c r="R4" s="89" t="s">
        <v>31</v>
      </c>
      <c r="S4" s="89" t="s">
        <v>23</v>
      </c>
      <c r="T4" s="7"/>
    </row>
    <row r="5" spans="1:20" ht="15.75" thickBot="1" x14ac:dyDescent="0.3">
      <c r="G5" s="183" t="s">
        <v>295</v>
      </c>
      <c r="H5" s="183" t="s">
        <v>295</v>
      </c>
      <c r="M5" s="86" t="s">
        <v>27</v>
      </c>
      <c r="N5" s="86" t="s">
        <v>26</v>
      </c>
      <c r="O5" s="86" t="s">
        <v>25</v>
      </c>
      <c r="P5" s="9"/>
      <c r="Q5" s="90" t="s">
        <v>30</v>
      </c>
      <c r="R5" s="90" t="s">
        <v>30</v>
      </c>
      <c r="S5" s="90" t="s">
        <v>30</v>
      </c>
      <c r="T5" s="7"/>
    </row>
    <row r="6" spans="1:20" ht="85.5" customHeight="1" thickBot="1" x14ac:dyDescent="0.3">
      <c r="B6" s="84" t="s">
        <v>1</v>
      </c>
      <c r="C6" s="84" t="s">
        <v>389</v>
      </c>
      <c r="D6" s="84" t="s">
        <v>107</v>
      </c>
      <c r="E6" s="84" t="s">
        <v>3</v>
      </c>
      <c r="F6" s="84" t="s">
        <v>4</v>
      </c>
      <c r="G6" s="107" t="s">
        <v>136</v>
      </c>
      <c r="H6" s="107" t="s">
        <v>137</v>
      </c>
      <c r="I6" s="107" t="s">
        <v>133</v>
      </c>
      <c r="J6" s="107" t="s">
        <v>134</v>
      </c>
      <c r="K6" s="107" t="s">
        <v>121</v>
      </c>
      <c r="L6" s="83" t="s">
        <v>5</v>
      </c>
      <c r="M6" s="87" t="s">
        <v>6</v>
      </c>
      <c r="N6" s="87" t="s">
        <v>6</v>
      </c>
      <c r="O6" s="87" t="s">
        <v>6</v>
      </c>
      <c r="P6" s="9"/>
      <c r="Q6" s="91"/>
      <c r="R6" s="97" t="s">
        <v>32</v>
      </c>
      <c r="S6" s="98" t="s">
        <v>33</v>
      </c>
    </row>
    <row r="7" spans="1:20" ht="29.25" customHeight="1" x14ac:dyDescent="0.25">
      <c r="B7" s="2" t="s">
        <v>8</v>
      </c>
      <c r="C7" s="92" t="s">
        <v>106</v>
      </c>
      <c r="D7" s="92" t="s">
        <v>306</v>
      </c>
      <c r="E7" s="2" t="s">
        <v>307</v>
      </c>
      <c r="F7" s="2" t="s">
        <v>7</v>
      </c>
      <c r="G7" s="186">
        <v>2.63E-2</v>
      </c>
      <c r="H7" s="186">
        <v>0.1845</v>
      </c>
      <c r="I7" s="187">
        <v>44742</v>
      </c>
      <c r="J7" s="187">
        <v>44743</v>
      </c>
      <c r="K7" s="187">
        <v>44378</v>
      </c>
      <c r="L7" s="188" t="s">
        <v>297</v>
      </c>
      <c r="M7" s="65">
        <v>203521.5</v>
      </c>
      <c r="N7" s="70"/>
      <c r="O7" s="67">
        <f>M7+N7</f>
        <v>203521.5</v>
      </c>
      <c r="P7" s="148"/>
      <c r="Q7" s="61">
        <f>40582.22+66471.35</f>
        <v>107053.57</v>
      </c>
      <c r="R7" s="60"/>
      <c r="S7" s="81">
        <f>Q7+R7</f>
        <v>107053.57</v>
      </c>
    </row>
    <row r="8" spans="1:20" ht="30" customHeight="1" x14ac:dyDescent="0.25">
      <c r="B8" s="2" t="s">
        <v>128</v>
      </c>
      <c r="C8" s="225" t="s">
        <v>122</v>
      </c>
      <c r="D8" s="93" t="s">
        <v>310</v>
      </c>
      <c r="E8" s="2" t="s">
        <v>309</v>
      </c>
      <c r="F8" s="2" t="s">
        <v>7</v>
      </c>
      <c r="G8" s="298">
        <v>2.63E-2</v>
      </c>
      <c r="H8" s="298">
        <v>0.1845</v>
      </c>
      <c r="I8" s="275">
        <f t="shared" ref="I8:J8" si="0">I7</f>
        <v>44742</v>
      </c>
      <c r="J8" s="275">
        <f t="shared" si="0"/>
        <v>44743</v>
      </c>
      <c r="K8" s="275">
        <f>K7</f>
        <v>44378</v>
      </c>
      <c r="L8" s="188" t="str">
        <f>L7</f>
        <v>07/01/21 - 06/30/22</v>
      </c>
      <c r="M8" s="65">
        <v>19200.939999999999</v>
      </c>
      <c r="N8" s="67"/>
      <c r="O8" s="67">
        <f>M8+N8</f>
        <v>19200.939999999999</v>
      </c>
      <c r="P8" s="67"/>
      <c r="Q8" s="67">
        <v>19200.939999999999</v>
      </c>
      <c r="R8" s="67"/>
      <c r="S8" s="68">
        <f>Q8+R8</f>
        <v>19200.939999999999</v>
      </c>
    </row>
    <row r="9" spans="1:20" ht="30" customHeight="1" x14ac:dyDescent="0.25">
      <c r="B9" s="330" t="s">
        <v>371</v>
      </c>
      <c r="C9" s="236" t="s">
        <v>373</v>
      </c>
      <c r="D9" s="331" t="s">
        <v>372</v>
      </c>
      <c r="E9" s="29" t="s">
        <v>374</v>
      </c>
      <c r="F9" s="2" t="s">
        <v>7</v>
      </c>
      <c r="G9" s="186">
        <v>2.63E-2</v>
      </c>
      <c r="H9" s="186">
        <v>0.1845</v>
      </c>
      <c r="I9" s="187">
        <v>45199</v>
      </c>
      <c r="J9" s="187">
        <v>45214</v>
      </c>
      <c r="K9" s="187">
        <v>44378</v>
      </c>
      <c r="L9" s="188" t="s">
        <v>325</v>
      </c>
      <c r="M9" s="70">
        <v>5747.9</v>
      </c>
      <c r="N9" s="70"/>
      <c r="O9" s="67">
        <f>M9+N9</f>
        <v>5747.9</v>
      </c>
      <c r="P9" s="42"/>
      <c r="Q9" s="43">
        <v>5747.9</v>
      </c>
      <c r="R9" s="67"/>
      <c r="S9" s="68">
        <f t="shared" ref="S9" si="1">Q9+R9</f>
        <v>5747.9</v>
      </c>
    </row>
    <row r="10" spans="1:20" ht="32.25" customHeight="1" x14ac:dyDescent="0.25">
      <c r="B10" s="2" t="s">
        <v>223</v>
      </c>
      <c r="C10" s="236" t="s">
        <v>333</v>
      </c>
      <c r="D10" s="93" t="s">
        <v>224</v>
      </c>
      <c r="E10" s="2" t="s">
        <v>225</v>
      </c>
      <c r="F10" s="2" t="s">
        <v>7</v>
      </c>
      <c r="G10" s="186">
        <v>2.63E-2</v>
      </c>
      <c r="H10" s="186">
        <v>0.1845</v>
      </c>
      <c r="I10" s="187">
        <v>44834</v>
      </c>
      <c r="J10" s="187">
        <v>44849</v>
      </c>
      <c r="K10" s="187">
        <v>43614</v>
      </c>
      <c r="L10" s="188" t="s">
        <v>274</v>
      </c>
      <c r="M10" s="65">
        <v>99356.61</v>
      </c>
      <c r="N10" s="67"/>
      <c r="O10" s="67">
        <f>M10+N10</f>
        <v>99356.61</v>
      </c>
      <c r="P10" s="67"/>
      <c r="Q10" s="67">
        <v>51221.94</v>
      </c>
      <c r="R10" s="67"/>
      <c r="S10" s="68">
        <f>Q10+R10</f>
        <v>51221.94</v>
      </c>
    </row>
    <row r="11" spans="1:20" ht="32.25" customHeight="1" x14ac:dyDescent="0.25">
      <c r="B11" s="2" t="s">
        <v>275</v>
      </c>
      <c r="C11" s="236" t="s">
        <v>333</v>
      </c>
      <c r="D11" s="93" t="s">
        <v>224</v>
      </c>
      <c r="E11" s="2" t="s">
        <v>276</v>
      </c>
      <c r="F11" s="2" t="s">
        <v>7</v>
      </c>
      <c r="G11" s="186">
        <v>2.63E-2</v>
      </c>
      <c r="H11" s="186">
        <v>0.1845</v>
      </c>
      <c r="I11" s="297">
        <v>44773</v>
      </c>
      <c r="J11" s="297">
        <v>44788</v>
      </c>
      <c r="K11" s="187">
        <v>43980</v>
      </c>
      <c r="L11" s="188" t="s">
        <v>277</v>
      </c>
      <c r="M11" s="79">
        <v>5441.62</v>
      </c>
      <c r="N11" s="70"/>
      <c r="O11" s="67">
        <f>M11+N11</f>
        <v>5441.62</v>
      </c>
      <c r="P11" s="67"/>
      <c r="Q11" s="67"/>
      <c r="R11" s="67"/>
      <c r="S11" s="68">
        <f>Q11+R11</f>
        <v>0</v>
      </c>
    </row>
    <row r="12" spans="1:20" ht="32.25" customHeight="1" x14ac:dyDescent="0.25">
      <c r="B12" s="2" t="s">
        <v>279</v>
      </c>
      <c r="C12" s="236" t="s">
        <v>333</v>
      </c>
      <c r="D12" s="93" t="s">
        <v>224</v>
      </c>
      <c r="E12" s="2" t="s">
        <v>280</v>
      </c>
      <c r="F12" s="2" t="s">
        <v>7</v>
      </c>
      <c r="G12" s="186">
        <v>2.63E-2</v>
      </c>
      <c r="H12" s="186">
        <v>0.1845</v>
      </c>
      <c r="I12" s="187">
        <v>44592</v>
      </c>
      <c r="J12" s="187">
        <v>44592</v>
      </c>
      <c r="K12" s="187">
        <v>43980</v>
      </c>
      <c r="L12" s="188" t="s">
        <v>332</v>
      </c>
      <c r="M12" s="79">
        <v>3000</v>
      </c>
      <c r="N12" s="67"/>
      <c r="O12" s="67">
        <f t="shared" ref="O12:O22" si="2">M12+N12</f>
        <v>3000</v>
      </c>
      <c r="P12" s="66"/>
      <c r="Q12" s="67"/>
      <c r="R12" s="67"/>
      <c r="S12" s="68">
        <f t="shared" ref="S12:S20" si="3">Q12+R12</f>
        <v>0</v>
      </c>
    </row>
    <row r="13" spans="1:20" ht="32.25" customHeight="1" x14ac:dyDescent="0.25">
      <c r="B13" s="2" t="s">
        <v>281</v>
      </c>
      <c r="C13" s="236" t="s">
        <v>334</v>
      </c>
      <c r="D13" s="93" t="s">
        <v>231</v>
      </c>
      <c r="E13" s="2" t="s">
        <v>282</v>
      </c>
      <c r="F13" s="2" t="s">
        <v>7</v>
      </c>
      <c r="G13" s="186">
        <v>2.63E-2</v>
      </c>
      <c r="H13" s="186">
        <v>0.1845</v>
      </c>
      <c r="I13" s="187">
        <v>44742</v>
      </c>
      <c r="J13" s="187">
        <v>44757</v>
      </c>
      <c r="K13" s="187">
        <v>43979</v>
      </c>
      <c r="L13" s="188" t="s">
        <v>283</v>
      </c>
      <c r="M13" s="79">
        <v>1027</v>
      </c>
      <c r="N13" s="67"/>
      <c r="O13" s="67">
        <f t="shared" si="2"/>
        <v>1027</v>
      </c>
      <c r="P13" s="66"/>
      <c r="Q13" s="67"/>
      <c r="R13" s="67"/>
      <c r="S13" s="68">
        <f t="shared" si="3"/>
        <v>0</v>
      </c>
    </row>
    <row r="14" spans="1:20" ht="32.25" customHeight="1" x14ac:dyDescent="0.25">
      <c r="B14" s="2" t="s">
        <v>321</v>
      </c>
      <c r="C14" s="236" t="s">
        <v>333</v>
      </c>
      <c r="D14" s="93" t="s">
        <v>288</v>
      </c>
      <c r="E14" s="2" t="s">
        <v>322</v>
      </c>
      <c r="F14" s="2" t="s">
        <v>7</v>
      </c>
      <c r="G14" s="186">
        <f>G13:H13</f>
        <v>2.63E-2</v>
      </c>
      <c r="H14" s="186">
        <f>H13</f>
        <v>0.1845</v>
      </c>
      <c r="I14" s="187">
        <v>45199</v>
      </c>
      <c r="J14" s="187">
        <v>45214</v>
      </c>
      <c r="K14" s="187">
        <v>44201</v>
      </c>
      <c r="L14" s="188" t="s">
        <v>323</v>
      </c>
      <c r="M14" s="79">
        <v>90767.78</v>
      </c>
      <c r="N14" s="67"/>
      <c r="O14" s="67">
        <f t="shared" si="2"/>
        <v>90767.78</v>
      </c>
      <c r="P14" s="66"/>
      <c r="Q14" s="67">
        <v>85275</v>
      </c>
      <c r="R14" s="67"/>
      <c r="S14" s="68">
        <f t="shared" si="3"/>
        <v>85275</v>
      </c>
    </row>
    <row r="15" spans="1:20" ht="32.25" customHeight="1" x14ac:dyDescent="0.25">
      <c r="B15" s="2" t="s">
        <v>324</v>
      </c>
      <c r="C15" s="236" t="s">
        <v>333</v>
      </c>
      <c r="D15" s="93" t="s">
        <v>288</v>
      </c>
      <c r="E15" s="2" t="s">
        <v>329</v>
      </c>
      <c r="F15" s="2" t="s">
        <v>7</v>
      </c>
      <c r="G15" s="186">
        <f>G14:H14</f>
        <v>2.63E-2</v>
      </c>
      <c r="H15" s="186">
        <f>H14</f>
        <v>0.1845</v>
      </c>
      <c r="I15" s="187">
        <v>45199</v>
      </c>
      <c r="J15" s="187">
        <v>45214</v>
      </c>
      <c r="K15" s="187">
        <v>44201</v>
      </c>
      <c r="L15" s="188" t="s">
        <v>325</v>
      </c>
      <c r="M15" s="79">
        <v>20377</v>
      </c>
      <c r="N15" s="67"/>
      <c r="O15" s="67">
        <f t="shared" si="2"/>
        <v>20377</v>
      </c>
      <c r="P15" s="66"/>
      <c r="Q15" s="67"/>
      <c r="R15" s="67"/>
      <c r="S15" s="68">
        <f t="shared" si="3"/>
        <v>0</v>
      </c>
    </row>
    <row r="16" spans="1:20" ht="32.25" customHeight="1" x14ac:dyDescent="0.25">
      <c r="B16" s="2" t="s">
        <v>326</v>
      </c>
      <c r="C16" s="236" t="s">
        <v>333</v>
      </c>
      <c r="D16" s="93" t="s">
        <v>288</v>
      </c>
      <c r="E16" s="2" t="s">
        <v>330</v>
      </c>
      <c r="F16" s="2" t="s">
        <v>7</v>
      </c>
      <c r="G16" s="186">
        <f>G15:H15</f>
        <v>2.63E-2</v>
      </c>
      <c r="H16" s="186">
        <f>H15</f>
        <v>0.1845</v>
      </c>
      <c r="I16" s="187">
        <v>45199</v>
      </c>
      <c r="J16" s="187">
        <v>45214</v>
      </c>
      <c r="K16" s="187">
        <v>44201</v>
      </c>
      <c r="L16" s="188" t="s">
        <v>323</v>
      </c>
      <c r="M16" s="79">
        <v>23826.54</v>
      </c>
      <c r="N16" s="67"/>
      <c r="O16" s="67">
        <f t="shared" si="2"/>
        <v>23826.54</v>
      </c>
      <c r="P16" s="66"/>
      <c r="Q16" s="67">
        <v>22961.95</v>
      </c>
      <c r="R16" s="67"/>
      <c r="S16" s="68">
        <f t="shared" si="3"/>
        <v>22961.95</v>
      </c>
    </row>
    <row r="17" spans="2:19" ht="32.25" customHeight="1" x14ac:dyDescent="0.25">
      <c r="B17" s="2" t="s">
        <v>370</v>
      </c>
      <c r="C17" s="236" t="s">
        <v>333</v>
      </c>
      <c r="D17" s="93" t="s">
        <v>288</v>
      </c>
      <c r="E17" s="2" t="s">
        <v>331</v>
      </c>
      <c r="F17" s="2" t="s">
        <v>7</v>
      </c>
      <c r="G17" s="186">
        <f t="shared" ref="G17" si="4">G16:H16</f>
        <v>2.63E-2</v>
      </c>
      <c r="H17" s="186">
        <f t="shared" ref="H17" si="5">H16</f>
        <v>0.1845</v>
      </c>
      <c r="I17" s="187">
        <v>45199</v>
      </c>
      <c r="J17" s="187">
        <v>45214</v>
      </c>
      <c r="K17" s="187">
        <v>44201</v>
      </c>
      <c r="L17" s="188" t="s">
        <v>325</v>
      </c>
      <c r="M17" s="79">
        <v>112778.97</v>
      </c>
      <c r="N17" s="67"/>
      <c r="O17" s="67">
        <f t="shared" si="2"/>
        <v>112778.97</v>
      </c>
      <c r="P17" s="66"/>
      <c r="Q17" s="67">
        <v>103900.31</v>
      </c>
      <c r="R17" s="67"/>
      <c r="S17" s="68">
        <f t="shared" si="3"/>
        <v>103900.31</v>
      </c>
    </row>
    <row r="18" spans="2:19" ht="32.25" customHeight="1" x14ac:dyDescent="0.25">
      <c r="B18" s="2" t="s">
        <v>287</v>
      </c>
      <c r="C18" s="236" t="s">
        <v>333</v>
      </c>
      <c r="D18" s="93" t="s">
        <v>288</v>
      </c>
      <c r="E18" s="2" t="s">
        <v>289</v>
      </c>
      <c r="F18" s="2" t="s">
        <v>7</v>
      </c>
      <c r="G18" s="186">
        <v>2.63E-2</v>
      </c>
      <c r="H18" s="186">
        <v>0.1845</v>
      </c>
      <c r="I18" s="187">
        <v>45199</v>
      </c>
      <c r="J18" s="187">
        <v>45199</v>
      </c>
      <c r="K18" s="187">
        <v>44201</v>
      </c>
      <c r="L18" s="188" t="s">
        <v>320</v>
      </c>
      <c r="M18" s="79">
        <v>208765.9</v>
      </c>
      <c r="N18" s="67"/>
      <c r="O18" s="67">
        <f t="shared" si="2"/>
        <v>208765.9</v>
      </c>
      <c r="P18" s="66"/>
      <c r="Q18" s="67">
        <v>208396.7</v>
      </c>
      <c r="R18" s="67"/>
      <c r="S18" s="68">
        <f t="shared" si="3"/>
        <v>208396.7</v>
      </c>
    </row>
    <row r="19" spans="2:19" ht="32.25" customHeight="1" x14ac:dyDescent="0.25">
      <c r="B19" s="2" t="s">
        <v>352</v>
      </c>
      <c r="C19" s="236" t="s">
        <v>353</v>
      </c>
      <c r="D19" s="93" t="s">
        <v>354</v>
      </c>
      <c r="E19" s="2" t="s">
        <v>355</v>
      </c>
      <c r="F19" s="2" t="s">
        <v>7</v>
      </c>
      <c r="G19" s="186">
        <v>2.63E-2</v>
      </c>
      <c r="H19" s="186">
        <v>0.1845</v>
      </c>
      <c r="I19" s="187">
        <v>45565</v>
      </c>
      <c r="J19" s="187">
        <v>45580</v>
      </c>
      <c r="K19" s="187">
        <v>44279</v>
      </c>
      <c r="L19" s="188" t="s">
        <v>356</v>
      </c>
      <c r="M19" s="79">
        <v>816246.38</v>
      </c>
      <c r="N19" s="67"/>
      <c r="O19" s="67">
        <f t="shared" si="2"/>
        <v>816246.38</v>
      </c>
      <c r="P19" s="66"/>
      <c r="Q19" s="67"/>
      <c r="R19" s="67"/>
      <c r="S19" s="68">
        <f t="shared" si="3"/>
        <v>0</v>
      </c>
    </row>
    <row r="20" spans="2:19" ht="32.25" customHeight="1" x14ac:dyDescent="0.25">
      <c r="B20" s="2" t="s">
        <v>357</v>
      </c>
      <c r="C20" s="236" t="s">
        <v>353</v>
      </c>
      <c r="D20" s="93" t="s">
        <v>354</v>
      </c>
      <c r="E20" s="2" t="s">
        <v>358</v>
      </c>
      <c r="F20" s="2" t="s">
        <v>7</v>
      </c>
      <c r="G20" s="186">
        <v>2.63E-2</v>
      </c>
      <c r="H20" s="186">
        <v>0.1845</v>
      </c>
      <c r="I20" s="187">
        <v>45565</v>
      </c>
      <c r="J20" s="187">
        <v>45580</v>
      </c>
      <c r="K20" s="187">
        <v>44279</v>
      </c>
      <c r="L20" s="188" t="s">
        <v>356</v>
      </c>
      <c r="M20" s="79">
        <v>204061.6</v>
      </c>
      <c r="N20" s="67"/>
      <c r="O20" s="67">
        <f t="shared" si="2"/>
        <v>204061.6</v>
      </c>
      <c r="P20" s="66"/>
      <c r="Q20" s="67"/>
      <c r="R20" s="67"/>
      <c r="S20" s="68">
        <f t="shared" si="3"/>
        <v>0</v>
      </c>
    </row>
    <row r="21" spans="2:19" ht="32.25" customHeight="1" x14ac:dyDescent="0.25">
      <c r="B21" s="2" t="s">
        <v>363</v>
      </c>
      <c r="C21" s="236" t="s">
        <v>333</v>
      </c>
      <c r="D21" s="93" t="s">
        <v>288</v>
      </c>
      <c r="E21" s="2" t="s">
        <v>364</v>
      </c>
      <c r="F21" s="2" t="s">
        <v>7</v>
      </c>
      <c r="G21" s="186">
        <v>2.63E-2</v>
      </c>
      <c r="H21" s="186">
        <v>0.1845</v>
      </c>
      <c r="I21" s="187">
        <v>45199</v>
      </c>
      <c r="J21" s="187">
        <v>45214</v>
      </c>
      <c r="K21" s="187">
        <v>44201</v>
      </c>
      <c r="L21" s="188" t="s">
        <v>365</v>
      </c>
      <c r="M21" s="79">
        <v>1921.2</v>
      </c>
      <c r="N21" s="67"/>
      <c r="O21" s="67">
        <f t="shared" si="2"/>
        <v>1921.2</v>
      </c>
      <c r="P21" s="66"/>
      <c r="Q21" s="67"/>
      <c r="R21" s="67"/>
      <c r="S21" s="68"/>
    </row>
    <row r="22" spans="2:19" ht="32.25" customHeight="1" x14ac:dyDescent="0.25">
      <c r="B22" s="2" t="s">
        <v>366</v>
      </c>
      <c r="C22" s="236" t="s">
        <v>333</v>
      </c>
      <c r="D22" s="93" t="s">
        <v>367</v>
      </c>
      <c r="E22" s="2" t="s">
        <v>368</v>
      </c>
      <c r="F22" s="2" t="s">
        <v>7</v>
      </c>
      <c r="G22" s="186">
        <v>2.63E-2</v>
      </c>
      <c r="H22" s="186">
        <v>0.1845</v>
      </c>
      <c r="I22" s="187">
        <v>45199</v>
      </c>
      <c r="J22" s="187">
        <v>45214</v>
      </c>
      <c r="K22" s="187">
        <v>44201</v>
      </c>
      <c r="L22" s="188" t="s">
        <v>369</v>
      </c>
      <c r="M22" s="79">
        <v>16841.37</v>
      </c>
      <c r="N22" s="67"/>
      <c r="O22" s="67">
        <f t="shared" si="2"/>
        <v>16841.37</v>
      </c>
      <c r="P22" s="66"/>
      <c r="Q22" s="67"/>
      <c r="R22" s="67"/>
      <c r="S22" s="68"/>
    </row>
    <row r="23" spans="2:19" x14ac:dyDescent="0.25">
      <c r="C23" s="95"/>
      <c r="D23" s="93"/>
      <c r="G23" s="186"/>
      <c r="H23" s="186"/>
      <c r="I23" s="187"/>
      <c r="J23" s="187"/>
      <c r="K23" s="187"/>
      <c r="L23" s="188"/>
      <c r="M23" s="32"/>
      <c r="N23" s="25"/>
      <c r="O23" s="25"/>
      <c r="P23" s="67"/>
      <c r="Q23" s="25"/>
      <c r="R23" s="25"/>
      <c r="S23" s="26"/>
    </row>
    <row r="24" spans="2:19" ht="21.75" customHeight="1" x14ac:dyDescent="0.25">
      <c r="C24" s="93"/>
      <c r="D24" s="93"/>
      <c r="G24" s="202"/>
      <c r="H24" s="186" t="s">
        <v>100</v>
      </c>
      <c r="I24" s="187"/>
      <c r="J24" s="187"/>
      <c r="K24" s="187"/>
      <c r="L24" s="5" t="s">
        <v>38</v>
      </c>
      <c r="M24" s="66">
        <f>SUM(M7:M23)</f>
        <v>1832882.3100000003</v>
      </c>
      <c r="N24" s="66">
        <f>SUM(N7:N23)</f>
        <v>0</v>
      </c>
      <c r="O24" s="66">
        <f>SUM(O7:O23)</f>
        <v>1832882.3100000003</v>
      </c>
      <c r="Q24" s="66">
        <f>SUM(Q7:Q23)</f>
        <v>603758.31000000006</v>
      </c>
      <c r="R24" s="66">
        <f>SUM(R8:R23)</f>
        <v>0</v>
      </c>
      <c r="S24" s="68">
        <f>SUM(S7:S23)</f>
        <v>603758.31000000006</v>
      </c>
    </row>
    <row r="25" spans="2:19" x14ac:dyDescent="0.25">
      <c r="C25" s="92"/>
      <c r="D25" s="92"/>
      <c r="I25" s="116"/>
      <c r="J25" s="116"/>
      <c r="K25" s="116"/>
      <c r="M25" s="66"/>
      <c r="N25" s="66"/>
      <c r="O25" s="66"/>
      <c r="Q25" s="66"/>
      <c r="R25" s="66"/>
      <c r="S25" s="68"/>
    </row>
    <row r="26" spans="2:19" x14ac:dyDescent="0.25">
      <c r="C26" s="92"/>
      <c r="D26" s="92"/>
      <c r="L26" s="5"/>
      <c r="M26" s="66"/>
      <c r="N26" s="66"/>
      <c r="O26" s="66"/>
      <c r="Q26" s="66"/>
      <c r="R26" s="66"/>
      <c r="S26" s="68"/>
    </row>
    <row r="27" spans="2:19" x14ac:dyDescent="0.25">
      <c r="C27" s="92"/>
      <c r="D27" s="92"/>
      <c r="L27" s="5"/>
      <c r="M27" s="66"/>
      <c r="N27" s="66"/>
      <c r="O27" s="66"/>
      <c r="Q27" s="66"/>
      <c r="R27" s="66"/>
      <c r="S27" s="68"/>
    </row>
    <row r="28" spans="2:19" ht="31.5" customHeight="1" x14ac:dyDescent="0.25">
      <c r="B28" s="8" t="s">
        <v>125</v>
      </c>
      <c r="C28" s="92"/>
      <c r="D28" s="92"/>
      <c r="L28" s="5"/>
      <c r="M28" s="66"/>
      <c r="N28" s="66"/>
      <c r="O28" s="66"/>
      <c r="Q28" s="66"/>
      <c r="R28" s="66"/>
      <c r="S28" s="68"/>
    </row>
    <row r="29" spans="2:19" ht="30.6" customHeight="1" x14ac:dyDescent="0.25">
      <c r="B29" s="341" t="s">
        <v>126</v>
      </c>
      <c r="C29" s="341"/>
      <c r="D29" s="341"/>
      <c r="E29" s="341"/>
      <c r="F29" s="341"/>
      <c r="G29" s="117"/>
      <c r="H29" s="117"/>
      <c r="I29" s="111"/>
      <c r="L29" s="5"/>
      <c r="M29" s="66"/>
      <c r="N29" s="66"/>
      <c r="O29" s="66"/>
      <c r="Q29" s="66"/>
      <c r="R29" s="66"/>
      <c r="S29" s="68"/>
    </row>
    <row r="30" spans="2:19" x14ac:dyDescent="0.25">
      <c r="C30" s="92"/>
      <c r="D30" s="92"/>
      <c r="L30" s="5"/>
      <c r="M30" s="66"/>
      <c r="N30" s="66"/>
      <c r="O30" s="66"/>
      <c r="Q30" s="66"/>
      <c r="R30" s="66"/>
      <c r="S30" s="68"/>
    </row>
    <row r="31" spans="2:19" ht="49.15" customHeight="1" x14ac:dyDescent="0.25">
      <c r="B31" s="341" t="s">
        <v>129</v>
      </c>
      <c r="C31" s="341"/>
      <c r="D31" s="341"/>
      <c r="E31" s="341"/>
      <c r="F31" s="341"/>
      <c r="G31" s="117"/>
      <c r="H31" s="117"/>
      <c r="I31" s="111"/>
      <c r="L31" s="5"/>
      <c r="M31" s="66"/>
      <c r="N31" s="66"/>
      <c r="O31" s="66"/>
      <c r="Q31" s="66"/>
      <c r="R31" s="66"/>
      <c r="S31" s="68"/>
    </row>
    <row r="32" spans="2:19" x14ac:dyDescent="0.25">
      <c r="B32" s="108"/>
      <c r="C32" s="108"/>
      <c r="D32" s="108"/>
      <c r="E32" s="108"/>
      <c r="F32" s="108"/>
      <c r="G32" s="117"/>
      <c r="H32" s="117"/>
      <c r="I32" s="111"/>
      <c r="L32" s="5"/>
      <c r="M32" s="66"/>
      <c r="N32" s="66"/>
      <c r="O32" s="66"/>
      <c r="Q32" s="66"/>
      <c r="R32" s="66"/>
      <c r="S32" s="68"/>
    </row>
    <row r="33" spans="2:20" ht="36" customHeight="1" x14ac:dyDescent="0.25">
      <c r="B33" s="341" t="s">
        <v>160</v>
      </c>
      <c r="C33" s="341"/>
      <c r="D33" s="341"/>
      <c r="E33" s="341"/>
      <c r="F33" s="341"/>
      <c r="G33" s="193"/>
      <c r="H33" s="193"/>
      <c r="I33" s="193"/>
      <c r="L33" s="5"/>
      <c r="M33" s="66"/>
      <c r="N33" s="66"/>
      <c r="O33" s="66"/>
      <c r="Q33" s="66"/>
      <c r="R33" s="66"/>
      <c r="S33" s="68"/>
    </row>
    <row r="34" spans="2:20" ht="15" customHeight="1" x14ac:dyDescent="0.25">
      <c r="B34" s="347" t="s">
        <v>159</v>
      </c>
      <c r="C34" s="341"/>
      <c r="D34" s="341"/>
      <c r="E34" s="341"/>
      <c r="F34" s="341"/>
      <c r="G34" s="193"/>
      <c r="H34" s="193"/>
      <c r="I34" s="193"/>
      <c r="L34" s="5"/>
      <c r="M34" s="79"/>
      <c r="N34" s="66"/>
      <c r="O34" s="66"/>
      <c r="Q34" s="66"/>
      <c r="R34" s="66"/>
      <c r="S34" s="68"/>
    </row>
    <row r="35" spans="2:20" x14ac:dyDescent="0.25">
      <c r="B35" s="195"/>
      <c r="C35" s="195"/>
      <c r="D35" s="195"/>
      <c r="E35" s="195"/>
      <c r="F35" s="195"/>
      <c r="G35" s="195"/>
      <c r="H35" s="195"/>
      <c r="I35" s="195"/>
      <c r="L35" s="5"/>
      <c r="M35" s="66"/>
      <c r="N35" s="66"/>
      <c r="O35" s="66"/>
      <c r="Q35" s="66"/>
      <c r="R35" s="66"/>
      <c r="S35" s="68"/>
    </row>
    <row r="36" spans="2:20" ht="18.600000000000001" customHeight="1" x14ac:dyDescent="0.25">
      <c r="B36" s="7" t="s">
        <v>109</v>
      </c>
      <c r="C36" s="101" t="s">
        <v>112</v>
      </c>
      <c r="D36" s="101" t="s">
        <v>113</v>
      </c>
      <c r="E36" s="108"/>
      <c r="F36" s="108"/>
      <c r="G36" s="117"/>
      <c r="H36" s="117"/>
      <c r="I36" s="111"/>
      <c r="L36" s="5"/>
      <c r="M36" s="66"/>
      <c r="N36" s="66"/>
      <c r="O36" s="66"/>
      <c r="Q36" s="66"/>
      <c r="R36" s="66"/>
      <c r="S36" s="68"/>
    </row>
    <row r="37" spans="2:20" x14ac:dyDescent="0.25">
      <c r="B37" s="2" t="s">
        <v>110</v>
      </c>
      <c r="C37" s="92" t="s">
        <v>180</v>
      </c>
      <c r="D37" s="92" t="s">
        <v>181</v>
      </c>
      <c r="L37" s="5"/>
      <c r="M37" s="66"/>
      <c r="N37" s="66"/>
      <c r="O37" s="66"/>
      <c r="Q37" s="66"/>
      <c r="R37" s="66"/>
      <c r="S37" s="68"/>
    </row>
    <row r="38" spans="2:20" hidden="1" x14ac:dyDescent="0.25">
      <c r="B38" s="2" t="s">
        <v>111</v>
      </c>
      <c r="C38" s="92" t="s">
        <v>300</v>
      </c>
      <c r="D38" s="92" t="s">
        <v>303</v>
      </c>
      <c r="L38" s="5"/>
      <c r="M38" s="66"/>
      <c r="N38" s="66"/>
      <c r="O38" s="66"/>
      <c r="Q38" s="66"/>
      <c r="R38" s="66"/>
      <c r="S38" s="68"/>
    </row>
    <row r="39" spans="2:20" x14ac:dyDescent="0.25">
      <c r="B39" s="2" t="s">
        <v>230</v>
      </c>
      <c r="C39" s="92" t="s">
        <v>135</v>
      </c>
      <c r="D39" s="92" t="s">
        <v>147</v>
      </c>
      <c r="L39" s="5"/>
      <c r="M39" s="66"/>
      <c r="N39" s="66"/>
      <c r="O39" s="66"/>
      <c r="Q39" s="66"/>
      <c r="R39" s="66"/>
      <c r="S39" s="68"/>
    </row>
    <row r="40" spans="2:20" x14ac:dyDescent="0.25">
      <c r="B40" s="2" t="s">
        <v>275</v>
      </c>
      <c r="C40" s="92" t="s">
        <v>135</v>
      </c>
      <c r="D40" s="92" t="s">
        <v>147</v>
      </c>
      <c r="L40" s="5"/>
      <c r="M40" s="66"/>
      <c r="N40" s="66"/>
      <c r="O40" s="66"/>
      <c r="Q40" s="66"/>
      <c r="R40" s="66"/>
      <c r="S40" s="68"/>
    </row>
    <row r="41" spans="2:20" x14ac:dyDescent="0.25">
      <c r="B41" s="2" t="s">
        <v>279</v>
      </c>
      <c r="C41" s="92" t="s">
        <v>135</v>
      </c>
      <c r="D41" s="92" t="s">
        <v>147</v>
      </c>
      <c r="L41" s="5"/>
      <c r="M41" s="66"/>
      <c r="N41" s="66"/>
      <c r="O41" s="66"/>
      <c r="Q41" s="66"/>
      <c r="R41" s="66"/>
      <c r="S41" s="68"/>
    </row>
    <row r="42" spans="2:20" x14ac:dyDescent="0.25">
      <c r="B42" s="2" t="s">
        <v>281</v>
      </c>
      <c r="C42" s="92" t="s">
        <v>135</v>
      </c>
      <c r="D42" s="92" t="s">
        <v>147</v>
      </c>
      <c r="L42" s="5"/>
      <c r="M42" s="66"/>
      <c r="N42" s="66"/>
      <c r="O42" s="66"/>
      <c r="Q42" s="66"/>
      <c r="R42" s="66"/>
      <c r="S42" s="68"/>
    </row>
    <row r="43" spans="2:20" x14ac:dyDescent="0.25">
      <c r="B43" s="2" t="s">
        <v>286</v>
      </c>
      <c r="C43" s="92" t="s">
        <v>135</v>
      </c>
      <c r="D43" s="92" t="s">
        <v>147</v>
      </c>
      <c r="L43" s="5"/>
      <c r="M43" s="66"/>
      <c r="N43" s="66"/>
      <c r="O43" s="66"/>
      <c r="Q43" s="66"/>
      <c r="R43" s="66"/>
      <c r="S43" s="68"/>
    </row>
    <row r="44" spans="2:20" x14ac:dyDescent="0.25">
      <c r="C44" s="92"/>
      <c r="D44" s="92"/>
      <c r="L44" s="5"/>
      <c r="M44" s="66"/>
      <c r="N44" s="66"/>
      <c r="O44" s="66"/>
      <c r="Q44" s="66"/>
      <c r="R44" s="66"/>
      <c r="S44" s="68"/>
    </row>
    <row r="45" spans="2:20" x14ac:dyDescent="0.25">
      <c r="B45" s="348" t="s">
        <v>298</v>
      </c>
      <c r="C45" s="336"/>
      <c r="D45" s="336"/>
      <c r="E45" s="336"/>
      <c r="F45" s="336"/>
      <c r="G45" s="336"/>
      <c r="H45" s="336"/>
      <c r="L45" s="5"/>
      <c r="M45" s="66"/>
      <c r="N45" s="66"/>
      <c r="O45" s="66"/>
      <c r="Q45" s="66"/>
      <c r="R45" s="66"/>
      <c r="S45" s="68"/>
    </row>
    <row r="46" spans="2:20" x14ac:dyDescent="0.25">
      <c r="B46" s="242" t="s">
        <v>299</v>
      </c>
      <c r="C46" s="92"/>
      <c r="D46" s="92"/>
      <c r="L46" s="5"/>
      <c r="M46" s="66"/>
      <c r="N46" s="66"/>
      <c r="O46" s="67"/>
      <c r="Q46" s="66"/>
      <c r="R46" s="66"/>
      <c r="S46" s="68"/>
    </row>
    <row r="47" spans="2:20" x14ac:dyDescent="0.25">
      <c r="B47" s="10"/>
      <c r="C47" s="94"/>
      <c r="D47" s="94"/>
      <c r="E47" s="10"/>
      <c r="F47" s="10"/>
      <c r="G47" s="10"/>
      <c r="H47" s="10"/>
      <c r="I47" s="10"/>
      <c r="J47" s="10"/>
      <c r="K47" s="10"/>
      <c r="L47" s="10"/>
      <c r="M47" s="10"/>
      <c r="N47" s="10"/>
      <c r="O47" s="10"/>
      <c r="P47" s="10"/>
      <c r="Q47" s="10"/>
      <c r="R47" s="52"/>
      <c r="S47" s="53"/>
    </row>
    <row r="48" spans="2:20" ht="15" customHeight="1" x14ac:dyDescent="0.25">
      <c r="N48" s="48"/>
      <c r="O48" s="48"/>
      <c r="P48" s="48"/>
      <c r="Q48" s="59" t="s">
        <v>90</v>
      </c>
      <c r="R48" s="50"/>
      <c r="S48" s="165"/>
      <c r="T48" s="51"/>
    </row>
    <row r="49" spans="2:20" ht="15" customHeight="1" x14ac:dyDescent="0.25">
      <c r="B49" s="17" t="s">
        <v>39</v>
      </c>
      <c r="C49" s="96" t="s">
        <v>2</v>
      </c>
      <c r="D49" s="96"/>
      <c r="E49" s="96" t="s">
        <v>34</v>
      </c>
      <c r="F49" s="96" t="s">
        <v>35</v>
      </c>
      <c r="G49" s="120"/>
      <c r="H49" s="120"/>
      <c r="I49" s="114"/>
      <c r="J49" s="96"/>
      <c r="K49" s="96"/>
      <c r="L49" s="96" t="s">
        <v>36</v>
      </c>
      <c r="M49" s="96" t="s">
        <v>37</v>
      </c>
      <c r="N49" s="47"/>
      <c r="O49" s="47"/>
      <c r="P49" s="47"/>
      <c r="Q49" s="54" t="s">
        <v>88</v>
      </c>
      <c r="R49" s="52"/>
      <c r="S49" s="53"/>
      <c r="T49" s="51"/>
    </row>
    <row r="50" spans="2:20" ht="15" customHeight="1" x14ac:dyDescent="0.25">
      <c r="B50" s="63"/>
      <c r="C50" s="9"/>
      <c r="D50" s="9"/>
      <c r="E50" s="9"/>
      <c r="F50" s="9"/>
      <c r="G50" s="9"/>
      <c r="H50" s="9"/>
      <c r="I50" s="9"/>
      <c r="J50" s="9"/>
      <c r="K50" s="9"/>
      <c r="L50" s="9"/>
      <c r="M50" s="9"/>
      <c r="N50" s="45"/>
      <c r="O50" s="45"/>
      <c r="P50" s="45"/>
      <c r="T50" s="51"/>
    </row>
    <row r="51" spans="2:20" ht="15" customHeight="1" x14ac:dyDescent="0.25">
      <c r="B51" s="63"/>
      <c r="C51" s="148"/>
      <c r="D51" s="148"/>
      <c r="E51" s="148"/>
      <c r="F51" s="148"/>
      <c r="G51" s="148"/>
      <c r="H51" s="148"/>
      <c r="I51" s="148"/>
      <c r="J51" s="148"/>
      <c r="K51" s="148"/>
      <c r="L51" s="148"/>
      <c r="M51" s="148"/>
      <c r="N51" s="45"/>
      <c r="O51" s="45"/>
      <c r="P51" s="45"/>
      <c r="T51" s="51"/>
    </row>
    <row r="52" spans="2:20" x14ac:dyDescent="0.25">
      <c r="B52" s="63"/>
      <c r="C52" s="9"/>
      <c r="D52" s="9"/>
      <c r="E52" s="9"/>
      <c r="F52" s="9"/>
      <c r="G52" s="9"/>
      <c r="H52" s="9"/>
      <c r="I52" s="9"/>
      <c r="J52" s="9"/>
      <c r="K52" s="9"/>
      <c r="L52" s="9"/>
      <c r="M52" s="31"/>
      <c r="Q52" s="51"/>
      <c r="R52" s="51"/>
      <c r="S52" s="51"/>
      <c r="T52" s="51"/>
    </row>
    <row r="53" spans="2:20" x14ac:dyDescent="0.25">
      <c r="B53" s="63"/>
      <c r="C53" s="148"/>
      <c r="D53" s="148"/>
      <c r="E53" s="148"/>
      <c r="F53" s="148"/>
      <c r="G53" s="148"/>
      <c r="H53" s="148"/>
      <c r="I53" s="148"/>
      <c r="J53" s="148"/>
      <c r="K53" s="148"/>
      <c r="L53" s="148"/>
      <c r="M53" s="31"/>
      <c r="Q53" s="51"/>
      <c r="R53" s="51"/>
      <c r="S53" s="51"/>
      <c r="T53" s="51"/>
    </row>
    <row r="54" spans="2:20" x14ac:dyDescent="0.25">
      <c r="B54" s="12"/>
      <c r="C54" s="13"/>
      <c r="D54" s="13"/>
      <c r="E54" s="14"/>
      <c r="F54" s="15"/>
      <c r="G54" s="15"/>
      <c r="H54" s="15"/>
      <c r="I54" s="15"/>
      <c r="J54" s="15"/>
      <c r="K54" s="15"/>
      <c r="L54" s="16"/>
      <c r="M54" s="31"/>
      <c r="Q54" s="51"/>
      <c r="R54" s="51"/>
      <c r="S54" s="51"/>
      <c r="T54" s="51"/>
    </row>
    <row r="55" spans="2:20" x14ac:dyDescent="0.25">
      <c r="C55" s="40"/>
      <c r="D55" s="40"/>
      <c r="E55" s="41"/>
      <c r="F55" s="69"/>
      <c r="G55" s="69"/>
      <c r="H55" s="69"/>
      <c r="I55" s="69"/>
      <c r="J55" s="69"/>
      <c r="K55" s="69"/>
      <c r="L55" s="33"/>
      <c r="M55" s="35"/>
      <c r="N55" s="37"/>
      <c r="O55" s="37"/>
      <c r="P55" s="29"/>
      <c r="Q55" s="309" t="s">
        <v>316</v>
      </c>
      <c r="R55" s="309"/>
      <c r="S55" s="310">
        <f>S24</f>
        <v>603758.31000000006</v>
      </c>
    </row>
    <row r="56" spans="2:20" ht="15" customHeight="1" x14ac:dyDescent="0.25">
      <c r="C56" s="40"/>
      <c r="D56" s="40"/>
      <c r="E56" s="41"/>
      <c r="F56" s="69"/>
      <c r="G56" s="69"/>
      <c r="H56" s="69"/>
      <c r="I56" s="69"/>
      <c r="J56" s="69"/>
      <c r="K56" s="69"/>
      <c r="L56" s="33"/>
      <c r="M56" s="31"/>
      <c r="N56" s="99"/>
      <c r="O56" s="99"/>
      <c r="P56" s="29"/>
    </row>
    <row r="57" spans="2:20" x14ac:dyDescent="0.25">
      <c r="B57" s="36"/>
      <c r="C57" s="40"/>
      <c r="D57" s="40"/>
      <c r="E57" s="41"/>
      <c r="F57" s="38"/>
      <c r="G57" s="38"/>
      <c r="H57" s="38"/>
      <c r="I57" s="38"/>
      <c r="J57" s="38"/>
      <c r="K57" s="38"/>
      <c r="L57" s="33"/>
      <c r="M57" s="31"/>
      <c r="N57" s="99"/>
      <c r="O57" s="99"/>
      <c r="P57" s="29"/>
    </row>
    <row r="58" spans="2:20" x14ac:dyDescent="0.25">
      <c r="B58" s="36"/>
      <c r="C58" s="40"/>
      <c r="D58" s="40"/>
      <c r="E58" s="41"/>
      <c r="F58" s="38"/>
      <c r="G58" s="38"/>
      <c r="H58" s="38"/>
      <c r="I58" s="38"/>
      <c r="J58" s="38"/>
      <c r="K58" s="38"/>
      <c r="L58" s="33"/>
      <c r="M58" s="31"/>
      <c r="N58" s="99"/>
      <c r="O58" s="99"/>
      <c r="P58" s="29"/>
    </row>
    <row r="59" spans="2:20" ht="16.5" customHeight="1" x14ac:dyDescent="0.25">
      <c r="B59" s="36"/>
      <c r="C59" s="40"/>
      <c r="D59" s="40"/>
      <c r="E59" s="41"/>
      <c r="F59" s="38"/>
      <c r="G59" s="38"/>
      <c r="H59" s="38"/>
      <c r="I59" s="38"/>
      <c r="J59" s="38"/>
      <c r="K59" s="38"/>
      <c r="L59" s="33"/>
      <c r="M59" s="20"/>
      <c r="N59" s="99"/>
      <c r="O59" s="99"/>
      <c r="P59" s="29"/>
    </row>
    <row r="60" spans="2:20" ht="15" hidden="1" customHeight="1" x14ac:dyDescent="0.25">
      <c r="B60" s="36"/>
      <c r="C60" s="40"/>
      <c r="D60" s="40"/>
      <c r="E60" s="41"/>
      <c r="F60" s="38"/>
      <c r="G60" s="38"/>
      <c r="H60" s="38"/>
      <c r="I60" s="38"/>
      <c r="J60" s="38"/>
      <c r="K60" s="38"/>
      <c r="L60" s="39"/>
    </row>
    <row r="61" spans="2:20" ht="15" customHeight="1" x14ac:dyDescent="0.25"/>
    <row r="62" spans="2:20" x14ac:dyDescent="0.25">
      <c r="E62" s="21"/>
      <c r="F62" s="102"/>
      <c r="G62" s="102"/>
      <c r="H62" s="102"/>
      <c r="I62" s="102"/>
      <c r="J62" s="102"/>
      <c r="K62" s="102"/>
    </row>
    <row r="64" spans="2:20" ht="15" customHeight="1" x14ac:dyDescent="0.25"/>
  </sheetData>
  <mergeCells count="7">
    <mergeCell ref="B45:H45"/>
    <mergeCell ref="B34:F34"/>
    <mergeCell ref="Q2:S2"/>
    <mergeCell ref="Q1:S1"/>
    <mergeCell ref="B29:F29"/>
    <mergeCell ref="B31:F31"/>
    <mergeCell ref="B33:F33"/>
  </mergeCells>
  <hyperlinks>
    <hyperlink ref="B34" r:id="rId1"/>
  </hyperlinks>
  <printOptions horizontalCentered="1" gridLines="1"/>
  <pageMargins left="0" right="0" top="0.75" bottom="0.75" header="0.3" footer="0.3"/>
  <pageSetup scale="52" orientation="landscape" horizontalDpi="1200" verticalDpi="1200"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5"/>
  <sheetViews>
    <sheetView topLeftCell="B5" zoomScale="90" zoomScaleNormal="90" workbookViewId="0">
      <selection activeCell="Q20" sqref="Q20"/>
    </sheetView>
  </sheetViews>
  <sheetFormatPr defaultColWidth="9.140625" defaultRowHeight="15" x14ac:dyDescent="0.25"/>
  <cols>
    <col min="1" max="1" width="9.140625" style="2" hidden="1" customWidth="1"/>
    <col min="2" max="2" width="63.85546875" style="2" customWidth="1"/>
    <col min="3" max="3" width="25.85546875" style="2" customWidth="1"/>
    <col min="4" max="4" width="13.7109375" style="2" customWidth="1"/>
    <col min="5" max="5" width="19" style="2" customWidth="1"/>
    <col min="6" max="6" width="21.7109375" style="2" customWidth="1"/>
    <col min="7" max="7" width="8.5703125" style="2" customWidth="1"/>
    <col min="8" max="8" width="12.85546875" style="2" customWidth="1"/>
    <col min="9" max="9" width="10.85546875" style="2" customWidth="1"/>
    <col min="10" max="10" width="10" style="2" customWidth="1"/>
    <col min="11" max="11" width="8" style="2" customWidth="1"/>
    <col min="12" max="12" width="18.42578125" style="2" customWidth="1"/>
    <col min="13" max="13" width="14"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6.7109375" style="2" customWidth="1"/>
    <col min="20" max="16384" width="9.140625" style="2"/>
  </cols>
  <sheetData>
    <row r="1" spans="1:20" ht="15.6" customHeight="1" x14ac:dyDescent="0.25">
      <c r="B1" s="1" t="s">
        <v>13</v>
      </c>
      <c r="Q1" s="338" t="s">
        <v>296</v>
      </c>
      <c r="R1" s="338"/>
      <c r="S1" s="338"/>
    </row>
    <row r="2" spans="1:20" x14ac:dyDescent="0.25">
      <c r="B2" s="88" t="s">
        <v>148</v>
      </c>
      <c r="C2" s="182">
        <v>44742</v>
      </c>
      <c r="M2" s="71"/>
      <c r="N2" s="71"/>
      <c r="P2" s="29"/>
      <c r="Q2" s="337" t="s">
        <v>375</v>
      </c>
      <c r="R2" s="337"/>
      <c r="S2" s="337"/>
    </row>
    <row r="3" spans="1:20" ht="15.75" thickBot="1" x14ac:dyDescent="0.3">
      <c r="A3" s="2" t="s">
        <v>16</v>
      </c>
      <c r="B3" s="44" t="s">
        <v>55</v>
      </c>
      <c r="C3" s="8"/>
      <c r="D3" s="8"/>
      <c r="E3" s="8"/>
      <c r="P3" s="29"/>
      <c r="Q3" s="45"/>
      <c r="R3" s="30"/>
    </row>
    <row r="4" spans="1:20" x14ac:dyDescent="0.25">
      <c r="B4" s="8" t="s">
        <v>174</v>
      </c>
      <c r="M4" s="85" t="s">
        <v>28</v>
      </c>
      <c r="N4" s="85" t="s">
        <v>28</v>
      </c>
      <c r="O4" s="85" t="s">
        <v>28</v>
      </c>
      <c r="P4" s="9"/>
      <c r="Q4" s="89" t="s">
        <v>29</v>
      </c>
      <c r="R4" s="89" t="s">
        <v>31</v>
      </c>
      <c r="S4" s="89" t="s">
        <v>23</v>
      </c>
      <c r="T4" s="7"/>
    </row>
    <row r="5" spans="1:20" ht="15.75" thickBot="1" x14ac:dyDescent="0.3">
      <c r="G5" s="183" t="s">
        <v>295</v>
      </c>
      <c r="H5" s="183" t="s">
        <v>295</v>
      </c>
      <c r="M5" s="86" t="s">
        <v>27</v>
      </c>
      <c r="N5" s="86" t="s">
        <v>26</v>
      </c>
      <c r="O5" s="86" t="s">
        <v>25</v>
      </c>
      <c r="P5" s="9"/>
      <c r="Q5" s="90" t="s">
        <v>30</v>
      </c>
      <c r="R5" s="90" t="s">
        <v>30</v>
      </c>
      <c r="S5" s="90" t="s">
        <v>30</v>
      </c>
      <c r="T5" s="7"/>
    </row>
    <row r="6" spans="1:20" ht="85.5" customHeight="1" thickBot="1" x14ac:dyDescent="0.3">
      <c r="B6" s="84" t="s">
        <v>1</v>
      </c>
      <c r="C6" s="84" t="s">
        <v>389</v>
      </c>
      <c r="D6" s="84" t="s">
        <v>107</v>
      </c>
      <c r="E6" s="84" t="s">
        <v>3</v>
      </c>
      <c r="F6" s="84" t="s">
        <v>4</v>
      </c>
      <c r="G6" s="107" t="s">
        <v>136</v>
      </c>
      <c r="H6" s="107" t="s">
        <v>137</v>
      </c>
      <c r="I6" s="107" t="s">
        <v>133</v>
      </c>
      <c r="J6" s="107" t="s">
        <v>134</v>
      </c>
      <c r="K6" s="107" t="s">
        <v>121</v>
      </c>
      <c r="L6" s="83" t="s">
        <v>5</v>
      </c>
      <c r="M6" s="87" t="s">
        <v>6</v>
      </c>
      <c r="N6" s="87" t="s">
        <v>6</v>
      </c>
      <c r="O6" s="87" t="s">
        <v>6</v>
      </c>
      <c r="P6" s="9"/>
      <c r="Q6" s="91"/>
      <c r="R6" s="97" t="s">
        <v>32</v>
      </c>
      <c r="S6" s="98" t="s">
        <v>33</v>
      </c>
    </row>
    <row r="7" spans="1:20" s="14" customFormat="1" ht="40.5" customHeight="1" x14ac:dyDescent="0.25">
      <c r="B7" s="2" t="s">
        <v>257</v>
      </c>
      <c r="C7" s="236" t="s">
        <v>260</v>
      </c>
      <c r="D7" s="93" t="s">
        <v>258</v>
      </c>
      <c r="E7" s="2" t="s">
        <v>259</v>
      </c>
      <c r="F7" s="2" t="s">
        <v>7</v>
      </c>
      <c r="G7" s="186">
        <v>2.63E-2</v>
      </c>
      <c r="H7" s="186">
        <v>0.1845</v>
      </c>
      <c r="I7" s="187">
        <v>44439</v>
      </c>
      <c r="J7" s="187">
        <v>44454</v>
      </c>
      <c r="K7" s="187">
        <v>44013</v>
      </c>
      <c r="L7" s="188" t="s">
        <v>290</v>
      </c>
      <c r="M7" s="65">
        <v>11519.26</v>
      </c>
      <c r="N7" s="67"/>
      <c r="O7" s="67">
        <f>M7+N7</f>
        <v>11519.26</v>
      </c>
      <c r="P7" s="67"/>
      <c r="Q7" s="67">
        <v>11519.26</v>
      </c>
      <c r="R7" s="67"/>
      <c r="S7" s="68">
        <f t="shared" ref="S7" si="0">Q7+R7</f>
        <v>11519.26</v>
      </c>
    </row>
    <row r="8" spans="1:20" ht="35.25" customHeight="1" x14ac:dyDescent="0.25">
      <c r="B8" s="271" t="s">
        <v>128</v>
      </c>
      <c r="C8" s="226" t="s">
        <v>122</v>
      </c>
      <c r="D8" s="93" t="s">
        <v>310</v>
      </c>
      <c r="E8" s="2" t="s">
        <v>309</v>
      </c>
      <c r="F8" s="2" t="s">
        <v>7</v>
      </c>
      <c r="G8" s="186">
        <v>2.63E-2</v>
      </c>
      <c r="H8" s="186">
        <v>0.1845</v>
      </c>
      <c r="I8" s="187">
        <v>44742</v>
      </c>
      <c r="J8" s="187">
        <v>44743</v>
      </c>
      <c r="K8" s="187">
        <v>44378</v>
      </c>
      <c r="L8" s="188" t="s">
        <v>297</v>
      </c>
      <c r="M8" s="61">
        <v>23133.67</v>
      </c>
      <c r="N8" s="67"/>
      <c r="O8" s="61">
        <f>M8+N8</f>
        <v>23133.67</v>
      </c>
      <c r="P8" s="67"/>
      <c r="Q8" s="67">
        <v>23133.67</v>
      </c>
      <c r="R8" s="67"/>
      <c r="S8" s="68">
        <f>Q8+R8</f>
        <v>23133.67</v>
      </c>
    </row>
    <row r="9" spans="1:20" ht="35.25" customHeight="1" x14ac:dyDescent="0.25">
      <c r="B9" s="330" t="s">
        <v>371</v>
      </c>
      <c r="C9" s="236" t="s">
        <v>373</v>
      </c>
      <c r="D9" s="331" t="s">
        <v>372</v>
      </c>
      <c r="E9" s="29" t="s">
        <v>374</v>
      </c>
      <c r="F9" s="2" t="s">
        <v>7</v>
      </c>
      <c r="G9" s="186">
        <v>2.63E-2</v>
      </c>
      <c r="H9" s="186">
        <v>0.1845</v>
      </c>
      <c r="I9" s="187">
        <v>45199</v>
      </c>
      <c r="J9" s="187">
        <v>45214</v>
      </c>
      <c r="K9" s="187">
        <v>44378</v>
      </c>
      <c r="L9" s="188" t="s">
        <v>325</v>
      </c>
      <c r="M9" s="61">
        <v>6925.19</v>
      </c>
      <c r="N9" s="67"/>
      <c r="O9" s="61">
        <f>M9+N9</f>
        <v>6925.19</v>
      </c>
      <c r="P9" s="67"/>
      <c r="Q9" s="67">
        <v>6925.19</v>
      </c>
      <c r="R9" s="67"/>
      <c r="S9" s="68">
        <f>Q9+R9</f>
        <v>6925.19</v>
      </c>
    </row>
    <row r="10" spans="1:20" ht="35.25" customHeight="1" x14ac:dyDescent="0.25">
      <c r="B10" s="2" t="s">
        <v>223</v>
      </c>
      <c r="C10" s="236" t="s">
        <v>333</v>
      </c>
      <c r="D10" s="93" t="s">
        <v>224</v>
      </c>
      <c r="E10" s="2" t="s">
        <v>225</v>
      </c>
      <c r="F10" s="2" t="s">
        <v>7</v>
      </c>
      <c r="G10" s="186">
        <v>2.63E-2</v>
      </c>
      <c r="H10" s="186">
        <v>0.1845</v>
      </c>
      <c r="I10" s="187">
        <v>44834</v>
      </c>
      <c r="J10" s="187">
        <v>44849</v>
      </c>
      <c r="K10" s="187">
        <v>43614</v>
      </c>
      <c r="L10" s="188" t="s">
        <v>274</v>
      </c>
      <c r="M10" s="61">
        <v>150403.95000000001</v>
      </c>
      <c r="N10" s="67"/>
      <c r="O10" s="61">
        <f>M10+N10</f>
        <v>150403.95000000001</v>
      </c>
      <c r="P10" s="67"/>
      <c r="Q10" s="67">
        <f>40621.24+39125.81</f>
        <v>79747.049999999988</v>
      </c>
      <c r="R10" s="67"/>
      <c r="S10" s="68">
        <f>Q10+R10</f>
        <v>79747.049999999988</v>
      </c>
    </row>
    <row r="11" spans="1:20" ht="35.25" customHeight="1" x14ac:dyDescent="0.25">
      <c r="B11" s="344" t="s">
        <v>237</v>
      </c>
      <c r="C11" s="236" t="s">
        <v>334</v>
      </c>
      <c r="D11" s="93" t="s">
        <v>231</v>
      </c>
      <c r="E11" s="2" t="s">
        <v>238</v>
      </c>
      <c r="F11" s="2" t="s">
        <v>7</v>
      </c>
      <c r="G11" s="186">
        <v>2.63E-2</v>
      </c>
      <c r="H11" s="186">
        <v>0.1845</v>
      </c>
      <c r="I11" s="187">
        <v>44834</v>
      </c>
      <c r="J11" s="187">
        <v>44849</v>
      </c>
      <c r="K11" s="187">
        <v>43613</v>
      </c>
      <c r="L11" s="188" t="s">
        <v>239</v>
      </c>
      <c r="M11" s="65">
        <v>10000</v>
      </c>
      <c r="N11" s="67"/>
      <c r="O11" s="67">
        <f>M11+N11</f>
        <v>10000</v>
      </c>
      <c r="P11" s="67"/>
      <c r="Q11" s="67">
        <v>9993</v>
      </c>
      <c r="R11" s="67"/>
      <c r="S11" s="68">
        <f>Q11+R11</f>
        <v>9993</v>
      </c>
    </row>
    <row r="12" spans="1:20" ht="12.75" customHeight="1" x14ac:dyDescent="0.25">
      <c r="B12" s="344"/>
      <c r="C12" s="95"/>
      <c r="D12" s="201"/>
      <c r="E12" s="201"/>
      <c r="F12" s="45"/>
      <c r="G12" s="186"/>
      <c r="H12" s="186"/>
      <c r="I12" s="206"/>
      <c r="J12" s="206"/>
      <c r="K12" s="206"/>
      <c r="L12" s="188"/>
      <c r="M12" s="29"/>
      <c r="N12" s="29"/>
      <c r="O12" s="29"/>
      <c r="P12" s="29"/>
      <c r="Q12" s="29"/>
      <c r="R12" s="29"/>
      <c r="S12" s="27"/>
    </row>
    <row r="13" spans="1:20" ht="28.5" customHeight="1" x14ac:dyDescent="0.25">
      <c r="B13" s="2" t="s">
        <v>279</v>
      </c>
      <c r="C13" s="236" t="s">
        <v>333</v>
      </c>
      <c r="D13" s="93" t="s">
        <v>224</v>
      </c>
      <c r="E13" s="2" t="s">
        <v>280</v>
      </c>
      <c r="F13" s="2" t="s">
        <v>7</v>
      </c>
      <c r="G13" s="186">
        <v>2.63E-2</v>
      </c>
      <c r="H13" s="186">
        <v>0.1845</v>
      </c>
      <c r="I13" s="187">
        <v>44592</v>
      </c>
      <c r="J13" s="187">
        <v>44592</v>
      </c>
      <c r="K13" s="187">
        <v>43980</v>
      </c>
      <c r="L13" s="188" t="s">
        <v>332</v>
      </c>
      <c r="M13" s="79">
        <v>3000</v>
      </c>
      <c r="N13" s="67"/>
      <c r="O13" s="67">
        <f t="shared" ref="O13:O21" si="1">M13+N13</f>
        <v>3000</v>
      </c>
      <c r="P13" s="66"/>
      <c r="Q13" s="67"/>
      <c r="R13" s="67"/>
      <c r="S13" s="68">
        <f t="shared" ref="S13:S20" si="2">Q13+R13</f>
        <v>0</v>
      </c>
    </row>
    <row r="14" spans="1:20" ht="28.5" customHeight="1" x14ac:dyDescent="0.25">
      <c r="B14" s="2" t="s">
        <v>281</v>
      </c>
      <c r="C14" s="236" t="s">
        <v>334</v>
      </c>
      <c r="D14" s="93" t="s">
        <v>231</v>
      </c>
      <c r="E14" s="2" t="s">
        <v>282</v>
      </c>
      <c r="F14" s="2" t="s">
        <v>7</v>
      </c>
      <c r="G14" s="186">
        <v>2.63E-2</v>
      </c>
      <c r="H14" s="186">
        <v>0.1845</v>
      </c>
      <c r="I14" s="187">
        <v>44742</v>
      </c>
      <c r="J14" s="187">
        <v>44757</v>
      </c>
      <c r="K14" s="187">
        <v>43979</v>
      </c>
      <c r="L14" s="188" t="s">
        <v>283</v>
      </c>
      <c r="M14" s="79">
        <v>1027</v>
      </c>
      <c r="N14" s="67"/>
      <c r="O14" s="67">
        <f t="shared" si="1"/>
        <v>1027</v>
      </c>
      <c r="P14" s="66"/>
      <c r="Q14" s="67">
        <v>0</v>
      </c>
      <c r="R14" s="67"/>
      <c r="S14" s="68">
        <f t="shared" si="2"/>
        <v>0</v>
      </c>
    </row>
    <row r="15" spans="1:20" ht="28.5" customHeight="1" x14ac:dyDescent="0.25">
      <c r="B15" s="2" t="s">
        <v>321</v>
      </c>
      <c r="C15" s="236" t="s">
        <v>333</v>
      </c>
      <c r="D15" s="93" t="s">
        <v>288</v>
      </c>
      <c r="E15" s="2" t="s">
        <v>322</v>
      </c>
      <c r="F15" s="2" t="s">
        <v>7</v>
      </c>
      <c r="G15" s="186">
        <f>G14:H14</f>
        <v>2.63E-2</v>
      </c>
      <c r="H15" s="186">
        <f>H14</f>
        <v>0.1845</v>
      </c>
      <c r="I15" s="187">
        <v>45199</v>
      </c>
      <c r="J15" s="187">
        <v>45214</v>
      </c>
      <c r="K15" s="187">
        <v>44201</v>
      </c>
      <c r="L15" s="188" t="s">
        <v>323</v>
      </c>
      <c r="M15" s="79">
        <v>135976.9</v>
      </c>
      <c r="N15" s="67"/>
      <c r="O15" s="67">
        <f t="shared" si="1"/>
        <v>135976.9</v>
      </c>
      <c r="P15" s="66"/>
      <c r="Q15" s="67">
        <v>36999.5</v>
      </c>
      <c r="R15" s="67"/>
      <c r="S15" s="68">
        <f t="shared" si="2"/>
        <v>36999.5</v>
      </c>
    </row>
    <row r="16" spans="1:20" ht="28.5" customHeight="1" x14ac:dyDescent="0.25">
      <c r="B16" s="2" t="s">
        <v>326</v>
      </c>
      <c r="C16" s="236" t="s">
        <v>333</v>
      </c>
      <c r="D16" s="93" t="s">
        <v>288</v>
      </c>
      <c r="E16" s="2" t="s">
        <v>330</v>
      </c>
      <c r="F16" s="2" t="s">
        <v>7</v>
      </c>
      <c r="G16" s="186">
        <f t="shared" ref="G16:G17" si="3">G15:H15</f>
        <v>2.63E-2</v>
      </c>
      <c r="H16" s="186">
        <f t="shared" ref="H16:H17" si="4">H15</f>
        <v>0.1845</v>
      </c>
      <c r="I16" s="187">
        <v>45199</v>
      </c>
      <c r="J16" s="187">
        <v>45214</v>
      </c>
      <c r="K16" s="187">
        <v>44201</v>
      </c>
      <c r="L16" s="188" t="s">
        <v>323</v>
      </c>
      <c r="M16" s="79">
        <v>35693.93</v>
      </c>
      <c r="N16" s="67"/>
      <c r="O16" s="67">
        <f t="shared" si="1"/>
        <v>35693.93</v>
      </c>
      <c r="P16" s="66"/>
      <c r="Q16" s="67">
        <v>15530</v>
      </c>
      <c r="R16" s="67"/>
      <c r="S16" s="68">
        <f t="shared" si="2"/>
        <v>15530</v>
      </c>
    </row>
    <row r="17" spans="2:19" ht="28.5" customHeight="1" x14ac:dyDescent="0.25">
      <c r="B17" s="2" t="s">
        <v>370</v>
      </c>
      <c r="C17" s="236" t="s">
        <v>333</v>
      </c>
      <c r="D17" s="93" t="s">
        <v>288</v>
      </c>
      <c r="E17" s="2" t="s">
        <v>331</v>
      </c>
      <c r="F17" s="2" t="s">
        <v>7</v>
      </c>
      <c r="G17" s="186">
        <f t="shared" si="3"/>
        <v>2.63E-2</v>
      </c>
      <c r="H17" s="186">
        <f t="shared" si="4"/>
        <v>0.1845</v>
      </c>
      <c r="I17" s="187">
        <v>45199</v>
      </c>
      <c r="J17" s="187">
        <v>45214</v>
      </c>
      <c r="K17" s="187">
        <v>44201</v>
      </c>
      <c r="L17" s="188" t="s">
        <v>325</v>
      </c>
      <c r="M17" s="79">
        <v>168951.29</v>
      </c>
      <c r="N17" s="67"/>
      <c r="O17" s="67">
        <f t="shared" si="1"/>
        <v>168951.29</v>
      </c>
      <c r="P17" s="66"/>
      <c r="Q17" s="67">
        <v>13984.25</v>
      </c>
      <c r="R17" s="67"/>
      <c r="S17" s="68">
        <f t="shared" si="2"/>
        <v>13984.25</v>
      </c>
    </row>
    <row r="18" spans="2:19" ht="28.5" customHeight="1" x14ac:dyDescent="0.25">
      <c r="B18" s="2" t="s">
        <v>287</v>
      </c>
      <c r="C18" s="236" t="s">
        <v>333</v>
      </c>
      <c r="D18" s="93" t="s">
        <v>288</v>
      </c>
      <c r="E18" s="2" t="s">
        <v>289</v>
      </c>
      <c r="F18" s="2" t="s">
        <v>7</v>
      </c>
      <c r="G18" s="186">
        <v>2.63E-2</v>
      </c>
      <c r="H18" s="186">
        <v>0.1845</v>
      </c>
      <c r="I18" s="187">
        <v>45199</v>
      </c>
      <c r="J18" s="187">
        <v>45199</v>
      </c>
      <c r="K18" s="187">
        <v>44201</v>
      </c>
      <c r="L18" s="188" t="s">
        <v>320</v>
      </c>
      <c r="M18" s="79">
        <v>312746.86</v>
      </c>
      <c r="N18" s="67"/>
      <c r="O18" s="67">
        <f t="shared" si="1"/>
        <v>312746.86</v>
      </c>
      <c r="P18" s="66"/>
      <c r="Q18" s="67">
        <v>179790.64</v>
      </c>
      <c r="R18" s="67"/>
      <c r="S18" s="68">
        <f t="shared" si="2"/>
        <v>179790.64</v>
      </c>
    </row>
    <row r="19" spans="2:19" ht="28.5" customHeight="1" x14ac:dyDescent="0.25">
      <c r="B19" s="2" t="s">
        <v>352</v>
      </c>
      <c r="C19" s="236" t="s">
        <v>353</v>
      </c>
      <c r="D19" s="93" t="s">
        <v>354</v>
      </c>
      <c r="E19" s="2" t="s">
        <v>355</v>
      </c>
      <c r="F19" s="2" t="s">
        <v>7</v>
      </c>
      <c r="G19" s="186">
        <v>2.63E-2</v>
      </c>
      <c r="H19" s="186">
        <v>0.1845</v>
      </c>
      <c r="I19" s="187">
        <v>45565</v>
      </c>
      <c r="J19" s="187">
        <v>45580</v>
      </c>
      <c r="K19" s="187">
        <v>44279</v>
      </c>
      <c r="L19" s="188" t="s">
        <v>356</v>
      </c>
      <c r="M19" s="79">
        <v>1222797.8600000001</v>
      </c>
      <c r="N19" s="67"/>
      <c r="O19" s="67">
        <f t="shared" si="1"/>
        <v>1222797.8600000001</v>
      </c>
      <c r="P19" s="66"/>
      <c r="Q19" s="67"/>
      <c r="R19" s="67"/>
      <c r="S19" s="68">
        <f t="shared" si="2"/>
        <v>0</v>
      </c>
    </row>
    <row r="20" spans="2:19" ht="28.5" customHeight="1" x14ac:dyDescent="0.25">
      <c r="B20" s="2" t="s">
        <v>357</v>
      </c>
      <c r="C20" s="236" t="s">
        <v>353</v>
      </c>
      <c r="D20" s="93" t="s">
        <v>354</v>
      </c>
      <c r="E20" s="2" t="s">
        <v>358</v>
      </c>
      <c r="F20" s="2" t="s">
        <v>7</v>
      </c>
      <c r="G20" s="186">
        <v>2.63E-2</v>
      </c>
      <c r="H20" s="186">
        <v>0.1845</v>
      </c>
      <c r="I20" s="187">
        <v>45565</v>
      </c>
      <c r="J20" s="187">
        <v>45580</v>
      </c>
      <c r="K20" s="187">
        <v>44279</v>
      </c>
      <c r="L20" s="188" t="s">
        <v>356</v>
      </c>
      <c r="M20" s="79">
        <v>305699.46000000002</v>
      </c>
      <c r="N20" s="67"/>
      <c r="O20" s="67">
        <f t="shared" si="1"/>
        <v>305699.46000000002</v>
      </c>
      <c r="P20" s="66"/>
      <c r="Q20" s="67"/>
      <c r="R20" s="67"/>
      <c r="S20" s="68">
        <f t="shared" si="2"/>
        <v>0</v>
      </c>
    </row>
    <row r="21" spans="2:19" ht="28.5" customHeight="1" x14ac:dyDescent="0.25">
      <c r="B21" s="2" t="s">
        <v>363</v>
      </c>
      <c r="C21" s="236" t="s">
        <v>333</v>
      </c>
      <c r="D21" s="93" t="s">
        <v>288</v>
      </c>
      <c r="E21" s="2" t="s">
        <v>364</v>
      </c>
      <c r="F21" s="2" t="s">
        <v>7</v>
      </c>
      <c r="G21" s="186">
        <v>2.63E-2</v>
      </c>
      <c r="H21" s="186">
        <v>0.1845</v>
      </c>
      <c r="I21" s="187">
        <v>45199</v>
      </c>
      <c r="J21" s="187">
        <v>45214</v>
      </c>
      <c r="K21" s="187">
        <v>44201</v>
      </c>
      <c r="L21" s="188" t="s">
        <v>365</v>
      </c>
      <c r="M21" s="79">
        <v>2878.1</v>
      </c>
      <c r="N21" s="67"/>
      <c r="O21" s="67">
        <f t="shared" si="1"/>
        <v>2878.1</v>
      </c>
      <c r="P21" s="66"/>
      <c r="Q21" s="67"/>
      <c r="R21" s="67"/>
      <c r="S21" s="68"/>
    </row>
    <row r="22" spans="2:19" ht="12.75" customHeight="1" x14ac:dyDescent="0.25">
      <c r="B22" s="300"/>
      <c r="C22" s="236"/>
      <c r="D22" s="300"/>
      <c r="E22" s="300"/>
      <c r="F22" s="45"/>
      <c r="G22" s="203"/>
      <c r="H22" s="203"/>
      <c r="I22" s="206"/>
      <c r="J22" s="206"/>
      <c r="K22" s="206"/>
      <c r="L22" s="188"/>
      <c r="M22" s="29"/>
      <c r="N22" s="29"/>
      <c r="O22" s="29"/>
      <c r="P22" s="29"/>
      <c r="Q22" s="29"/>
      <c r="R22" s="29"/>
      <c r="S22" s="27"/>
    </row>
    <row r="23" spans="2:19" ht="21" customHeight="1" x14ac:dyDescent="0.25">
      <c r="C23" s="4"/>
      <c r="D23" s="4"/>
      <c r="G23" s="202"/>
      <c r="H23" s="186"/>
      <c r="I23" s="187"/>
      <c r="J23" s="187"/>
      <c r="K23" s="187"/>
      <c r="L23" s="205" t="s">
        <v>38</v>
      </c>
      <c r="M23" s="273">
        <f>SUM(M7:M22)</f>
        <v>2390753.4700000002</v>
      </c>
      <c r="N23" s="273">
        <f>SUM(N7:N22)</f>
        <v>0</v>
      </c>
      <c r="O23" s="273">
        <f>SUM(O7:O22)</f>
        <v>2390753.4700000002</v>
      </c>
      <c r="Q23" s="273">
        <f>SUM(Q7:Q22)</f>
        <v>377622.56</v>
      </c>
      <c r="R23" s="273">
        <f>SUM(R7:R22)</f>
        <v>0</v>
      </c>
      <c r="S23" s="23">
        <f>SUM(S7:S22)</f>
        <v>377622.56</v>
      </c>
    </row>
    <row r="24" spans="2:19" x14ac:dyDescent="0.25">
      <c r="C24" s="4"/>
      <c r="D24" s="4"/>
      <c r="I24" s="116"/>
      <c r="J24" s="116"/>
      <c r="K24" s="116"/>
      <c r="L24" s="5"/>
      <c r="M24" s="66"/>
      <c r="N24" s="66"/>
      <c r="O24" s="66"/>
      <c r="Q24" s="66"/>
      <c r="R24" s="66"/>
      <c r="S24" s="68"/>
    </row>
    <row r="25" spans="2:19" x14ac:dyDescent="0.25">
      <c r="C25" s="4"/>
      <c r="D25" s="4"/>
      <c r="I25" s="116"/>
      <c r="J25" s="116"/>
      <c r="K25" s="116"/>
      <c r="L25" s="5"/>
      <c r="M25" s="66"/>
      <c r="N25" s="66"/>
      <c r="O25" s="66"/>
      <c r="Q25" s="66"/>
      <c r="R25" s="66"/>
      <c r="S25" s="68"/>
    </row>
    <row r="26" spans="2:19" x14ac:dyDescent="0.25">
      <c r="C26" s="4"/>
      <c r="D26" s="4"/>
      <c r="I26" s="116"/>
      <c r="J26" s="116"/>
      <c r="K26" s="116"/>
      <c r="L26" s="5"/>
      <c r="M26" s="66"/>
      <c r="N26" s="66"/>
      <c r="O26" s="66"/>
      <c r="Q26" s="66"/>
      <c r="R26" s="66"/>
      <c r="S26" s="68"/>
    </row>
    <row r="27" spans="2:19" x14ac:dyDescent="0.25">
      <c r="B27" s="8" t="s">
        <v>125</v>
      </c>
      <c r="C27" s="92"/>
      <c r="D27" s="92"/>
      <c r="L27" s="5"/>
      <c r="M27" s="66"/>
      <c r="N27" s="66"/>
      <c r="O27" s="66"/>
      <c r="Q27" s="66"/>
      <c r="R27" s="66"/>
      <c r="S27" s="68"/>
    </row>
    <row r="28" spans="2:19" ht="28.5" customHeight="1" x14ac:dyDescent="0.25">
      <c r="B28" s="341" t="s">
        <v>126</v>
      </c>
      <c r="C28" s="341"/>
      <c r="D28" s="341"/>
      <c r="E28" s="341"/>
      <c r="F28" s="341"/>
      <c r="G28" s="117"/>
      <c r="H28" s="117"/>
      <c r="I28" s="111"/>
      <c r="L28" s="5"/>
      <c r="M28" s="66"/>
      <c r="N28" s="66"/>
      <c r="O28" s="66"/>
      <c r="Q28" s="66"/>
      <c r="R28" s="66"/>
      <c r="S28" s="68"/>
    </row>
    <row r="29" spans="2:19" x14ac:dyDescent="0.25">
      <c r="C29" s="92"/>
      <c r="D29" s="92"/>
      <c r="L29" s="5"/>
      <c r="M29" s="66"/>
      <c r="N29" s="66"/>
      <c r="O29" s="66"/>
      <c r="Q29" s="66"/>
      <c r="R29" s="66"/>
      <c r="S29" s="68"/>
    </row>
    <row r="30" spans="2:19" ht="51" customHeight="1" x14ac:dyDescent="0.25">
      <c r="B30" s="341" t="s">
        <v>129</v>
      </c>
      <c r="C30" s="341"/>
      <c r="D30" s="341"/>
      <c r="E30" s="341"/>
      <c r="F30" s="341"/>
      <c r="G30" s="117"/>
      <c r="H30" s="117"/>
      <c r="I30" s="111"/>
      <c r="L30" s="5"/>
      <c r="M30" s="66"/>
      <c r="N30" s="66"/>
      <c r="O30" s="66"/>
      <c r="Q30" s="66"/>
      <c r="R30" s="66"/>
      <c r="S30" s="68"/>
    </row>
    <row r="31" spans="2:19" x14ac:dyDescent="0.25">
      <c r="B31" s="108"/>
      <c r="C31" s="108"/>
      <c r="D31" s="108"/>
      <c r="E31" s="108"/>
      <c r="F31" s="108"/>
      <c r="G31" s="117"/>
      <c r="H31" s="117"/>
      <c r="I31" s="111"/>
      <c r="L31" s="5"/>
      <c r="M31" s="66"/>
      <c r="N31" s="66"/>
      <c r="O31" s="66"/>
      <c r="Q31" s="66"/>
      <c r="R31" s="66"/>
      <c r="S31" s="68"/>
    </row>
    <row r="32" spans="2:19" ht="29.25" customHeight="1" x14ac:dyDescent="0.25">
      <c r="B32" s="341" t="s">
        <v>160</v>
      </c>
      <c r="C32" s="341"/>
      <c r="D32" s="341"/>
      <c r="E32" s="341"/>
      <c r="F32" s="341"/>
      <c r="G32" s="193"/>
      <c r="H32" s="193"/>
      <c r="I32" s="193"/>
      <c r="L32" s="5"/>
      <c r="M32" s="66"/>
      <c r="N32" s="66"/>
      <c r="O32" s="66"/>
      <c r="Q32" s="66"/>
      <c r="R32" s="66"/>
      <c r="S32" s="68"/>
    </row>
    <row r="33" spans="2:19" ht="15" customHeight="1" x14ac:dyDescent="0.25">
      <c r="B33" s="347" t="s">
        <v>159</v>
      </c>
      <c r="C33" s="341"/>
      <c r="D33" s="341"/>
      <c r="E33" s="341"/>
      <c r="F33" s="341"/>
      <c r="G33" s="193"/>
      <c r="H33" s="193"/>
      <c r="I33" s="193"/>
      <c r="L33" s="5"/>
      <c r="M33" s="66"/>
      <c r="N33" s="66"/>
      <c r="O33" s="66"/>
      <c r="Q33" s="66"/>
      <c r="R33" s="66"/>
      <c r="S33" s="68"/>
    </row>
    <row r="34" spans="2:19" ht="15" customHeight="1" x14ac:dyDescent="0.25">
      <c r="B34" s="195"/>
      <c r="C34" s="195"/>
      <c r="D34" s="195"/>
      <c r="E34" s="195"/>
      <c r="F34" s="195"/>
      <c r="G34" s="195"/>
      <c r="H34" s="195"/>
      <c r="I34" s="195"/>
      <c r="L34" s="5"/>
      <c r="M34" s="66"/>
      <c r="N34" s="66"/>
      <c r="O34" s="66"/>
      <c r="Q34" s="66"/>
      <c r="R34" s="66"/>
      <c r="S34" s="68"/>
    </row>
    <row r="35" spans="2:19" x14ac:dyDescent="0.25">
      <c r="B35" s="7" t="s">
        <v>109</v>
      </c>
      <c r="C35" s="101" t="s">
        <v>112</v>
      </c>
      <c r="D35" s="101" t="s">
        <v>113</v>
      </c>
      <c r="E35" s="108"/>
      <c r="F35" s="108"/>
      <c r="G35" s="117"/>
      <c r="H35" s="117"/>
      <c r="I35" s="111"/>
      <c r="L35" s="5"/>
      <c r="M35" s="66"/>
      <c r="N35" s="66"/>
      <c r="O35" s="66"/>
      <c r="Q35" s="66"/>
      <c r="R35" s="66"/>
      <c r="S35" s="68"/>
    </row>
    <row r="36" spans="2:19" x14ac:dyDescent="0.25">
      <c r="B36" s="2" t="s">
        <v>262</v>
      </c>
      <c r="C36" s="92" t="s">
        <v>180</v>
      </c>
      <c r="D36" s="92" t="s">
        <v>181</v>
      </c>
      <c r="E36" s="318"/>
      <c r="F36" s="318"/>
      <c r="G36" s="318"/>
      <c r="H36" s="318"/>
      <c r="I36" s="318"/>
      <c r="L36" s="5"/>
      <c r="M36" s="66"/>
      <c r="N36" s="66"/>
      <c r="O36" s="66"/>
      <c r="Q36" s="66"/>
      <c r="R36" s="66"/>
      <c r="S36" s="68"/>
    </row>
    <row r="37" spans="2:19" x14ac:dyDescent="0.25">
      <c r="B37" s="19" t="s">
        <v>111</v>
      </c>
      <c r="C37" s="92" t="s">
        <v>300</v>
      </c>
      <c r="D37" s="92" t="s">
        <v>303</v>
      </c>
      <c r="L37" s="5"/>
      <c r="M37" s="66"/>
      <c r="N37" s="66"/>
      <c r="O37" s="66"/>
      <c r="Q37" s="66"/>
      <c r="R37" s="66"/>
      <c r="S37" s="68"/>
    </row>
    <row r="38" spans="2:19" x14ac:dyDescent="0.25">
      <c r="B38" s="2" t="s">
        <v>230</v>
      </c>
      <c r="C38" s="92" t="s">
        <v>135</v>
      </c>
      <c r="D38" s="92" t="s">
        <v>147</v>
      </c>
      <c r="L38" s="5"/>
      <c r="M38" s="66"/>
      <c r="N38" s="66"/>
      <c r="O38" s="66"/>
      <c r="Q38" s="66"/>
      <c r="R38" s="66"/>
      <c r="S38" s="68"/>
    </row>
    <row r="39" spans="2:19" x14ac:dyDescent="0.25">
      <c r="B39" s="2" t="s">
        <v>234</v>
      </c>
      <c r="C39" s="92" t="s">
        <v>135</v>
      </c>
      <c r="D39" s="92" t="s">
        <v>147</v>
      </c>
      <c r="L39" s="5"/>
      <c r="M39" s="66"/>
      <c r="N39" s="66"/>
      <c r="O39" s="66"/>
      <c r="Q39" s="66"/>
      <c r="R39" s="66"/>
      <c r="S39" s="68"/>
    </row>
    <row r="40" spans="2:19" x14ac:dyDescent="0.25">
      <c r="B40" s="2" t="s">
        <v>235</v>
      </c>
      <c r="C40" s="92" t="s">
        <v>179</v>
      </c>
      <c r="D40" s="92" t="s">
        <v>236</v>
      </c>
      <c r="L40" s="5"/>
      <c r="M40" s="66"/>
      <c r="N40" s="66"/>
      <c r="O40" s="66"/>
      <c r="Q40" s="66"/>
      <c r="R40" s="66"/>
      <c r="S40" s="68"/>
    </row>
    <row r="41" spans="2:19" x14ac:dyDescent="0.25">
      <c r="B41" s="2" t="s">
        <v>279</v>
      </c>
      <c r="C41" s="92" t="s">
        <v>135</v>
      </c>
      <c r="D41" s="92" t="s">
        <v>147</v>
      </c>
      <c r="L41" s="5"/>
      <c r="M41" s="66"/>
      <c r="N41" s="66"/>
      <c r="O41" s="66"/>
      <c r="Q41" s="66"/>
      <c r="R41" s="66"/>
      <c r="S41" s="68"/>
    </row>
    <row r="42" spans="2:19" x14ac:dyDescent="0.25">
      <c r="B42" s="2" t="s">
        <v>281</v>
      </c>
      <c r="C42" s="92" t="s">
        <v>135</v>
      </c>
      <c r="D42" s="92" t="s">
        <v>147</v>
      </c>
      <c r="L42" s="5"/>
      <c r="M42" s="66"/>
      <c r="N42" s="66"/>
      <c r="O42" s="66"/>
      <c r="Q42" s="66"/>
      <c r="R42" s="66"/>
      <c r="S42" s="68"/>
    </row>
    <row r="43" spans="2:19" x14ac:dyDescent="0.25">
      <c r="B43" s="2" t="s">
        <v>286</v>
      </c>
      <c r="C43" s="92" t="s">
        <v>135</v>
      </c>
      <c r="D43" s="92" t="s">
        <v>147</v>
      </c>
      <c r="L43" s="5"/>
      <c r="M43" s="66"/>
      <c r="N43" s="66"/>
      <c r="O43" s="66"/>
      <c r="Q43" s="66"/>
      <c r="R43" s="66"/>
      <c r="S43" s="68"/>
    </row>
    <row r="44" spans="2:19" x14ac:dyDescent="0.25">
      <c r="C44" s="92"/>
      <c r="D44" s="92"/>
      <c r="L44" s="5"/>
      <c r="M44" s="66"/>
      <c r="N44" s="66"/>
      <c r="O44" s="66"/>
      <c r="Q44" s="66"/>
      <c r="R44" s="66"/>
      <c r="S44" s="68"/>
    </row>
    <row r="45" spans="2:19" x14ac:dyDescent="0.25">
      <c r="B45" s="348" t="s">
        <v>298</v>
      </c>
      <c r="C45" s="336"/>
      <c r="D45" s="336"/>
      <c r="E45" s="336"/>
      <c r="F45" s="336"/>
      <c r="G45" s="336"/>
      <c r="H45" s="336"/>
      <c r="L45" s="5"/>
      <c r="M45" s="66"/>
      <c r="N45" s="66"/>
      <c r="O45" s="66"/>
      <c r="Q45" s="66"/>
      <c r="R45" s="66"/>
      <c r="S45" s="68"/>
    </row>
    <row r="46" spans="2:19" x14ac:dyDescent="0.25">
      <c r="B46" s="242" t="s">
        <v>299</v>
      </c>
      <c r="C46" s="92"/>
      <c r="D46" s="92"/>
      <c r="L46" s="5"/>
      <c r="M46" s="66"/>
      <c r="N46" s="66"/>
      <c r="O46" s="66"/>
      <c r="Q46" s="66"/>
      <c r="R46" s="66"/>
      <c r="S46" s="68"/>
    </row>
    <row r="47" spans="2:19" x14ac:dyDescent="0.25">
      <c r="B47" s="125"/>
      <c r="C47" s="4"/>
      <c r="D47" s="4"/>
      <c r="L47" s="5"/>
      <c r="M47" s="66"/>
      <c r="N47" s="66"/>
      <c r="O47" s="66"/>
      <c r="Q47" s="66"/>
      <c r="R47" s="66"/>
      <c r="S47" s="68"/>
    </row>
    <row r="48" spans="2:19" ht="15" customHeight="1" x14ac:dyDescent="0.25">
      <c r="B48" s="173"/>
      <c r="C48" s="109"/>
      <c r="D48" s="109"/>
      <c r="E48" s="109"/>
      <c r="F48" s="109"/>
      <c r="G48" s="109"/>
      <c r="H48" s="109"/>
      <c r="I48" s="109"/>
      <c r="J48" s="109"/>
      <c r="K48" s="109"/>
      <c r="L48" s="109"/>
      <c r="M48" s="109"/>
      <c r="N48" s="109"/>
      <c r="O48" s="109"/>
      <c r="P48" s="109"/>
      <c r="Q48" s="166" t="s">
        <v>90</v>
      </c>
      <c r="R48" s="163"/>
      <c r="S48" s="164"/>
    </row>
    <row r="49" spans="2:20" ht="15" customHeight="1" x14ac:dyDescent="0.25">
      <c r="B49" s="175" t="s">
        <v>39</v>
      </c>
      <c r="C49" s="157" t="s">
        <v>2</v>
      </c>
      <c r="D49" s="157"/>
      <c r="E49" s="157" t="s">
        <v>34</v>
      </c>
      <c r="F49" s="157" t="s">
        <v>35</v>
      </c>
      <c r="G49" s="157"/>
      <c r="H49" s="157"/>
      <c r="I49" s="157"/>
      <c r="J49" s="157"/>
      <c r="K49" s="157"/>
      <c r="L49" s="157" t="s">
        <v>36</v>
      </c>
      <c r="M49" s="157" t="s">
        <v>37</v>
      </c>
      <c r="N49" s="47"/>
      <c r="O49" s="47"/>
      <c r="P49" s="47"/>
      <c r="Q49" s="54" t="s">
        <v>88</v>
      </c>
      <c r="R49" s="54"/>
      <c r="S49" s="55"/>
      <c r="T49" s="51"/>
    </row>
    <row r="50" spans="2:20" ht="15" customHeight="1" x14ac:dyDescent="0.25">
      <c r="B50" s="63"/>
      <c r="C50" s="9"/>
      <c r="D50" s="9"/>
      <c r="E50" s="9"/>
      <c r="F50" s="9"/>
      <c r="G50" s="9"/>
      <c r="H50" s="9"/>
      <c r="I50" s="9"/>
      <c r="J50" s="9"/>
      <c r="K50" s="9"/>
      <c r="L50" s="9"/>
      <c r="M50" s="9"/>
      <c r="N50" s="45"/>
      <c r="O50" s="45"/>
      <c r="P50" s="45"/>
      <c r="Q50" s="59"/>
      <c r="R50" s="50"/>
      <c r="S50" s="50"/>
      <c r="T50" s="51"/>
    </row>
    <row r="51" spans="2:20" ht="15" customHeight="1" x14ac:dyDescent="0.25">
      <c r="B51" s="63"/>
      <c r="C51" s="148"/>
      <c r="D51" s="148"/>
      <c r="E51" s="148"/>
      <c r="F51" s="148"/>
      <c r="G51" s="148"/>
      <c r="H51" s="148"/>
      <c r="I51" s="148"/>
      <c r="J51" s="148"/>
      <c r="K51" s="148"/>
      <c r="L51" s="148"/>
      <c r="M51" s="148"/>
      <c r="N51" s="45"/>
      <c r="O51" s="45"/>
      <c r="P51" s="45"/>
      <c r="Q51" s="59"/>
      <c r="R51" s="50"/>
      <c r="S51" s="50"/>
      <c r="T51" s="51"/>
    </row>
    <row r="52" spans="2:20" x14ac:dyDescent="0.25">
      <c r="B52" s="63"/>
      <c r="C52" s="148"/>
      <c r="D52" s="148"/>
      <c r="E52" s="148"/>
      <c r="F52" s="148"/>
      <c r="G52" s="148"/>
      <c r="H52" s="148"/>
      <c r="I52" s="148"/>
      <c r="J52" s="148"/>
      <c r="K52" s="148"/>
      <c r="L52" s="148"/>
      <c r="M52" s="148"/>
      <c r="N52" s="45"/>
      <c r="O52" s="45"/>
      <c r="P52" s="45"/>
      <c r="T52" s="51"/>
    </row>
    <row r="53" spans="2:20" x14ac:dyDescent="0.25">
      <c r="B53" s="63"/>
      <c r="C53" s="148"/>
      <c r="D53" s="148"/>
      <c r="E53" s="148"/>
      <c r="F53" s="148"/>
      <c r="G53" s="148"/>
      <c r="H53" s="148"/>
      <c r="I53" s="148"/>
      <c r="J53" s="148"/>
      <c r="K53" s="148"/>
      <c r="L53" s="148"/>
      <c r="M53" s="148"/>
      <c r="N53" s="45"/>
      <c r="O53" s="45"/>
      <c r="P53" s="45"/>
      <c r="T53" s="51"/>
    </row>
    <row r="54" spans="2:20" x14ac:dyDescent="0.25">
      <c r="C54" s="13"/>
      <c r="D54" s="13"/>
      <c r="E54" s="41"/>
      <c r="F54" s="69"/>
      <c r="G54" s="69"/>
      <c r="H54" s="69"/>
      <c r="I54" s="69"/>
      <c r="J54" s="69"/>
      <c r="K54" s="69"/>
      <c r="L54" s="33"/>
      <c r="M54" s="31"/>
      <c r="T54" s="51"/>
    </row>
    <row r="55" spans="2:20" x14ac:dyDescent="0.25">
      <c r="Q55" s="309" t="s">
        <v>316</v>
      </c>
      <c r="R55" s="309"/>
      <c r="S55" s="310">
        <f>S23</f>
        <v>377622.56</v>
      </c>
    </row>
  </sheetData>
  <mergeCells count="8">
    <mergeCell ref="B45:H45"/>
    <mergeCell ref="B33:F33"/>
    <mergeCell ref="Q2:S2"/>
    <mergeCell ref="Q1:S1"/>
    <mergeCell ref="B28:F28"/>
    <mergeCell ref="B30:F30"/>
    <mergeCell ref="B32:F32"/>
    <mergeCell ref="B11:B12"/>
  </mergeCells>
  <hyperlinks>
    <hyperlink ref="B33" r:id="rId1"/>
  </hyperlinks>
  <printOptions horizontalCentered="1" gridLines="1"/>
  <pageMargins left="0" right="0" top="0.75" bottom="0.75" header="0.3" footer="0.3"/>
  <pageSetup scale="54" orientation="landscape" horizontalDpi="1200" verticalDpi="1200"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5"/>
  <sheetViews>
    <sheetView topLeftCell="B1" zoomScale="90" zoomScaleNormal="90" workbookViewId="0">
      <selection activeCell="C7" sqref="C7"/>
    </sheetView>
  </sheetViews>
  <sheetFormatPr defaultColWidth="9.140625" defaultRowHeight="15" x14ac:dyDescent="0.25"/>
  <cols>
    <col min="1" max="1" width="9.140625" style="2" hidden="1" customWidth="1"/>
    <col min="2" max="2" width="58.5703125" style="2" customWidth="1"/>
    <col min="3" max="3" width="26.85546875" style="2" customWidth="1"/>
    <col min="4" max="4" width="13.7109375" style="2" customWidth="1"/>
    <col min="5" max="5" width="17.5703125" style="2" customWidth="1"/>
    <col min="6" max="6" width="22" style="2" customWidth="1"/>
    <col min="7" max="7" width="10.28515625" style="2" customWidth="1"/>
    <col min="8" max="8" width="12.85546875" style="2" customWidth="1"/>
    <col min="9" max="9" width="13.42578125" style="2" customWidth="1"/>
    <col min="10" max="10" width="15.7109375" style="2" customWidth="1"/>
    <col min="11" max="11" width="8.85546875" style="2" customWidth="1"/>
    <col min="12" max="12" width="17.57031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6.7109375" style="2" customWidth="1"/>
    <col min="20" max="16384" width="9.140625" style="2"/>
  </cols>
  <sheetData>
    <row r="1" spans="1:20" ht="18" customHeight="1" x14ac:dyDescent="0.25">
      <c r="B1" s="8" t="s">
        <v>10</v>
      </c>
      <c r="Q1" s="338" t="s">
        <v>296</v>
      </c>
      <c r="R1" s="338"/>
      <c r="S1" s="338"/>
    </row>
    <row r="2" spans="1:20" ht="18" customHeight="1" x14ac:dyDescent="0.25">
      <c r="B2" s="88" t="s">
        <v>148</v>
      </c>
      <c r="C2" s="182">
        <v>44742</v>
      </c>
      <c r="M2" s="71"/>
      <c r="N2" s="71"/>
      <c r="P2" s="29"/>
      <c r="Q2" s="337" t="s">
        <v>375</v>
      </c>
      <c r="R2" s="337"/>
      <c r="S2" s="337"/>
    </row>
    <row r="3" spans="1:20" ht="18" customHeight="1" thickBot="1" x14ac:dyDescent="0.3">
      <c r="A3" s="2" t="s">
        <v>16</v>
      </c>
      <c r="B3" s="44" t="s">
        <v>53</v>
      </c>
      <c r="C3" s="8"/>
      <c r="D3" s="8"/>
      <c r="E3" s="8"/>
      <c r="P3" s="29"/>
      <c r="Q3" s="45"/>
      <c r="R3" s="30"/>
    </row>
    <row r="4" spans="1:20" ht="18.75" customHeight="1" x14ac:dyDescent="0.25">
      <c r="B4" s="8" t="s">
        <v>174</v>
      </c>
      <c r="M4" s="85" t="s">
        <v>28</v>
      </c>
      <c r="N4" s="85" t="s">
        <v>28</v>
      </c>
      <c r="O4" s="85" t="s">
        <v>28</v>
      </c>
      <c r="P4" s="9"/>
      <c r="Q4" s="89" t="s">
        <v>29</v>
      </c>
      <c r="R4" s="89" t="s">
        <v>31</v>
      </c>
      <c r="S4" s="89" t="s">
        <v>23</v>
      </c>
      <c r="T4" s="7"/>
    </row>
    <row r="5" spans="1:20" ht="15.75" thickBot="1" x14ac:dyDescent="0.3">
      <c r="G5" s="183" t="s">
        <v>295</v>
      </c>
      <c r="H5" s="183" t="s">
        <v>295</v>
      </c>
      <c r="M5" s="86" t="s">
        <v>27</v>
      </c>
      <c r="N5" s="86" t="s">
        <v>26</v>
      </c>
      <c r="O5" s="86" t="s">
        <v>25</v>
      </c>
      <c r="P5" s="9"/>
      <c r="Q5" s="90" t="s">
        <v>30</v>
      </c>
      <c r="R5" s="90" t="s">
        <v>30</v>
      </c>
      <c r="S5" s="90" t="s">
        <v>30</v>
      </c>
      <c r="T5" s="7"/>
    </row>
    <row r="6" spans="1:20" ht="85.5" customHeight="1" thickBot="1" x14ac:dyDescent="0.3">
      <c r="B6" s="84" t="s">
        <v>1</v>
      </c>
      <c r="C6" s="84" t="s">
        <v>389</v>
      </c>
      <c r="D6" s="84" t="s">
        <v>107</v>
      </c>
      <c r="E6" s="84" t="s">
        <v>3</v>
      </c>
      <c r="F6" s="84" t="s">
        <v>4</v>
      </c>
      <c r="G6" s="107" t="s">
        <v>136</v>
      </c>
      <c r="H6" s="107" t="s">
        <v>137</v>
      </c>
      <c r="I6" s="107" t="s">
        <v>133</v>
      </c>
      <c r="J6" s="107" t="s">
        <v>134</v>
      </c>
      <c r="K6" s="107" t="s">
        <v>121</v>
      </c>
      <c r="L6" s="83" t="s">
        <v>5</v>
      </c>
      <c r="M6" s="87" t="s">
        <v>6</v>
      </c>
      <c r="N6" s="87" t="s">
        <v>6</v>
      </c>
      <c r="O6" s="87" t="s">
        <v>6</v>
      </c>
      <c r="P6" s="9"/>
      <c r="Q6" s="91"/>
      <c r="R6" s="97" t="s">
        <v>32</v>
      </c>
      <c r="S6" s="98" t="s">
        <v>33</v>
      </c>
    </row>
    <row r="7" spans="1:20" ht="33" customHeight="1" x14ac:dyDescent="0.25">
      <c r="B7" s="2" t="s">
        <v>8</v>
      </c>
      <c r="C7" s="92" t="s">
        <v>106</v>
      </c>
      <c r="D7" s="92" t="s">
        <v>306</v>
      </c>
      <c r="E7" s="2" t="s">
        <v>307</v>
      </c>
      <c r="F7" s="2" t="s">
        <v>7</v>
      </c>
      <c r="G7" s="186">
        <v>2.63E-2</v>
      </c>
      <c r="H7" s="186">
        <v>0.1845</v>
      </c>
      <c r="I7" s="187">
        <v>44742</v>
      </c>
      <c r="J7" s="187">
        <v>44743</v>
      </c>
      <c r="K7" s="187">
        <v>44378</v>
      </c>
      <c r="L7" s="188" t="s">
        <v>297</v>
      </c>
      <c r="M7" s="65">
        <v>46700.5</v>
      </c>
      <c r="N7" s="66"/>
      <c r="O7" s="66">
        <f t="shared" ref="O7:O10" si="0">M7+N7</f>
        <v>46700.5</v>
      </c>
      <c r="P7" s="66"/>
      <c r="Q7" s="66">
        <f>22782.64+5876.74+4223.19+4082.72</f>
        <v>36965.29</v>
      </c>
      <c r="R7" s="66"/>
      <c r="S7" s="68">
        <f t="shared" ref="S7:S10" si="1">Q7+R7</f>
        <v>36965.29</v>
      </c>
    </row>
    <row r="8" spans="1:20" ht="30" customHeight="1" x14ac:dyDescent="0.25">
      <c r="B8" s="2" t="s">
        <v>128</v>
      </c>
      <c r="C8" s="226" t="s">
        <v>122</v>
      </c>
      <c r="D8" s="93" t="s">
        <v>310</v>
      </c>
      <c r="E8" s="2" t="s">
        <v>309</v>
      </c>
      <c r="F8" s="2" t="s">
        <v>7</v>
      </c>
      <c r="G8" s="186">
        <v>2.63E-2</v>
      </c>
      <c r="H8" s="186">
        <v>0.1845</v>
      </c>
      <c r="I8" s="187">
        <f>+I7</f>
        <v>44742</v>
      </c>
      <c r="J8" s="187">
        <f>+J7</f>
        <v>44743</v>
      </c>
      <c r="K8" s="187">
        <f>+K7</f>
        <v>44378</v>
      </c>
      <c r="L8" s="204" t="str">
        <f>+L7</f>
        <v>07/01/21 - 06/30/22</v>
      </c>
      <c r="M8" s="65">
        <v>4795.37</v>
      </c>
      <c r="N8" s="66">
        <v>6077.45</v>
      </c>
      <c r="O8" s="66">
        <f t="shared" si="0"/>
        <v>10872.82</v>
      </c>
      <c r="P8" s="66"/>
      <c r="Q8" s="66">
        <f>4795.37+6077.45</f>
        <v>10872.82</v>
      </c>
      <c r="R8" s="66"/>
      <c r="S8" s="68">
        <f t="shared" si="1"/>
        <v>10872.82</v>
      </c>
    </row>
    <row r="9" spans="1:20" ht="34.5" customHeight="1" x14ac:dyDescent="0.25">
      <c r="B9" s="2" t="s">
        <v>223</v>
      </c>
      <c r="C9" s="236" t="s">
        <v>333</v>
      </c>
      <c r="D9" s="93" t="s">
        <v>224</v>
      </c>
      <c r="E9" s="2" t="s">
        <v>225</v>
      </c>
      <c r="F9" s="2" t="s">
        <v>7</v>
      </c>
      <c r="G9" s="186">
        <v>2.63E-2</v>
      </c>
      <c r="H9" s="186">
        <v>0.1845</v>
      </c>
      <c r="I9" s="187">
        <v>44834</v>
      </c>
      <c r="J9" s="187">
        <v>44849</v>
      </c>
      <c r="K9" s="187">
        <v>43614</v>
      </c>
      <c r="L9" s="188" t="s">
        <v>274</v>
      </c>
      <c r="M9" s="65">
        <v>23495.75</v>
      </c>
      <c r="N9" s="66"/>
      <c r="O9" s="66">
        <f t="shared" si="0"/>
        <v>23495.75</v>
      </c>
      <c r="P9" s="66"/>
      <c r="Q9" s="66">
        <f>17461.68+6034.07</f>
        <v>23495.75</v>
      </c>
      <c r="R9" s="66"/>
      <c r="S9" s="68">
        <f t="shared" si="1"/>
        <v>23495.75</v>
      </c>
    </row>
    <row r="10" spans="1:20" ht="34.5" customHeight="1" x14ac:dyDescent="0.25">
      <c r="B10" s="344" t="s">
        <v>237</v>
      </c>
      <c r="C10" s="236" t="s">
        <v>334</v>
      </c>
      <c r="D10" s="93" t="s">
        <v>231</v>
      </c>
      <c r="E10" s="2" t="s">
        <v>238</v>
      </c>
      <c r="F10" s="2" t="s">
        <v>7</v>
      </c>
      <c r="G10" s="186">
        <v>2.63E-2</v>
      </c>
      <c r="H10" s="186">
        <v>0.1845</v>
      </c>
      <c r="I10" s="187">
        <v>44834</v>
      </c>
      <c r="J10" s="187">
        <v>44849</v>
      </c>
      <c r="K10" s="187">
        <v>43613</v>
      </c>
      <c r="L10" s="188" t="s">
        <v>263</v>
      </c>
      <c r="M10" s="65">
        <v>10000</v>
      </c>
      <c r="N10" s="67"/>
      <c r="O10" s="67">
        <f t="shared" si="0"/>
        <v>10000</v>
      </c>
      <c r="P10" s="67"/>
      <c r="Q10" s="67"/>
      <c r="R10" s="67"/>
      <c r="S10" s="68">
        <f t="shared" si="1"/>
        <v>0</v>
      </c>
    </row>
    <row r="11" spans="1:20" ht="16.5" customHeight="1" x14ac:dyDescent="0.25">
      <c r="B11" s="344"/>
      <c r="C11" s="92"/>
      <c r="D11" s="92"/>
      <c r="G11" s="186"/>
      <c r="H11" s="186"/>
      <c r="I11" s="187"/>
      <c r="J11" s="187"/>
      <c r="K11" s="187"/>
      <c r="L11" s="188"/>
      <c r="M11" s="29"/>
      <c r="N11" s="29"/>
      <c r="O11" s="29"/>
      <c r="P11" s="29"/>
      <c r="Q11" s="29"/>
      <c r="R11" s="29"/>
      <c r="S11" s="27"/>
    </row>
    <row r="12" spans="1:20" ht="26.25" customHeight="1" x14ac:dyDescent="0.25">
      <c r="B12" s="2" t="s">
        <v>279</v>
      </c>
      <c r="C12" s="236" t="s">
        <v>333</v>
      </c>
      <c r="D12" s="93" t="s">
        <v>224</v>
      </c>
      <c r="E12" s="2" t="s">
        <v>280</v>
      </c>
      <c r="F12" s="2" t="s">
        <v>7</v>
      </c>
      <c r="G12" s="186">
        <v>2.63E-2</v>
      </c>
      <c r="H12" s="186">
        <v>0.1845</v>
      </c>
      <c r="I12" s="187">
        <v>44592</v>
      </c>
      <c r="J12" s="187">
        <v>44592</v>
      </c>
      <c r="K12" s="187">
        <v>43980</v>
      </c>
      <c r="L12" s="188" t="s">
        <v>332</v>
      </c>
      <c r="M12" s="79">
        <v>3000</v>
      </c>
      <c r="N12" s="67"/>
      <c r="O12" s="67">
        <f t="shared" ref="O12:O21" si="2">M12+N12</f>
        <v>3000</v>
      </c>
      <c r="P12" s="67"/>
      <c r="Q12" s="67"/>
      <c r="R12" s="67"/>
      <c r="S12" s="68">
        <f t="shared" ref="S12:S20" si="3">Q12+R12</f>
        <v>0</v>
      </c>
    </row>
    <row r="13" spans="1:20" ht="26.25" customHeight="1" x14ac:dyDescent="0.25">
      <c r="B13" s="2" t="s">
        <v>281</v>
      </c>
      <c r="C13" s="236" t="s">
        <v>334</v>
      </c>
      <c r="D13" s="93" t="s">
        <v>231</v>
      </c>
      <c r="E13" s="2" t="s">
        <v>282</v>
      </c>
      <c r="F13" s="2" t="s">
        <v>7</v>
      </c>
      <c r="G13" s="186">
        <v>2.63E-2</v>
      </c>
      <c r="H13" s="186">
        <v>0.1845</v>
      </c>
      <c r="I13" s="187">
        <v>44742</v>
      </c>
      <c r="J13" s="187">
        <v>44757</v>
      </c>
      <c r="K13" s="187">
        <v>43979</v>
      </c>
      <c r="L13" s="188" t="s">
        <v>283</v>
      </c>
      <c r="M13" s="79">
        <v>1027</v>
      </c>
      <c r="N13" s="67"/>
      <c r="O13" s="67">
        <f t="shared" si="2"/>
        <v>1027</v>
      </c>
      <c r="P13" s="66"/>
      <c r="Q13" s="67">
        <v>960.96</v>
      </c>
      <c r="R13" s="67"/>
      <c r="S13" s="68">
        <f t="shared" si="3"/>
        <v>960.96</v>
      </c>
    </row>
    <row r="14" spans="1:20" ht="26.25" customHeight="1" x14ac:dyDescent="0.25">
      <c r="B14" s="2" t="s">
        <v>321</v>
      </c>
      <c r="C14" s="236" t="s">
        <v>333</v>
      </c>
      <c r="D14" s="93" t="s">
        <v>288</v>
      </c>
      <c r="E14" s="2" t="s">
        <v>322</v>
      </c>
      <c r="F14" s="2" t="s">
        <v>7</v>
      </c>
      <c r="G14" s="186">
        <f>G13:H13</f>
        <v>2.63E-2</v>
      </c>
      <c r="H14" s="186">
        <f>H13</f>
        <v>0.1845</v>
      </c>
      <c r="I14" s="187">
        <v>45199</v>
      </c>
      <c r="J14" s="187">
        <v>45214</v>
      </c>
      <c r="K14" s="187">
        <v>44201</v>
      </c>
      <c r="L14" s="188" t="s">
        <v>323</v>
      </c>
      <c r="M14" s="79">
        <v>21185.15</v>
      </c>
      <c r="N14" s="67"/>
      <c r="O14" s="67">
        <f t="shared" si="2"/>
        <v>21185.15</v>
      </c>
      <c r="P14" s="66"/>
      <c r="Q14" s="67"/>
      <c r="R14" s="67"/>
      <c r="S14" s="68">
        <f t="shared" si="3"/>
        <v>0</v>
      </c>
    </row>
    <row r="15" spans="1:20" ht="26.25" customHeight="1" x14ac:dyDescent="0.25">
      <c r="B15" s="2" t="s">
        <v>324</v>
      </c>
      <c r="C15" s="236" t="s">
        <v>333</v>
      </c>
      <c r="D15" s="93" t="s">
        <v>288</v>
      </c>
      <c r="E15" s="2" t="s">
        <v>329</v>
      </c>
      <c r="F15" s="2" t="s">
        <v>7</v>
      </c>
      <c r="G15" s="186">
        <f>G14:H14</f>
        <v>2.63E-2</v>
      </c>
      <c r="H15" s="186">
        <f>H14</f>
        <v>0.1845</v>
      </c>
      <c r="I15" s="187">
        <v>45199</v>
      </c>
      <c r="J15" s="187">
        <v>45214</v>
      </c>
      <c r="K15" s="187">
        <v>44201</v>
      </c>
      <c r="L15" s="188" t="s">
        <v>325</v>
      </c>
      <c r="M15" s="79">
        <v>11644</v>
      </c>
      <c r="N15" s="67"/>
      <c r="O15" s="67">
        <f t="shared" si="2"/>
        <v>11644</v>
      </c>
      <c r="P15" s="66"/>
      <c r="Q15" s="67"/>
      <c r="R15" s="67"/>
      <c r="S15" s="68">
        <f t="shared" si="3"/>
        <v>0</v>
      </c>
    </row>
    <row r="16" spans="1:20" ht="26.25" customHeight="1" x14ac:dyDescent="0.25">
      <c r="B16" s="2" t="s">
        <v>326</v>
      </c>
      <c r="C16" s="236" t="s">
        <v>333</v>
      </c>
      <c r="D16" s="93" t="s">
        <v>288</v>
      </c>
      <c r="E16" s="2" t="s">
        <v>330</v>
      </c>
      <c r="F16" s="2" t="s">
        <v>7</v>
      </c>
      <c r="G16" s="186">
        <f>G15:H15</f>
        <v>2.63E-2</v>
      </c>
      <c r="H16" s="186">
        <f>H15</f>
        <v>0.1845</v>
      </c>
      <c r="I16" s="187">
        <v>45199</v>
      </c>
      <c r="J16" s="187">
        <v>45214</v>
      </c>
      <c r="K16" s="187">
        <v>44201</v>
      </c>
      <c r="L16" s="188" t="s">
        <v>323</v>
      </c>
      <c r="M16" s="79">
        <v>5561.1</v>
      </c>
      <c r="N16" s="67"/>
      <c r="O16" s="67">
        <f t="shared" si="2"/>
        <v>5561.1</v>
      </c>
      <c r="P16" s="66"/>
      <c r="Q16" s="67"/>
      <c r="R16" s="67"/>
      <c r="S16" s="68">
        <f t="shared" si="3"/>
        <v>0</v>
      </c>
    </row>
    <row r="17" spans="2:19" ht="26.25" customHeight="1" x14ac:dyDescent="0.25">
      <c r="B17" s="2" t="s">
        <v>370</v>
      </c>
      <c r="C17" s="236" t="s">
        <v>333</v>
      </c>
      <c r="D17" s="93" t="s">
        <v>288</v>
      </c>
      <c r="E17" s="2" t="s">
        <v>331</v>
      </c>
      <c r="F17" s="2" t="s">
        <v>7</v>
      </c>
      <c r="G17" s="186">
        <f t="shared" ref="G17" si="4">G16:H16</f>
        <v>2.63E-2</v>
      </c>
      <c r="H17" s="186">
        <f t="shared" ref="H17" si="5">H16</f>
        <v>0.1845</v>
      </c>
      <c r="I17" s="187">
        <v>45199</v>
      </c>
      <c r="J17" s="187">
        <v>45214</v>
      </c>
      <c r="K17" s="187">
        <v>44201</v>
      </c>
      <c r="L17" s="188" t="s">
        <v>325</v>
      </c>
      <c r="M17" s="79">
        <v>26322.55</v>
      </c>
      <c r="N17" s="67"/>
      <c r="O17" s="67">
        <f t="shared" si="2"/>
        <v>26322.55</v>
      </c>
      <c r="P17" s="66"/>
      <c r="Q17" s="67">
        <v>24859.5</v>
      </c>
      <c r="R17" s="67"/>
      <c r="S17" s="68">
        <f t="shared" si="3"/>
        <v>24859.5</v>
      </c>
    </row>
    <row r="18" spans="2:19" ht="26.25" customHeight="1" x14ac:dyDescent="0.25">
      <c r="B18" s="2" t="s">
        <v>287</v>
      </c>
      <c r="C18" s="236" t="s">
        <v>333</v>
      </c>
      <c r="D18" s="93" t="s">
        <v>288</v>
      </c>
      <c r="E18" s="2" t="s">
        <v>289</v>
      </c>
      <c r="F18" s="2" t="s">
        <v>7</v>
      </c>
      <c r="G18" s="186">
        <v>2.63E-2</v>
      </c>
      <c r="H18" s="186">
        <v>0.1845</v>
      </c>
      <c r="I18" s="187">
        <v>45199</v>
      </c>
      <c r="J18" s="187">
        <v>45199</v>
      </c>
      <c r="K18" s="187">
        <v>44201</v>
      </c>
      <c r="L18" s="188" t="s">
        <v>320</v>
      </c>
      <c r="M18" s="79">
        <v>48725.85</v>
      </c>
      <c r="N18" s="67"/>
      <c r="O18" s="67">
        <f t="shared" si="2"/>
        <v>48725.85</v>
      </c>
      <c r="P18" s="66"/>
      <c r="Q18" s="67">
        <v>48725.85</v>
      </c>
      <c r="R18" s="67"/>
      <c r="S18" s="68">
        <f t="shared" si="3"/>
        <v>48725.85</v>
      </c>
    </row>
    <row r="19" spans="2:19" ht="26.25" customHeight="1" x14ac:dyDescent="0.25">
      <c r="B19" s="2" t="s">
        <v>352</v>
      </c>
      <c r="C19" s="236" t="s">
        <v>353</v>
      </c>
      <c r="D19" s="93" t="s">
        <v>354</v>
      </c>
      <c r="E19" s="2" t="s">
        <v>355</v>
      </c>
      <c r="F19" s="2" t="s">
        <v>7</v>
      </c>
      <c r="G19" s="186">
        <v>2.63E-2</v>
      </c>
      <c r="H19" s="186">
        <v>0.1845</v>
      </c>
      <c r="I19" s="187">
        <v>45565</v>
      </c>
      <c r="J19" s="187">
        <v>45580</v>
      </c>
      <c r="K19" s="187">
        <v>44279</v>
      </c>
      <c r="L19" s="188" t="s">
        <v>356</v>
      </c>
      <c r="M19" s="79">
        <v>190511.47</v>
      </c>
      <c r="N19" s="67"/>
      <c r="O19" s="67">
        <f t="shared" si="2"/>
        <v>190511.47</v>
      </c>
      <c r="P19" s="66"/>
      <c r="Q19" s="67"/>
      <c r="R19" s="67"/>
      <c r="S19" s="68">
        <f t="shared" si="3"/>
        <v>0</v>
      </c>
    </row>
    <row r="20" spans="2:19" ht="26.25" customHeight="1" x14ac:dyDescent="0.25">
      <c r="B20" s="2" t="s">
        <v>357</v>
      </c>
      <c r="C20" s="236" t="s">
        <v>353</v>
      </c>
      <c r="D20" s="93" t="s">
        <v>354</v>
      </c>
      <c r="E20" s="2" t="s">
        <v>358</v>
      </c>
      <c r="F20" s="2" t="s">
        <v>7</v>
      </c>
      <c r="G20" s="186">
        <v>2.63E-2</v>
      </c>
      <c r="H20" s="186">
        <v>0.1845</v>
      </c>
      <c r="I20" s="187">
        <v>45565</v>
      </c>
      <c r="J20" s="187">
        <v>45580</v>
      </c>
      <c r="K20" s="187">
        <v>44279</v>
      </c>
      <c r="L20" s="188" t="s">
        <v>356</v>
      </c>
      <c r="M20" s="79">
        <v>47627.87</v>
      </c>
      <c r="N20" s="67"/>
      <c r="O20" s="67">
        <f t="shared" si="2"/>
        <v>47627.87</v>
      </c>
      <c r="P20" s="66"/>
      <c r="Q20" s="67"/>
      <c r="R20" s="67"/>
      <c r="S20" s="68">
        <f t="shared" si="3"/>
        <v>0</v>
      </c>
    </row>
    <row r="21" spans="2:19" ht="26.25" customHeight="1" x14ac:dyDescent="0.25">
      <c r="B21" s="2" t="s">
        <v>363</v>
      </c>
      <c r="C21" s="236" t="s">
        <v>333</v>
      </c>
      <c r="D21" s="93" t="s">
        <v>288</v>
      </c>
      <c r="E21" s="2" t="s">
        <v>364</v>
      </c>
      <c r="F21" s="2" t="s">
        <v>7</v>
      </c>
      <c r="G21" s="186">
        <v>2.63E-2</v>
      </c>
      <c r="H21" s="186">
        <v>0.1845</v>
      </c>
      <c r="I21" s="187">
        <v>45199</v>
      </c>
      <c r="J21" s="187">
        <v>45214</v>
      </c>
      <c r="K21" s="187">
        <v>44201</v>
      </c>
      <c r="L21" s="188" t="s">
        <v>365</v>
      </c>
      <c r="M21" s="79">
        <v>448.41</v>
      </c>
      <c r="N21" s="67"/>
      <c r="O21" s="67">
        <f t="shared" si="2"/>
        <v>448.41</v>
      </c>
      <c r="P21" s="66"/>
      <c r="Q21" s="67"/>
      <c r="R21" s="67"/>
      <c r="S21" s="68"/>
    </row>
    <row r="22" spans="2:19" ht="13.5" customHeight="1" x14ac:dyDescent="0.25">
      <c r="C22" s="236"/>
      <c r="D22" s="93"/>
      <c r="G22" s="186"/>
      <c r="H22" s="186"/>
      <c r="I22" s="187"/>
      <c r="J22" s="187"/>
      <c r="K22" s="187"/>
      <c r="L22" s="188"/>
      <c r="M22" s="79"/>
      <c r="N22" s="67"/>
      <c r="O22" s="67"/>
      <c r="P22" s="66"/>
      <c r="Q22" s="67"/>
      <c r="R22" s="67"/>
      <c r="S22" s="68"/>
    </row>
    <row r="23" spans="2:19" ht="21.75" customHeight="1" x14ac:dyDescent="0.25">
      <c r="C23" s="92"/>
      <c r="D23" s="92"/>
      <c r="I23" s="116"/>
      <c r="J23" s="116"/>
      <c r="K23" s="116"/>
      <c r="L23" s="5" t="s">
        <v>38</v>
      </c>
      <c r="M23" s="273">
        <f>SUM(M7:M22)</f>
        <v>441045.01999999996</v>
      </c>
      <c r="N23" s="273">
        <f>SUM(N7:N22)</f>
        <v>6077.45</v>
      </c>
      <c r="O23" s="273">
        <f>SUM(O7:O22)</f>
        <v>447122.47</v>
      </c>
      <c r="Q23" s="273">
        <f>SUM(Q7:Q22)</f>
        <v>145880.17000000001</v>
      </c>
      <c r="R23" s="273">
        <f>SUM(R7:R22)</f>
        <v>0</v>
      </c>
      <c r="S23" s="23">
        <f>SUM(S7:S22)</f>
        <v>145880.17000000001</v>
      </c>
    </row>
    <row r="24" spans="2:19" x14ac:dyDescent="0.25">
      <c r="C24" s="92"/>
      <c r="D24" s="92"/>
      <c r="L24" s="5"/>
      <c r="M24" s="66"/>
      <c r="N24" s="66"/>
      <c r="O24" s="66"/>
      <c r="Q24" s="66"/>
      <c r="R24" s="66"/>
      <c r="S24" s="68"/>
    </row>
    <row r="25" spans="2:19" x14ac:dyDescent="0.25">
      <c r="C25" s="92"/>
      <c r="D25" s="92"/>
      <c r="L25" s="5"/>
      <c r="M25" s="66"/>
      <c r="N25" s="66"/>
      <c r="O25" s="66"/>
      <c r="Q25" s="66"/>
      <c r="R25" s="66"/>
      <c r="S25" s="68"/>
    </row>
    <row r="26" spans="2:19" x14ac:dyDescent="0.25">
      <c r="B26" s="8" t="s">
        <v>125</v>
      </c>
      <c r="C26" s="92"/>
      <c r="D26" s="92"/>
      <c r="L26" s="5"/>
      <c r="M26" s="66"/>
      <c r="N26" s="66"/>
      <c r="O26" s="66"/>
      <c r="Q26" s="66"/>
      <c r="R26" s="66"/>
      <c r="S26" s="68"/>
    </row>
    <row r="27" spans="2:19" ht="33" customHeight="1" x14ac:dyDescent="0.25">
      <c r="B27" s="341" t="s">
        <v>126</v>
      </c>
      <c r="C27" s="341"/>
      <c r="D27" s="341"/>
      <c r="E27" s="341"/>
      <c r="F27" s="341"/>
      <c r="G27" s="117"/>
      <c r="H27" s="117"/>
      <c r="I27" s="111"/>
      <c r="L27" s="5"/>
      <c r="M27" s="66"/>
      <c r="N27" s="66"/>
      <c r="O27" s="66"/>
      <c r="Q27" s="66"/>
      <c r="R27" s="66"/>
      <c r="S27" s="68"/>
    </row>
    <row r="28" spans="2:19" x14ac:dyDescent="0.25">
      <c r="C28" s="92"/>
      <c r="D28" s="92"/>
      <c r="L28" s="5"/>
      <c r="M28" s="66"/>
      <c r="N28" s="66"/>
      <c r="O28" s="66"/>
      <c r="Q28" s="66"/>
      <c r="R28" s="66"/>
      <c r="S28" s="68"/>
    </row>
    <row r="29" spans="2:19" ht="44.25" customHeight="1" x14ac:dyDescent="0.25">
      <c r="B29" s="341" t="s">
        <v>129</v>
      </c>
      <c r="C29" s="341"/>
      <c r="D29" s="341"/>
      <c r="E29" s="341"/>
      <c r="F29" s="341"/>
      <c r="G29" s="117"/>
      <c r="H29" s="117"/>
      <c r="I29" s="111"/>
      <c r="L29" s="5"/>
      <c r="M29" s="66"/>
      <c r="N29" s="66"/>
      <c r="O29" s="66"/>
      <c r="Q29" s="66"/>
      <c r="R29" s="66"/>
      <c r="S29" s="68"/>
    </row>
    <row r="30" spans="2:19" x14ac:dyDescent="0.25">
      <c r="B30" s="108"/>
      <c r="C30" s="108"/>
      <c r="D30" s="108"/>
      <c r="E30" s="108"/>
      <c r="F30" s="108"/>
      <c r="G30" s="117"/>
      <c r="H30" s="117"/>
      <c r="I30" s="111"/>
      <c r="L30" s="5"/>
      <c r="M30" s="66"/>
      <c r="N30" s="66"/>
      <c r="O30" s="66"/>
      <c r="Q30" s="66"/>
      <c r="R30" s="66"/>
      <c r="S30" s="68"/>
    </row>
    <row r="31" spans="2:19" ht="30" customHeight="1" x14ac:dyDescent="0.25">
      <c r="B31" s="341" t="s">
        <v>160</v>
      </c>
      <c r="C31" s="341"/>
      <c r="D31" s="341"/>
      <c r="E31" s="341"/>
      <c r="F31" s="341"/>
      <c r="G31" s="193"/>
      <c r="H31" s="193"/>
      <c r="I31" s="193"/>
      <c r="L31" s="5"/>
      <c r="M31" s="66"/>
      <c r="N31" s="66"/>
      <c r="O31" s="66"/>
      <c r="Q31" s="66"/>
      <c r="R31" s="66"/>
      <c r="S31" s="68"/>
    </row>
    <row r="32" spans="2:19" ht="15" customHeight="1" x14ac:dyDescent="0.25">
      <c r="B32" s="347" t="s">
        <v>159</v>
      </c>
      <c r="C32" s="341"/>
      <c r="D32" s="341"/>
      <c r="E32" s="341"/>
      <c r="F32" s="341"/>
      <c r="G32" s="193"/>
      <c r="H32" s="193"/>
      <c r="I32" s="193"/>
      <c r="L32" s="5"/>
      <c r="M32" s="66"/>
      <c r="N32" s="66"/>
      <c r="O32" s="66"/>
      <c r="Q32" s="66"/>
      <c r="R32" s="66"/>
      <c r="S32" s="68"/>
    </row>
    <row r="33" spans="2:20" ht="15" customHeight="1" x14ac:dyDescent="0.25">
      <c r="B33" s="195"/>
      <c r="C33" s="195"/>
      <c r="D33" s="195"/>
      <c r="E33" s="195"/>
      <c r="F33" s="195"/>
      <c r="G33" s="195"/>
      <c r="H33" s="195"/>
      <c r="I33" s="195"/>
      <c r="L33" s="5"/>
      <c r="M33" s="66"/>
      <c r="N33" s="66"/>
      <c r="O33" s="66"/>
      <c r="Q33" s="66"/>
      <c r="R33" s="66"/>
      <c r="S33" s="68"/>
    </row>
    <row r="34" spans="2:20" x14ac:dyDescent="0.25">
      <c r="B34" s="7" t="s">
        <v>109</v>
      </c>
      <c r="C34" s="101" t="s">
        <v>112</v>
      </c>
      <c r="D34" s="101" t="s">
        <v>113</v>
      </c>
      <c r="E34" s="108"/>
      <c r="F34" s="108"/>
      <c r="G34" s="117"/>
      <c r="H34" s="117"/>
      <c r="I34" s="111"/>
      <c r="L34" s="5"/>
      <c r="M34" s="66"/>
      <c r="N34" s="66"/>
      <c r="O34" s="66"/>
      <c r="Q34" s="66"/>
      <c r="R34" s="66"/>
      <c r="S34" s="68"/>
    </row>
    <row r="35" spans="2:20" x14ac:dyDescent="0.25">
      <c r="B35" s="2" t="s">
        <v>110</v>
      </c>
      <c r="C35" s="92" t="s">
        <v>327</v>
      </c>
      <c r="D35" s="92" t="s">
        <v>118</v>
      </c>
      <c r="L35" s="5"/>
      <c r="M35" s="66"/>
      <c r="N35" s="66"/>
      <c r="O35" s="66"/>
      <c r="Q35" s="66"/>
      <c r="R35" s="66"/>
      <c r="S35" s="68"/>
    </row>
    <row r="36" spans="2:20" x14ac:dyDescent="0.25">
      <c r="B36" s="19" t="s">
        <v>111</v>
      </c>
      <c r="C36" s="92" t="s">
        <v>300</v>
      </c>
      <c r="D36" s="92" t="s">
        <v>303</v>
      </c>
      <c r="L36" s="5"/>
      <c r="M36" s="66"/>
      <c r="N36" s="66"/>
      <c r="O36" s="66"/>
      <c r="Q36" s="66"/>
      <c r="R36" s="66"/>
      <c r="S36" s="68"/>
    </row>
    <row r="37" spans="2:20" x14ac:dyDescent="0.25">
      <c r="B37" s="2" t="s">
        <v>230</v>
      </c>
      <c r="C37" s="92" t="s">
        <v>135</v>
      </c>
      <c r="D37" s="92" t="s">
        <v>147</v>
      </c>
      <c r="L37" s="5"/>
      <c r="M37" s="66"/>
      <c r="N37" s="66"/>
      <c r="O37" s="66"/>
      <c r="Q37" s="66"/>
      <c r="R37" s="66"/>
      <c r="S37" s="68"/>
    </row>
    <row r="38" spans="2:20" x14ac:dyDescent="0.25">
      <c r="B38" s="2" t="s">
        <v>235</v>
      </c>
      <c r="C38" s="92" t="s">
        <v>179</v>
      </c>
      <c r="D38" s="92" t="s">
        <v>236</v>
      </c>
      <c r="L38" s="5"/>
      <c r="M38" s="66"/>
      <c r="N38" s="66"/>
      <c r="O38" s="66"/>
      <c r="Q38" s="66"/>
      <c r="R38" s="66"/>
      <c r="S38" s="68"/>
    </row>
    <row r="39" spans="2:20" x14ac:dyDescent="0.25">
      <c r="B39" s="2" t="s">
        <v>279</v>
      </c>
      <c r="C39" s="92" t="s">
        <v>135</v>
      </c>
      <c r="D39" s="92" t="s">
        <v>147</v>
      </c>
      <c r="L39" s="5"/>
      <c r="M39" s="66"/>
      <c r="N39" s="66"/>
      <c r="O39" s="66"/>
      <c r="Q39" s="66"/>
      <c r="R39" s="66"/>
      <c r="S39" s="68"/>
    </row>
    <row r="40" spans="2:20" x14ac:dyDescent="0.25">
      <c r="B40" s="2" t="s">
        <v>281</v>
      </c>
      <c r="C40" s="92" t="s">
        <v>135</v>
      </c>
      <c r="D40" s="92" t="s">
        <v>147</v>
      </c>
      <c r="L40" s="5"/>
      <c r="M40" s="66"/>
      <c r="N40" s="66"/>
      <c r="O40" s="66"/>
      <c r="Q40" s="66"/>
      <c r="R40" s="66"/>
      <c r="S40" s="68"/>
    </row>
    <row r="41" spans="2:20" x14ac:dyDescent="0.25">
      <c r="B41" s="2" t="s">
        <v>286</v>
      </c>
      <c r="C41" s="92" t="s">
        <v>135</v>
      </c>
      <c r="D41" s="92" t="s">
        <v>147</v>
      </c>
      <c r="L41" s="5"/>
      <c r="M41" s="66"/>
      <c r="N41" s="66"/>
      <c r="O41" s="66"/>
      <c r="Q41" s="66"/>
      <c r="R41" s="66"/>
      <c r="S41" s="68"/>
    </row>
    <row r="42" spans="2:20" x14ac:dyDescent="0.25">
      <c r="C42" s="92"/>
      <c r="D42" s="92"/>
      <c r="L42" s="5"/>
      <c r="M42" s="66"/>
      <c r="N42" s="66"/>
      <c r="O42" s="66"/>
      <c r="Q42" s="66"/>
      <c r="R42" s="66"/>
      <c r="S42" s="68"/>
    </row>
    <row r="43" spans="2:20" x14ac:dyDescent="0.25">
      <c r="B43" s="348" t="s">
        <v>298</v>
      </c>
      <c r="C43" s="336"/>
      <c r="D43" s="336"/>
      <c r="E43" s="336"/>
      <c r="F43" s="336"/>
      <c r="G43" s="336"/>
      <c r="H43" s="336"/>
      <c r="L43" s="5"/>
      <c r="M43" s="66"/>
      <c r="N43" s="66"/>
      <c r="O43" s="66"/>
      <c r="Q43" s="66"/>
      <c r="R43" s="66"/>
      <c r="S43" s="68"/>
    </row>
    <row r="44" spans="2:20" x14ac:dyDescent="0.25">
      <c r="B44" s="242" t="s">
        <v>299</v>
      </c>
      <c r="C44" s="92"/>
      <c r="D44" s="92"/>
      <c r="L44" s="5"/>
      <c r="M44" s="66"/>
      <c r="N44" s="66"/>
      <c r="O44" s="66"/>
      <c r="Q44" s="66"/>
      <c r="R44" s="66"/>
      <c r="S44" s="68"/>
    </row>
    <row r="45" spans="2:20" x14ac:dyDescent="0.25">
      <c r="B45" s="10"/>
      <c r="C45" s="94"/>
      <c r="D45" s="94"/>
      <c r="E45" s="10"/>
      <c r="F45" s="10"/>
      <c r="G45" s="10"/>
      <c r="H45" s="10"/>
      <c r="I45" s="10"/>
      <c r="J45" s="10"/>
      <c r="K45" s="10"/>
      <c r="L45" s="10"/>
      <c r="M45" s="10"/>
      <c r="N45" s="29"/>
      <c r="O45" s="29"/>
      <c r="P45" s="29"/>
      <c r="Q45" s="29"/>
      <c r="R45" s="29"/>
      <c r="S45" s="27"/>
    </row>
    <row r="46" spans="2:20" ht="15" customHeight="1" x14ac:dyDescent="0.25">
      <c r="N46" s="109"/>
      <c r="O46" s="109"/>
      <c r="P46" s="109"/>
      <c r="Q46" s="166" t="s">
        <v>90</v>
      </c>
      <c r="R46" s="163"/>
      <c r="S46" s="164"/>
    </row>
    <row r="47" spans="2:20" ht="15" customHeight="1" x14ac:dyDescent="0.25">
      <c r="B47" s="17" t="s">
        <v>39</v>
      </c>
      <c r="C47" s="96" t="s">
        <v>2</v>
      </c>
      <c r="D47" s="96"/>
      <c r="E47" s="96" t="s">
        <v>34</v>
      </c>
      <c r="F47" s="96" t="s">
        <v>35</v>
      </c>
      <c r="G47" s="120"/>
      <c r="H47" s="120"/>
      <c r="I47" s="114"/>
      <c r="J47" s="96"/>
      <c r="K47" s="96"/>
      <c r="L47" s="96" t="s">
        <v>36</v>
      </c>
      <c r="M47" s="96" t="s">
        <v>37</v>
      </c>
      <c r="N47" s="47"/>
      <c r="O47" s="47"/>
      <c r="P47" s="47"/>
      <c r="Q47" s="54" t="s">
        <v>88</v>
      </c>
      <c r="R47" s="54"/>
      <c r="S47" s="55"/>
      <c r="T47" s="51"/>
    </row>
    <row r="48" spans="2:20" ht="15" customHeight="1" x14ac:dyDescent="0.25">
      <c r="B48" s="63"/>
      <c r="C48" s="9"/>
      <c r="D48" s="9"/>
      <c r="E48" s="9"/>
      <c r="F48" s="9"/>
      <c r="G48" s="9"/>
      <c r="H48" s="9"/>
      <c r="I48" s="9"/>
      <c r="J48" s="9"/>
      <c r="K48" s="9"/>
      <c r="L48" s="9"/>
      <c r="M48" s="9"/>
      <c r="N48" s="45"/>
      <c r="O48" s="45"/>
      <c r="P48" s="45"/>
      <c r="Q48" s="59"/>
      <c r="R48" s="50"/>
      <c r="S48" s="50"/>
      <c r="T48" s="51"/>
    </row>
    <row r="49" spans="2:20" ht="15" customHeight="1" x14ac:dyDescent="0.25">
      <c r="B49" s="63"/>
      <c r="C49" s="148"/>
      <c r="D49" s="148"/>
      <c r="E49" s="148"/>
      <c r="F49" s="148"/>
      <c r="G49" s="148"/>
      <c r="H49" s="148"/>
      <c r="I49" s="148"/>
      <c r="J49" s="148"/>
      <c r="K49" s="148"/>
      <c r="L49" s="148"/>
      <c r="M49" s="148"/>
      <c r="N49" s="45"/>
      <c r="O49" s="45"/>
      <c r="P49" s="45"/>
      <c r="Q49" s="59"/>
      <c r="R49" s="50"/>
      <c r="S49" s="50"/>
      <c r="T49" s="51"/>
    </row>
    <row r="50" spans="2:20" x14ac:dyDescent="0.25">
      <c r="B50" s="63"/>
      <c r="C50" s="9"/>
      <c r="D50" s="9"/>
      <c r="E50" s="9"/>
      <c r="F50" s="9"/>
      <c r="G50" s="9"/>
      <c r="H50" s="9"/>
      <c r="I50" s="9"/>
      <c r="J50" s="9"/>
      <c r="K50" s="9"/>
      <c r="L50" s="9"/>
      <c r="M50" s="9"/>
      <c r="N50" s="45"/>
      <c r="O50" s="45"/>
      <c r="P50" s="45"/>
      <c r="T50" s="51"/>
    </row>
    <row r="51" spans="2:20" x14ac:dyDescent="0.25">
      <c r="B51" s="63"/>
      <c r="C51" s="148"/>
      <c r="D51" s="148"/>
      <c r="E51" s="148"/>
      <c r="F51" s="148"/>
      <c r="G51" s="148"/>
      <c r="H51" s="148"/>
      <c r="I51" s="148"/>
      <c r="J51" s="148"/>
      <c r="K51" s="148"/>
      <c r="L51" s="148"/>
      <c r="M51" s="148"/>
      <c r="N51" s="45"/>
      <c r="O51" s="45"/>
      <c r="P51" s="45"/>
      <c r="T51" s="51"/>
    </row>
    <row r="52" spans="2:20" x14ac:dyDescent="0.25">
      <c r="B52" s="11"/>
      <c r="C52" s="9"/>
      <c r="D52" s="9"/>
      <c r="E52" s="9"/>
      <c r="Q52" s="51"/>
      <c r="R52" s="51"/>
      <c r="S52" s="51"/>
      <c r="T52" s="51"/>
    </row>
    <row r="53" spans="2:20" x14ac:dyDescent="0.25">
      <c r="B53" s="11"/>
      <c r="C53" s="9"/>
      <c r="D53" s="9"/>
      <c r="E53" s="9"/>
      <c r="Q53" s="51"/>
      <c r="R53" s="51"/>
      <c r="S53" s="51"/>
      <c r="T53" s="51"/>
    </row>
    <row r="54" spans="2:20" x14ac:dyDescent="0.25">
      <c r="B54" s="11"/>
      <c r="C54" s="9"/>
      <c r="D54" s="9"/>
      <c r="E54" s="9"/>
      <c r="Q54" s="51"/>
      <c r="R54" s="51"/>
      <c r="S54" s="51"/>
      <c r="T54" s="51"/>
    </row>
    <row r="55" spans="2:20" x14ac:dyDescent="0.25">
      <c r="Q55" s="309" t="s">
        <v>316</v>
      </c>
      <c r="R55" s="309"/>
      <c r="S55" s="310">
        <f>S23</f>
        <v>145880.17000000001</v>
      </c>
    </row>
  </sheetData>
  <mergeCells count="8">
    <mergeCell ref="B43:H43"/>
    <mergeCell ref="B32:F32"/>
    <mergeCell ref="Q2:S2"/>
    <mergeCell ref="Q1:S1"/>
    <mergeCell ref="B27:F27"/>
    <mergeCell ref="B29:F29"/>
    <mergeCell ref="B31:F31"/>
    <mergeCell ref="B10:B11"/>
  </mergeCells>
  <hyperlinks>
    <hyperlink ref="B32" r:id="rId1"/>
  </hyperlinks>
  <printOptions horizontalCentered="1" gridLines="1"/>
  <pageMargins left="0" right="0" top="0.75" bottom="0.75" header="0.3" footer="0.3"/>
  <pageSetup scale="52" orientation="landscape" horizontalDpi="1200" verticalDpi="1200"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5"/>
  <sheetViews>
    <sheetView topLeftCell="C1" zoomScale="90" zoomScaleNormal="90" workbookViewId="0">
      <selection activeCell="R8" sqref="R8"/>
    </sheetView>
  </sheetViews>
  <sheetFormatPr defaultColWidth="9.140625" defaultRowHeight="15" x14ac:dyDescent="0.25"/>
  <cols>
    <col min="1" max="1" width="9.140625" style="2" hidden="1" customWidth="1"/>
    <col min="2" max="2" width="60.140625" style="2" customWidth="1"/>
    <col min="3" max="3" width="26.85546875" style="2" customWidth="1"/>
    <col min="4" max="4" width="13.7109375" style="2" customWidth="1"/>
    <col min="5" max="5" width="18" style="2" customWidth="1"/>
    <col min="6" max="6" width="21.5703125" style="2" customWidth="1"/>
    <col min="7" max="7" width="10.28515625" style="2" customWidth="1"/>
    <col min="8" max="8" width="12.85546875" style="2" customWidth="1"/>
    <col min="9" max="9" width="13.42578125" style="2" customWidth="1"/>
    <col min="10" max="10" width="15.7109375" style="2" customWidth="1"/>
    <col min="11" max="11" width="8.85546875" style="2" customWidth="1"/>
    <col min="12" max="12" width="19" style="2" customWidth="1"/>
    <col min="13" max="13" width="15.140625" style="2" bestFit="1" customWidth="1"/>
    <col min="14" max="14" width="13.7109375" style="2" customWidth="1"/>
    <col min="15" max="15" width="14.42578125" style="2" customWidth="1"/>
    <col min="16" max="16" width="3.140625" style="2" customWidth="1"/>
    <col min="17" max="18" width="14.140625" style="2" customWidth="1"/>
    <col min="19" max="19" width="16.7109375" style="2" customWidth="1"/>
    <col min="20" max="16384" width="9.140625" style="2"/>
  </cols>
  <sheetData>
    <row r="1" spans="1:20" ht="18" customHeight="1" x14ac:dyDescent="0.25">
      <c r="B1" s="8" t="s">
        <v>9</v>
      </c>
      <c r="Q1" s="338" t="s">
        <v>296</v>
      </c>
      <c r="R1" s="338"/>
      <c r="S1" s="338"/>
    </row>
    <row r="2" spans="1:20" ht="18" customHeight="1" x14ac:dyDescent="0.25">
      <c r="B2" s="88" t="s">
        <v>148</v>
      </c>
      <c r="C2" s="182">
        <v>44742</v>
      </c>
      <c r="M2" s="71"/>
      <c r="N2" s="71"/>
      <c r="P2" s="29"/>
      <c r="Q2" s="337" t="s">
        <v>375</v>
      </c>
      <c r="R2" s="337"/>
      <c r="S2" s="337"/>
    </row>
    <row r="3" spans="1:20" ht="18" customHeight="1" thickBot="1" x14ac:dyDescent="0.3">
      <c r="A3" s="2" t="s">
        <v>16</v>
      </c>
      <c r="B3" s="44" t="s">
        <v>49</v>
      </c>
      <c r="C3" s="8"/>
      <c r="D3" s="8"/>
      <c r="E3" s="8"/>
      <c r="P3" s="29"/>
      <c r="Q3" s="45"/>
      <c r="R3" s="30"/>
    </row>
    <row r="4" spans="1:20" ht="18.75" customHeight="1" x14ac:dyDescent="0.25">
      <c r="B4" s="8" t="s">
        <v>174</v>
      </c>
      <c r="M4" s="85" t="s">
        <v>28</v>
      </c>
      <c r="N4" s="85" t="s">
        <v>28</v>
      </c>
      <c r="O4" s="85" t="s">
        <v>28</v>
      </c>
      <c r="P4" s="9"/>
      <c r="Q4" s="89" t="s">
        <v>29</v>
      </c>
      <c r="R4" s="89" t="s">
        <v>31</v>
      </c>
      <c r="S4" s="89" t="s">
        <v>23</v>
      </c>
      <c r="T4" s="7"/>
    </row>
    <row r="5" spans="1:20" ht="15.75" thickBot="1" x14ac:dyDescent="0.3">
      <c r="G5" s="183" t="s">
        <v>295</v>
      </c>
      <c r="H5" s="183" t="s">
        <v>295</v>
      </c>
      <c r="M5" s="86" t="s">
        <v>27</v>
      </c>
      <c r="N5" s="86" t="s">
        <v>26</v>
      </c>
      <c r="O5" s="86" t="s">
        <v>25</v>
      </c>
      <c r="P5" s="9"/>
      <c r="Q5" s="90" t="s">
        <v>30</v>
      </c>
      <c r="R5" s="90" t="s">
        <v>30</v>
      </c>
      <c r="S5" s="90" t="s">
        <v>30</v>
      </c>
      <c r="T5" s="7"/>
    </row>
    <row r="6" spans="1:20" ht="85.5" customHeight="1" thickBot="1" x14ac:dyDescent="0.3">
      <c r="B6" s="84" t="s">
        <v>1</v>
      </c>
      <c r="C6" s="84" t="s">
        <v>389</v>
      </c>
      <c r="D6" s="84" t="s">
        <v>107</v>
      </c>
      <c r="E6" s="84" t="s">
        <v>3</v>
      </c>
      <c r="F6" s="84" t="s">
        <v>4</v>
      </c>
      <c r="G6" s="107" t="s">
        <v>136</v>
      </c>
      <c r="H6" s="107" t="s">
        <v>137</v>
      </c>
      <c r="I6" s="107" t="s">
        <v>133</v>
      </c>
      <c r="J6" s="107" t="s">
        <v>134</v>
      </c>
      <c r="K6" s="107" t="s">
        <v>121</v>
      </c>
      <c r="L6" s="83" t="s">
        <v>5</v>
      </c>
      <c r="M6" s="87" t="s">
        <v>6</v>
      </c>
      <c r="N6" s="87" t="s">
        <v>6</v>
      </c>
      <c r="O6" s="87" t="s">
        <v>6</v>
      </c>
      <c r="P6" s="9"/>
      <c r="Q6" s="91"/>
      <c r="R6" s="97" t="s">
        <v>32</v>
      </c>
      <c r="S6" s="98" t="s">
        <v>33</v>
      </c>
    </row>
    <row r="7" spans="1:20" ht="27.75" customHeight="1" x14ac:dyDescent="0.25">
      <c r="A7" s="2">
        <v>4201</v>
      </c>
      <c r="B7" s="2" t="s">
        <v>8</v>
      </c>
      <c r="C7" s="92" t="s">
        <v>106</v>
      </c>
      <c r="D7" s="92" t="s">
        <v>306</v>
      </c>
      <c r="E7" s="2" t="s">
        <v>307</v>
      </c>
      <c r="F7" s="2" t="s">
        <v>7</v>
      </c>
      <c r="G7" s="186">
        <v>2.63E-2</v>
      </c>
      <c r="H7" s="186">
        <v>0.1845</v>
      </c>
      <c r="I7" s="187">
        <v>44742</v>
      </c>
      <c r="J7" s="187">
        <v>44743</v>
      </c>
      <c r="K7" s="187">
        <v>44378</v>
      </c>
      <c r="L7" s="188" t="s">
        <v>297</v>
      </c>
      <c r="M7" s="22">
        <v>10614.5</v>
      </c>
      <c r="N7" s="66"/>
      <c r="O7" s="66">
        <f>M7+N7</f>
        <v>10614.5</v>
      </c>
      <c r="P7" s="67"/>
      <c r="Q7" s="66">
        <v>10614.5</v>
      </c>
      <c r="R7" s="66"/>
      <c r="S7" s="23">
        <f>Q7+R7</f>
        <v>10614.5</v>
      </c>
    </row>
    <row r="8" spans="1:20" ht="29.25" customHeight="1" x14ac:dyDescent="0.25">
      <c r="B8" s="2" t="s">
        <v>128</v>
      </c>
      <c r="C8" s="225" t="s">
        <v>122</v>
      </c>
      <c r="D8" s="93" t="s">
        <v>310</v>
      </c>
      <c r="E8" s="2" t="s">
        <v>309</v>
      </c>
      <c r="F8" s="2" t="s">
        <v>7</v>
      </c>
      <c r="G8" s="186">
        <v>2.63E-2</v>
      </c>
      <c r="H8" s="186">
        <v>0.1845</v>
      </c>
      <c r="I8" s="187">
        <f>+I7</f>
        <v>44742</v>
      </c>
      <c r="J8" s="187">
        <f>+J7</f>
        <v>44743</v>
      </c>
      <c r="K8" s="187">
        <f>+K7</f>
        <v>44378</v>
      </c>
      <c r="L8" s="204" t="str">
        <f>+L7</f>
        <v>07/01/21 - 06/30/22</v>
      </c>
      <c r="M8" s="78">
        <v>97855.41</v>
      </c>
      <c r="N8" s="67"/>
      <c r="O8" s="66">
        <f>M8+N8</f>
        <v>97855.41</v>
      </c>
      <c r="P8" s="67"/>
      <c r="Q8" s="67">
        <v>97855.41</v>
      </c>
      <c r="R8" s="67"/>
      <c r="S8" s="68">
        <f>Q8+R8</f>
        <v>97855.41</v>
      </c>
    </row>
    <row r="9" spans="1:20" ht="29.25" customHeight="1" x14ac:dyDescent="0.25">
      <c r="B9" s="2" t="s">
        <v>223</v>
      </c>
      <c r="C9" s="236" t="s">
        <v>333</v>
      </c>
      <c r="D9" s="93" t="s">
        <v>224</v>
      </c>
      <c r="E9" s="2" t="s">
        <v>225</v>
      </c>
      <c r="F9" s="2" t="s">
        <v>7</v>
      </c>
      <c r="G9" s="186">
        <v>2.63E-2</v>
      </c>
      <c r="H9" s="186">
        <v>0.1845</v>
      </c>
      <c r="I9" s="187">
        <v>44834</v>
      </c>
      <c r="J9" s="187">
        <v>44849</v>
      </c>
      <c r="K9" s="187">
        <v>43614</v>
      </c>
      <c r="L9" s="188" t="s">
        <v>274</v>
      </c>
      <c r="M9" s="78">
        <v>23693.23</v>
      </c>
      <c r="N9" s="67"/>
      <c r="O9" s="66">
        <f>M9+N9</f>
        <v>23693.23</v>
      </c>
      <c r="P9" s="67"/>
      <c r="Q9" s="67">
        <v>0</v>
      </c>
      <c r="R9" s="67"/>
      <c r="S9" s="68">
        <f>Q9+R9</f>
        <v>0</v>
      </c>
    </row>
    <row r="10" spans="1:20" ht="29.25" customHeight="1" x14ac:dyDescent="0.25">
      <c r="B10" s="2" t="s">
        <v>241</v>
      </c>
      <c r="C10" s="236" t="s">
        <v>242</v>
      </c>
      <c r="D10" s="93" t="s">
        <v>164</v>
      </c>
      <c r="E10" s="2" t="s">
        <v>248</v>
      </c>
      <c r="F10" s="2" t="s">
        <v>7</v>
      </c>
      <c r="G10" s="186">
        <v>2.63E-2</v>
      </c>
      <c r="H10" s="186">
        <v>0.1845</v>
      </c>
      <c r="I10" s="187">
        <v>44393</v>
      </c>
      <c r="J10" s="187">
        <v>44408</v>
      </c>
      <c r="K10" s="187">
        <v>42644</v>
      </c>
      <c r="L10" s="188" t="s">
        <v>273</v>
      </c>
      <c r="M10" s="79">
        <v>58600</v>
      </c>
      <c r="N10" s="67"/>
      <c r="O10" s="67">
        <f>M10+N10</f>
        <v>58600</v>
      </c>
      <c r="P10" s="67"/>
      <c r="Q10" s="67">
        <v>0</v>
      </c>
      <c r="R10" s="67"/>
      <c r="S10" s="68">
        <f>Q10+R10</f>
        <v>0</v>
      </c>
    </row>
    <row r="11" spans="1:20" ht="29.25" customHeight="1" x14ac:dyDescent="0.25">
      <c r="B11" s="2" t="s">
        <v>279</v>
      </c>
      <c r="C11" s="236" t="s">
        <v>333</v>
      </c>
      <c r="D11" s="93" t="s">
        <v>224</v>
      </c>
      <c r="E11" s="2" t="s">
        <v>280</v>
      </c>
      <c r="F11" s="2" t="s">
        <v>7</v>
      </c>
      <c r="G11" s="186">
        <v>2.63E-2</v>
      </c>
      <c r="H11" s="186">
        <v>0.1845</v>
      </c>
      <c r="I11" s="187">
        <v>44592</v>
      </c>
      <c r="J11" s="187">
        <v>44592</v>
      </c>
      <c r="K11" s="187">
        <v>43980</v>
      </c>
      <c r="L11" s="188" t="s">
        <v>332</v>
      </c>
      <c r="M11" s="79">
        <v>3000</v>
      </c>
      <c r="N11" s="67"/>
      <c r="O11" s="67">
        <f t="shared" ref="O11:O18" si="0">M11+N11</f>
        <v>3000</v>
      </c>
      <c r="P11" s="66"/>
      <c r="Q11" s="67">
        <v>3000</v>
      </c>
      <c r="R11" s="67"/>
      <c r="S11" s="68">
        <f t="shared" ref="S11:S18" si="1">Q11+R11</f>
        <v>3000</v>
      </c>
    </row>
    <row r="12" spans="1:20" ht="29.25" customHeight="1" x14ac:dyDescent="0.25">
      <c r="B12" s="2" t="s">
        <v>281</v>
      </c>
      <c r="C12" s="236" t="s">
        <v>334</v>
      </c>
      <c r="D12" s="93" t="s">
        <v>231</v>
      </c>
      <c r="E12" s="2" t="s">
        <v>282</v>
      </c>
      <c r="F12" s="2" t="s">
        <v>7</v>
      </c>
      <c r="G12" s="186">
        <v>2.63E-2</v>
      </c>
      <c r="H12" s="186">
        <v>0.1845</v>
      </c>
      <c r="I12" s="187">
        <v>44742</v>
      </c>
      <c r="J12" s="187">
        <v>44757</v>
      </c>
      <c r="K12" s="187">
        <v>43979</v>
      </c>
      <c r="L12" s="188" t="s">
        <v>283</v>
      </c>
      <c r="M12" s="79">
        <v>1027</v>
      </c>
      <c r="N12" s="67"/>
      <c r="O12" s="67">
        <f t="shared" si="0"/>
        <v>1027</v>
      </c>
      <c r="P12" s="66"/>
      <c r="Q12" s="67"/>
      <c r="R12" s="67"/>
      <c r="S12" s="68">
        <f t="shared" si="1"/>
        <v>0</v>
      </c>
    </row>
    <row r="13" spans="1:20" ht="29.25" customHeight="1" x14ac:dyDescent="0.25">
      <c r="B13" s="2" t="s">
        <v>321</v>
      </c>
      <c r="C13" s="236" t="s">
        <v>333</v>
      </c>
      <c r="D13" s="93" t="s">
        <v>288</v>
      </c>
      <c r="E13" s="2" t="s">
        <v>322</v>
      </c>
      <c r="F13" s="2" t="s">
        <v>7</v>
      </c>
      <c r="G13" s="186">
        <f>G12:H12</f>
        <v>2.63E-2</v>
      </c>
      <c r="H13" s="186">
        <f>H12</f>
        <v>0.1845</v>
      </c>
      <c r="I13" s="187">
        <v>45199</v>
      </c>
      <c r="J13" s="187">
        <v>45214</v>
      </c>
      <c r="K13" s="187">
        <v>44201</v>
      </c>
      <c r="L13" s="188" t="s">
        <v>323</v>
      </c>
      <c r="M13" s="79">
        <v>20154.14</v>
      </c>
      <c r="N13" s="67"/>
      <c r="O13" s="67">
        <f t="shared" si="0"/>
        <v>20154.14</v>
      </c>
      <c r="P13" s="66"/>
      <c r="Q13" s="67"/>
      <c r="R13" s="67"/>
      <c r="S13" s="68">
        <f t="shared" si="1"/>
        <v>0</v>
      </c>
    </row>
    <row r="14" spans="1:20" ht="29.25" customHeight="1" x14ac:dyDescent="0.25">
      <c r="B14" s="2" t="s">
        <v>326</v>
      </c>
      <c r="C14" s="236" t="s">
        <v>333</v>
      </c>
      <c r="D14" s="93" t="s">
        <v>288</v>
      </c>
      <c r="E14" s="2" t="s">
        <v>330</v>
      </c>
      <c r="F14" s="2" t="s">
        <v>7</v>
      </c>
      <c r="G14" s="186">
        <f t="shared" ref="G14:G15" si="2">G13:H13</f>
        <v>2.63E-2</v>
      </c>
      <c r="H14" s="186">
        <f t="shared" ref="H14:H15" si="3">H13</f>
        <v>0.1845</v>
      </c>
      <c r="I14" s="187">
        <v>45199</v>
      </c>
      <c r="J14" s="187">
        <v>45214</v>
      </c>
      <c r="K14" s="187">
        <v>44201</v>
      </c>
      <c r="L14" s="188" t="s">
        <v>323</v>
      </c>
      <c r="M14" s="79">
        <v>5290.46</v>
      </c>
      <c r="N14" s="67"/>
      <c r="O14" s="67">
        <f t="shared" si="0"/>
        <v>5290.46</v>
      </c>
      <c r="P14" s="66"/>
      <c r="Q14" s="67"/>
      <c r="R14" s="67"/>
      <c r="S14" s="68">
        <f t="shared" si="1"/>
        <v>0</v>
      </c>
    </row>
    <row r="15" spans="1:20" ht="29.25" customHeight="1" x14ac:dyDescent="0.25">
      <c r="B15" s="2" t="s">
        <v>370</v>
      </c>
      <c r="C15" s="236" t="s">
        <v>333</v>
      </c>
      <c r="D15" s="93" t="s">
        <v>288</v>
      </c>
      <c r="E15" s="2" t="s">
        <v>331</v>
      </c>
      <c r="F15" s="2" t="s">
        <v>7</v>
      </c>
      <c r="G15" s="186">
        <f t="shared" si="2"/>
        <v>2.63E-2</v>
      </c>
      <c r="H15" s="186">
        <f t="shared" si="3"/>
        <v>0.1845</v>
      </c>
      <c r="I15" s="187">
        <v>45199</v>
      </c>
      <c r="J15" s="187">
        <v>45214</v>
      </c>
      <c r="K15" s="187">
        <v>44201</v>
      </c>
      <c r="L15" s="188" t="s">
        <v>325</v>
      </c>
      <c r="M15" s="79">
        <v>25041.52</v>
      </c>
      <c r="N15" s="67"/>
      <c r="O15" s="67">
        <f t="shared" si="0"/>
        <v>25041.52</v>
      </c>
      <c r="P15" s="66"/>
      <c r="Q15" s="67"/>
      <c r="R15" s="67"/>
      <c r="S15" s="68">
        <f t="shared" si="1"/>
        <v>0</v>
      </c>
    </row>
    <row r="16" spans="1:20" ht="29.25" customHeight="1" x14ac:dyDescent="0.25">
      <c r="B16" s="2" t="s">
        <v>287</v>
      </c>
      <c r="C16" s="236" t="s">
        <v>333</v>
      </c>
      <c r="D16" s="93" t="s">
        <v>288</v>
      </c>
      <c r="E16" s="2" t="s">
        <v>289</v>
      </c>
      <c r="F16" s="2" t="s">
        <v>7</v>
      </c>
      <c r="G16" s="186">
        <v>2.63E-2</v>
      </c>
      <c r="H16" s="186">
        <v>0.1845</v>
      </c>
      <c r="I16" s="187">
        <v>45199</v>
      </c>
      <c r="J16" s="187">
        <v>45199</v>
      </c>
      <c r="K16" s="187">
        <v>44201</v>
      </c>
      <c r="L16" s="188" t="s">
        <v>320</v>
      </c>
      <c r="M16" s="79">
        <v>46354.52</v>
      </c>
      <c r="N16" s="67"/>
      <c r="O16" s="67">
        <f t="shared" si="0"/>
        <v>46354.52</v>
      </c>
      <c r="P16" s="66"/>
      <c r="Q16" s="67"/>
      <c r="R16" s="67"/>
      <c r="S16" s="68">
        <f t="shared" si="1"/>
        <v>0</v>
      </c>
    </row>
    <row r="17" spans="2:19" ht="29.25" customHeight="1" x14ac:dyDescent="0.25">
      <c r="B17" s="2" t="s">
        <v>352</v>
      </c>
      <c r="C17" s="236" t="s">
        <v>353</v>
      </c>
      <c r="D17" s="93" t="s">
        <v>354</v>
      </c>
      <c r="E17" s="2" t="s">
        <v>355</v>
      </c>
      <c r="F17" s="2" t="s">
        <v>7</v>
      </c>
      <c r="G17" s="186">
        <v>2.63E-2</v>
      </c>
      <c r="H17" s="186">
        <v>0.1845</v>
      </c>
      <c r="I17" s="187">
        <v>45565</v>
      </c>
      <c r="J17" s="187">
        <v>45580</v>
      </c>
      <c r="K17" s="187">
        <v>44279</v>
      </c>
      <c r="L17" s="188" t="s">
        <v>356</v>
      </c>
      <c r="M17" s="79">
        <v>181239.91</v>
      </c>
      <c r="N17" s="67"/>
      <c r="O17" s="67">
        <f t="shared" si="0"/>
        <v>181239.91</v>
      </c>
      <c r="P17" s="66"/>
      <c r="Q17" s="67"/>
      <c r="R17" s="67"/>
      <c r="S17" s="68">
        <f t="shared" si="1"/>
        <v>0</v>
      </c>
    </row>
    <row r="18" spans="2:19" ht="29.25" customHeight="1" x14ac:dyDescent="0.25">
      <c r="B18" s="2" t="s">
        <v>357</v>
      </c>
      <c r="C18" s="236" t="s">
        <v>353</v>
      </c>
      <c r="D18" s="93" t="s">
        <v>354</v>
      </c>
      <c r="E18" s="2" t="s">
        <v>358</v>
      </c>
      <c r="F18" s="2" t="s">
        <v>7</v>
      </c>
      <c r="G18" s="186">
        <v>2.63E-2</v>
      </c>
      <c r="H18" s="186">
        <v>0.1845</v>
      </c>
      <c r="I18" s="187">
        <v>45565</v>
      </c>
      <c r="J18" s="187">
        <v>45580</v>
      </c>
      <c r="K18" s="187">
        <v>44279</v>
      </c>
      <c r="L18" s="188" t="s">
        <v>356</v>
      </c>
      <c r="M18" s="79">
        <v>45309.98</v>
      </c>
      <c r="N18" s="67"/>
      <c r="O18" s="67">
        <f t="shared" si="0"/>
        <v>45309.98</v>
      </c>
      <c r="P18" s="66"/>
      <c r="Q18" s="67"/>
      <c r="R18" s="67"/>
      <c r="S18" s="68">
        <f t="shared" si="1"/>
        <v>0</v>
      </c>
    </row>
    <row r="19" spans="2:19" ht="15" customHeight="1" x14ac:dyDescent="0.25">
      <c r="C19" s="93"/>
      <c r="D19" s="93"/>
      <c r="G19" s="202"/>
      <c r="H19" s="186"/>
      <c r="I19" s="187"/>
      <c r="J19" s="187"/>
      <c r="K19" s="187"/>
      <c r="L19" s="188"/>
      <c r="M19" s="24"/>
      <c r="N19" s="25"/>
      <c r="O19" s="25"/>
      <c r="P19" s="67"/>
      <c r="Q19" s="25"/>
      <c r="R19" s="25"/>
      <c r="S19" s="26"/>
    </row>
    <row r="20" spans="2:19" ht="21.75" customHeight="1" x14ac:dyDescent="0.25">
      <c r="B20" s="3"/>
      <c r="C20" s="93"/>
      <c r="D20" s="93"/>
      <c r="I20" s="116"/>
      <c r="J20" s="116"/>
      <c r="K20" s="116"/>
      <c r="L20" s="21" t="s">
        <v>38</v>
      </c>
      <c r="M20" s="66">
        <f>SUM(M7:M19)</f>
        <v>518180.67000000004</v>
      </c>
      <c r="N20" s="66">
        <f>SUM(N7:N19)</f>
        <v>0</v>
      </c>
      <c r="O20" s="66">
        <f>SUM(O7:O19)</f>
        <v>518180.67000000004</v>
      </c>
      <c r="P20" s="66"/>
      <c r="Q20" s="66">
        <f>SUM(Q7:Q19)</f>
        <v>111469.91</v>
      </c>
      <c r="R20" s="66">
        <f>SUM(R7:R19)</f>
        <v>0</v>
      </c>
      <c r="S20" s="68">
        <f>SUM(S7:S19)</f>
        <v>111469.91</v>
      </c>
    </row>
    <row r="21" spans="2:19" x14ac:dyDescent="0.25">
      <c r="B21" s="3"/>
      <c r="C21" s="93"/>
      <c r="D21" s="93"/>
      <c r="L21" s="21"/>
      <c r="M21" s="66"/>
      <c r="N21" s="66"/>
      <c r="O21" s="66"/>
      <c r="P21" s="66"/>
      <c r="Q21" s="66"/>
      <c r="R21" s="66"/>
      <c r="S21" s="68"/>
    </row>
    <row r="22" spans="2:19" x14ac:dyDescent="0.25">
      <c r="B22" s="3"/>
      <c r="C22" s="93"/>
      <c r="D22" s="93"/>
      <c r="L22" s="21"/>
      <c r="M22" s="66"/>
      <c r="N22" s="66"/>
      <c r="O22" s="66"/>
      <c r="P22" s="66"/>
      <c r="Q22" s="66"/>
      <c r="R22" s="66"/>
      <c r="S22" s="68"/>
    </row>
    <row r="23" spans="2:19" x14ac:dyDescent="0.25">
      <c r="B23" s="8" t="s">
        <v>125</v>
      </c>
      <c r="C23" s="92"/>
      <c r="D23" s="92"/>
      <c r="L23" s="21"/>
      <c r="M23" s="66"/>
      <c r="N23" s="66"/>
      <c r="O23" s="66"/>
      <c r="P23" s="66"/>
      <c r="Q23" s="66"/>
      <c r="R23" s="66"/>
      <c r="S23" s="68"/>
    </row>
    <row r="24" spans="2:19" ht="30.75" customHeight="1" x14ac:dyDescent="0.25">
      <c r="B24" s="341" t="s">
        <v>126</v>
      </c>
      <c r="C24" s="341"/>
      <c r="D24" s="341"/>
      <c r="E24" s="341"/>
      <c r="F24" s="341"/>
      <c r="G24" s="117"/>
      <c r="H24" s="117"/>
      <c r="I24" s="111"/>
      <c r="L24" s="21"/>
      <c r="M24" s="66"/>
      <c r="N24" s="66"/>
      <c r="O24" s="66"/>
      <c r="P24" s="66"/>
      <c r="Q24" s="66"/>
      <c r="R24" s="66"/>
      <c r="S24" s="68"/>
    </row>
    <row r="25" spans="2:19" x14ac:dyDescent="0.25">
      <c r="C25" s="92"/>
      <c r="D25" s="92"/>
      <c r="L25" s="21"/>
      <c r="M25" s="66"/>
      <c r="N25" s="66"/>
      <c r="O25" s="66"/>
      <c r="P25" s="66"/>
      <c r="Q25" s="66"/>
      <c r="R25" s="66"/>
      <c r="S25" s="68"/>
    </row>
    <row r="26" spans="2:19" ht="44.25" customHeight="1" x14ac:dyDescent="0.25">
      <c r="B26" s="341" t="s">
        <v>129</v>
      </c>
      <c r="C26" s="341"/>
      <c r="D26" s="341"/>
      <c r="E26" s="341"/>
      <c r="F26" s="341"/>
      <c r="G26" s="117"/>
      <c r="H26" s="117"/>
      <c r="I26" s="111"/>
      <c r="L26" s="21"/>
      <c r="M26" s="66"/>
      <c r="N26" s="66"/>
      <c r="O26" s="66"/>
      <c r="P26" s="66"/>
      <c r="Q26" s="66"/>
      <c r="R26" s="66"/>
      <c r="S26" s="68"/>
    </row>
    <row r="27" spans="2:19" x14ac:dyDescent="0.25">
      <c r="B27" s="108"/>
      <c r="C27" s="108"/>
      <c r="D27" s="108"/>
      <c r="E27" s="108"/>
      <c r="F27" s="108"/>
      <c r="G27" s="117"/>
      <c r="H27" s="117"/>
      <c r="I27" s="111"/>
      <c r="L27" s="21"/>
      <c r="M27" s="66"/>
      <c r="N27" s="66"/>
      <c r="O27" s="66"/>
      <c r="P27" s="66"/>
      <c r="Q27" s="66"/>
      <c r="R27" s="66"/>
      <c r="S27" s="68"/>
    </row>
    <row r="28" spans="2:19" ht="32.25" customHeight="1" x14ac:dyDescent="0.25">
      <c r="B28" s="341" t="s">
        <v>160</v>
      </c>
      <c r="C28" s="341"/>
      <c r="D28" s="341"/>
      <c r="E28" s="341"/>
      <c r="F28" s="341"/>
      <c r="G28" s="193"/>
      <c r="H28" s="193"/>
      <c r="I28" s="193"/>
      <c r="L28" s="21"/>
      <c r="M28" s="66"/>
      <c r="N28" s="66"/>
      <c r="O28" s="66"/>
      <c r="P28" s="66"/>
      <c r="Q28" s="66"/>
      <c r="R28" s="66"/>
      <c r="S28" s="68"/>
    </row>
    <row r="29" spans="2:19" ht="15" customHeight="1" x14ac:dyDescent="0.25">
      <c r="B29" s="347" t="s">
        <v>159</v>
      </c>
      <c r="C29" s="341"/>
      <c r="D29" s="341"/>
      <c r="E29" s="341"/>
      <c r="F29" s="341"/>
      <c r="G29" s="193"/>
      <c r="H29" s="193"/>
      <c r="I29" s="193"/>
      <c r="L29" s="21"/>
      <c r="M29" s="66"/>
      <c r="N29" s="66"/>
      <c r="O29" s="66"/>
      <c r="P29" s="66"/>
      <c r="Q29" s="66"/>
      <c r="R29" s="66"/>
      <c r="S29" s="68"/>
    </row>
    <row r="30" spans="2:19" ht="15" customHeight="1" x14ac:dyDescent="0.25">
      <c r="B30" s="195"/>
      <c r="C30" s="195"/>
      <c r="D30" s="195"/>
      <c r="E30" s="195"/>
      <c r="F30" s="195"/>
      <c r="G30" s="195"/>
      <c r="H30" s="195"/>
      <c r="I30" s="195"/>
      <c r="L30" s="21"/>
      <c r="M30" s="66"/>
      <c r="N30" s="66"/>
      <c r="O30" s="66"/>
      <c r="P30" s="66"/>
      <c r="Q30" s="66"/>
      <c r="R30" s="66"/>
      <c r="S30" s="68"/>
    </row>
    <row r="31" spans="2:19" x14ac:dyDescent="0.25">
      <c r="B31" s="7" t="s">
        <v>109</v>
      </c>
      <c r="C31" s="101" t="s">
        <v>112</v>
      </c>
      <c r="D31" s="101" t="s">
        <v>113</v>
      </c>
      <c r="E31" s="108"/>
      <c r="F31" s="108"/>
      <c r="G31" s="117"/>
      <c r="H31" s="117"/>
      <c r="I31" s="111"/>
      <c r="L31" s="21"/>
      <c r="M31" s="66"/>
      <c r="N31" s="66"/>
      <c r="O31" s="66"/>
      <c r="P31" s="66"/>
      <c r="Q31" s="66"/>
      <c r="R31" s="66"/>
      <c r="S31" s="68"/>
    </row>
    <row r="32" spans="2:19" x14ac:dyDescent="0.25">
      <c r="B32" s="2" t="s">
        <v>110</v>
      </c>
      <c r="C32" s="92" t="s">
        <v>327</v>
      </c>
      <c r="D32" s="92" t="s">
        <v>118</v>
      </c>
      <c r="L32" s="21"/>
      <c r="M32" s="66"/>
      <c r="N32" s="66"/>
      <c r="O32" s="66"/>
      <c r="P32" s="66"/>
      <c r="Q32" s="66"/>
      <c r="R32" s="66"/>
      <c r="S32" s="68"/>
    </row>
    <row r="33" spans="2:20" x14ac:dyDescent="0.25">
      <c r="B33" s="19" t="s">
        <v>111</v>
      </c>
      <c r="C33" s="92" t="s">
        <v>300</v>
      </c>
      <c r="D33" s="92" t="s">
        <v>303</v>
      </c>
      <c r="L33" s="21"/>
      <c r="M33" s="66"/>
      <c r="N33" s="66"/>
      <c r="O33" s="66"/>
      <c r="P33" s="66"/>
      <c r="Q33" s="66"/>
      <c r="R33" s="66"/>
      <c r="S33" s="68"/>
    </row>
    <row r="34" spans="2:20" x14ac:dyDescent="0.25">
      <c r="B34" s="2" t="s">
        <v>230</v>
      </c>
      <c r="C34" s="92" t="s">
        <v>135</v>
      </c>
      <c r="D34" s="92" t="s">
        <v>147</v>
      </c>
      <c r="S34" s="27"/>
    </row>
    <row r="35" spans="2:20" x14ac:dyDescent="0.25">
      <c r="B35" s="2" t="s">
        <v>240</v>
      </c>
      <c r="C35" s="92" t="s">
        <v>135</v>
      </c>
      <c r="D35" s="92" t="s">
        <v>147</v>
      </c>
      <c r="S35" s="27"/>
    </row>
    <row r="36" spans="2:20" x14ac:dyDescent="0.25">
      <c r="B36" s="2" t="s">
        <v>279</v>
      </c>
      <c r="C36" s="92" t="s">
        <v>135</v>
      </c>
      <c r="D36" s="92" t="s">
        <v>147</v>
      </c>
      <c r="S36" s="27"/>
    </row>
    <row r="37" spans="2:20" x14ac:dyDescent="0.25">
      <c r="B37" s="2" t="s">
        <v>281</v>
      </c>
      <c r="C37" s="92" t="s">
        <v>135</v>
      </c>
      <c r="D37" s="92" t="s">
        <v>147</v>
      </c>
      <c r="S37" s="27"/>
    </row>
    <row r="38" spans="2:20" x14ac:dyDescent="0.25">
      <c r="B38" s="2" t="s">
        <v>286</v>
      </c>
      <c r="C38" s="92" t="s">
        <v>135</v>
      </c>
      <c r="D38" s="92" t="s">
        <v>147</v>
      </c>
      <c r="S38" s="27"/>
    </row>
    <row r="39" spans="2:20" x14ac:dyDescent="0.25">
      <c r="C39" s="92"/>
      <c r="D39" s="92"/>
      <c r="S39" s="27"/>
    </row>
    <row r="40" spans="2:20" x14ac:dyDescent="0.25">
      <c r="B40" s="348" t="s">
        <v>298</v>
      </c>
      <c r="C40" s="336"/>
      <c r="D40" s="336"/>
      <c r="E40" s="336"/>
      <c r="F40" s="336"/>
      <c r="G40" s="336"/>
      <c r="H40" s="336"/>
      <c r="S40" s="27"/>
    </row>
    <row r="41" spans="2:20" x14ac:dyDescent="0.25">
      <c r="B41" s="242" t="s">
        <v>299</v>
      </c>
      <c r="C41" s="92"/>
      <c r="D41" s="92"/>
      <c r="S41" s="27"/>
    </row>
    <row r="42" spans="2:20" x14ac:dyDescent="0.25">
      <c r="B42" s="10"/>
      <c r="C42" s="94"/>
      <c r="D42" s="94"/>
      <c r="E42" s="10"/>
      <c r="F42" s="10"/>
      <c r="G42" s="10"/>
      <c r="H42" s="10"/>
      <c r="I42" s="10"/>
      <c r="J42" s="10"/>
      <c r="K42" s="10"/>
      <c r="L42" s="10"/>
      <c r="M42" s="10"/>
      <c r="N42" s="29"/>
      <c r="O42" s="29"/>
      <c r="P42" s="29"/>
      <c r="Q42" s="29"/>
      <c r="R42" s="29"/>
      <c r="S42" s="27"/>
    </row>
    <row r="43" spans="2:20" ht="15" customHeight="1" x14ac:dyDescent="0.25">
      <c r="N43" s="109"/>
      <c r="O43" s="109"/>
      <c r="P43" s="109"/>
      <c r="Q43" s="166" t="s">
        <v>90</v>
      </c>
      <c r="R43" s="163"/>
      <c r="S43" s="164"/>
    </row>
    <row r="44" spans="2:20" ht="15" customHeight="1" x14ac:dyDescent="0.25">
      <c r="B44" s="17" t="s">
        <v>39</v>
      </c>
      <c r="C44" s="96" t="s">
        <v>2</v>
      </c>
      <c r="D44" s="96"/>
      <c r="E44" s="96" t="s">
        <v>34</v>
      </c>
      <c r="F44" s="96" t="s">
        <v>35</v>
      </c>
      <c r="G44" s="120"/>
      <c r="H44" s="120"/>
      <c r="I44" s="114"/>
      <c r="J44" s="96"/>
      <c r="K44" s="96"/>
      <c r="L44" s="96" t="s">
        <v>36</v>
      </c>
      <c r="M44" s="96" t="s">
        <v>37</v>
      </c>
      <c r="N44" s="47"/>
      <c r="O44" s="47"/>
      <c r="P44" s="47"/>
      <c r="Q44" s="54" t="s">
        <v>88</v>
      </c>
      <c r="R44" s="52"/>
      <c r="S44" s="53"/>
      <c r="T44" s="51"/>
    </row>
    <row r="45" spans="2:20" ht="15" customHeight="1" x14ac:dyDescent="0.25">
      <c r="B45" s="63"/>
      <c r="C45" s="9"/>
      <c r="D45" s="9"/>
      <c r="E45" s="9"/>
      <c r="F45" s="9"/>
      <c r="G45" s="9"/>
      <c r="H45" s="9"/>
      <c r="I45" s="9"/>
      <c r="J45" s="9"/>
      <c r="K45" s="9"/>
      <c r="L45" s="9"/>
      <c r="M45" s="9"/>
      <c r="N45" s="45"/>
      <c r="O45" s="45"/>
      <c r="P45" s="45"/>
      <c r="Q45" s="59"/>
      <c r="R45" s="50"/>
      <c r="S45" s="50"/>
      <c r="T45" s="51"/>
    </row>
    <row r="46" spans="2:20" x14ac:dyDescent="0.25">
      <c r="B46" s="63"/>
      <c r="C46" s="9"/>
      <c r="D46" s="9"/>
      <c r="E46" s="9"/>
      <c r="F46" s="9"/>
      <c r="G46" s="9"/>
      <c r="H46" s="9"/>
      <c r="I46" s="9"/>
      <c r="J46" s="9"/>
      <c r="K46" s="9"/>
      <c r="L46" s="9"/>
      <c r="M46" s="9"/>
      <c r="N46" s="45"/>
      <c r="O46" s="45"/>
      <c r="P46" s="45"/>
      <c r="R46" s="51"/>
      <c r="S46" s="51"/>
      <c r="T46" s="51"/>
    </row>
    <row r="47" spans="2:20" x14ac:dyDescent="0.25">
      <c r="B47" s="63"/>
      <c r="C47" s="148"/>
      <c r="D47" s="148"/>
      <c r="E47" s="148"/>
      <c r="F47" s="148"/>
      <c r="G47" s="148"/>
      <c r="H47" s="148"/>
      <c r="I47" s="148"/>
      <c r="J47" s="148"/>
      <c r="K47" s="148"/>
      <c r="L47" s="148"/>
      <c r="M47" s="148"/>
      <c r="N47" s="45"/>
      <c r="O47" s="45"/>
      <c r="P47" s="45"/>
      <c r="R47" s="51"/>
      <c r="S47" s="51"/>
      <c r="T47" s="51"/>
    </row>
    <row r="48" spans="2:20" x14ac:dyDescent="0.25">
      <c r="B48" s="63"/>
      <c r="C48" s="148"/>
      <c r="D48" s="148"/>
      <c r="E48" s="148"/>
      <c r="F48" s="148"/>
      <c r="G48" s="148"/>
      <c r="H48" s="148"/>
      <c r="I48" s="148"/>
      <c r="J48" s="148"/>
      <c r="K48" s="148"/>
      <c r="L48" s="148"/>
      <c r="M48" s="148"/>
      <c r="N48" s="45"/>
      <c r="O48" s="45"/>
      <c r="P48" s="45"/>
      <c r="R48" s="51"/>
      <c r="S48" s="51"/>
      <c r="T48" s="51"/>
    </row>
    <row r="49" spans="2:20" x14ac:dyDescent="0.25">
      <c r="B49" s="63"/>
      <c r="C49" s="148"/>
      <c r="D49" s="148"/>
      <c r="E49" s="148"/>
      <c r="F49" s="148"/>
      <c r="G49" s="148"/>
      <c r="H49" s="148"/>
      <c r="I49" s="148"/>
      <c r="J49" s="148"/>
      <c r="K49" s="148"/>
      <c r="L49" s="148"/>
      <c r="M49" s="148"/>
      <c r="N49" s="45"/>
      <c r="O49" s="45"/>
      <c r="P49" s="45"/>
      <c r="R49" s="51"/>
      <c r="S49" s="51"/>
      <c r="T49" s="51"/>
    </row>
    <row r="50" spans="2:20" x14ac:dyDescent="0.25">
      <c r="B50" s="11"/>
      <c r="C50" s="9"/>
      <c r="D50" s="9"/>
      <c r="E50" s="9"/>
      <c r="Q50" s="51"/>
      <c r="R50" s="51"/>
      <c r="S50" s="51"/>
      <c r="T50" s="51"/>
    </row>
    <row r="51" spans="2:20" x14ac:dyDescent="0.25">
      <c r="B51" s="11"/>
      <c r="C51" s="9"/>
      <c r="D51" s="9"/>
      <c r="E51" s="9"/>
      <c r="Q51" s="51"/>
      <c r="R51" s="51"/>
      <c r="S51" s="51"/>
      <c r="T51" s="51"/>
    </row>
    <row r="52" spans="2:20" x14ac:dyDescent="0.25">
      <c r="B52" s="11"/>
      <c r="C52" s="9"/>
      <c r="D52" s="9"/>
      <c r="E52" s="9"/>
      <c r="Q52" s="51"/>
      <c r="R52" s="51"/>
      <c r="S52" s="51"/>
      <c r="T52" s="51"/>
    </row>
    <row r="53" spans="2:20" x14ac:dyDescent="0.25">
      <c r="B53" s="11"/>
      <c r="C53" s="9"/>
      <c r="D53" s="9"/>
      <c r="E53" s="9"/>
      <c r="T53" s="51"/>
    </row>
    <row r="55" spans="2:20" x14ac:dyDescent="0.25">
      <c r="Q55" s="309" t="s">
        <v>316</v>
      </c>
      <c r="R55" s="309"/>
      <c r="S55" s="310">
        <f>S20</f>
        <v>111469.91</v>
      </c>
    </row>
  </sheetData>
  <mergeCells count="7">
    <mergeCell ref="B40:H40"/>
    <mergeCell ref="B29:F29"/>
    <mergeCell ref="Q2:S2"/>
    <mergeCell ref="Q1:S1"/>
    <mergeCell ref="B24:F24"/>
    <mergeCell ref="B26:F26"/>
    <mergeCell ref="B28:F28"/>
  </mergeCells>
  <hyperlinks>
    <hyperlink ref="B29" r:id="rId1"/>
  </hyperlinks>
  <printOptions horizontalCentered="1" gridLines="1"/>
  <pageMargins left="0" right="0" top="0.75" bottom="0.75" header="0.3" footer="0.3"/>
  <pageSetup scale="51" orientation="landscape" horizontalDpi="1200" verticalDpi="1200"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3"/>
  <sheetViews>
    <sheetView topLeftCell="C1" zoomScale="90" zoomScaleNormal="90" workbookViewId="0">
      <selection activeCell="Q9" sqref="Q9"/>
    </sheetView>
  </sheetViews>
  <sheetFormatPr defaultColWidth="9.140625" defaultRowHeight="15" x14ac:dyDescent="0.25"/>
  <cols>
    <col min="1" max="1" width="9.140625" style="2" hidden="1" customWidth="1"/>
    <col min="2" max="2" width="58.42578125" style="2" customWidth="1"/>
    <col min="3" max="3" width="26.28515625" style="2" customWidth="1"/>
    <col min="4" max="4" width="13.7109375" style="2" customWidth="1"/>
    <col min="5" max="5" width="17.28515625" style="2" customWidth="1"/>
    <col min="6" max="6" width="21.85546875" style="2" customWidth="1"/>
    <col min="7" max="7" width="10.28515625" style="2" customWidth="1"/>
    <col min="8" max="8" width="12.85546875" style="2" customWidth="1"/>
    <col min="9" max="9" width="13.42578125" style="2" customWidth="1"/>
    <col min="10" max="10" width="15.7109375" style="2" customWidth="1"/>
    <col min="11" max="11" width="8.85546875" style="2" customWidth="1"/>
    <col min="12" max="12" width="18.425781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6.7109375" style="2" customWidth="1"/>
    <col min="20" max="16384" width="9.140625" style="2"/>
  </cols>
  <sheetData>
    <row r="1" spans="1:20" ht="18" customHeight="1" x14ac:dyDescent="0.25">
      <c r="B1" s="1" t="s">
        <v>19</v>
      </c>
      <c r="Q1" s="338" t="s">
        <v>296</v>
      </c>
      <c r="R1" s="338"/>
      <c r="S1" s="338"/>
    </row>
    <row r="2" spans="1:20" ht="18" customHeight="1" x14ac:dyDescent="0.25">
      <c r="B2" s="88" t="s">
        <v>148</v>
      </c>
      <c r="C2" s="182">
        <v>44742</v>
      </c>
      <c r="M2" s="71"/>
      <c r="N2" s="71"/>
      <c r="P2" s="29"/>
      <c r="Q2" s="337" t="s">
        <v>375</v>
      </c>
      <c r="R2" s="337"/>
      <c r="S2" s="337"/>
    </row>
    <row r="3" spans="1:20" ht="18" customHeight="1" thickBot="1" x14ac:dyDescent="0.3">
      <c r="A3" s="2" t="s">
        <v>16</v>
      </c>
      <c r="B3" s="44" t="s">
        <v>67</v>
      </c>
      <c r="C3" s="8"/>
      <c r="D3" s="8"/>
      <c r="E3" s="8"/>
      <c r="P3" s="29"/>
      <c r="Q3" s="45"/>
      <c r="R3" s="30"/>
    </row>
    <row r="4" spans="1:20" ht="18.75" customHeight="1" x14ac:dyDescent="0.25">
      <c r="B4" s="8" t="s">
        <v>174</v>
      </c>
      <c r="M4" s="85" t="s">
        <v>28</v>
      </c>
      <c r="N4" s="85" t="s">
        <v>28</v>
      </c>
      <c r="O4" s="85" t="s">
        <v>28</v>
      </c>
      <c r="P4" s="9"/>
      <c r="Q4" s="89" t="s">
        <v>29</v>
      </c>
      <c r="R4" s="89" t="s">
        <v>31</v>
      </c>
      <c r="S4" s="89" t="s">
        <v>23</v>
      </c>
      <c r="T4" s="7"/>
    </row>
    <row r="5" spans="1:20" ht="15.75" thickBot="1" x14ac:dyDescent="0.3">
      <c r="G5" s="183" t="s">
        <v>295</v>
      </c>
      <c r="H5" s="183" t="s">
        <v>295</v>
      </c>
      <c r="M5" s="86" t="s">
        <v>27</v>
      </c>
      <c r="N5" s="86" t="s">
        <v>26</v>
      </c>
      <c r="O5" s="86" t="s">
        <v>25</v>
      </c>
      <c r="P5" s="9"/>
      <c r="Q5" s="90" t="s">
        <v>30</v>
      </c>
      <c r="R5" s="90" t="s">
        <v>30</v>
      </c>
      <c r="S5" s="90" t="s">
        <v>30</v>
      </c>
      <c r="T5" s="7"/>
    </row>
    <row r="6" spans="1:20" ht="85.5" customHeight="1" thickBot="1" x14ac:dyDescent="0.3">
      <c r="B6" s="84" t="s">
        <v>1</v>
      </c>
      <c r="C6" s="84" t="s">
        <v>389</v>
      </c>
      <c r="D6" s="84" t="s">
        <v>107</v>
      </c>
      <c r="E6" s="84" t="s">
        <v>3</v>
      </c>
      <c r="F6" s="84" t="s">
        <v>4</v>
      </c>
      <c r="G6" s="107" t="s">
        <v>136</v>
      </c>
      <c r="H6" s="107" t="s">
        <v>137</v>
      </c>
      <c r="I6" s="107" t="s">
        <v>133</v>
      </c>
      <c r="J6" s="107" t="s">
        <v>134</v>
      </c>
      <c r="K6" s="107" t="s">
        <v>121</v>
      </c>
      <c r="L6" s="83" t="s">
        <v>5</v>
      </c>
      <c r="M6" s="87" t="s">
        <v>6</v>
      </c>
      <c r="N6" s="87" t="s">
        <v>6</v>
      </c>
      <c r="O6" s="87" t="s">
        <v>6</v>
      </c>
      <c r="P6" s="9"/>
      <c r="Q6" s="91"/>
      <c r="R6" s="97" t="s">
        <v>32</v>
      </c>
      <c r="S6" s="98" t="s">
        <v>33</v>
      </c>
    </row>
    <row r="7" spans="1:20" ht="23.25" hidden="1" customHeight="1" x14ac:dyDescent="0.25">
      <c r="B7" s="2" t="s">
        <v>8</v>
      </c>
      <c r="C7" s="92" t="s">
        <v>106</v>
      </c>
      <c r="D7" s="92" t="s">
        <v>227</v>
      </c>
      <c r="E7" s="2" t="s">
        <v>217</v>
      </c>
      <c r="F7" s="2" t="s">
        <v>7</v>
      </c>
      <c r="G7" s="186">
        <v>2.9600000000000001E-2</v>
      </c>
      <c r="H7" s="186">
        <v>0.1744</v>
      </c>
      <c r="I7" s="187">
        <v>44377</v>
      </c>
      <c r="J7" s="187">
        <v>44378</v>
      </c>
      <c r="K7" s="187">
        <v>44013</v>
      </c>
      <c r="L7" s="188" t="s">
        <v>219</v>
      </c>
      <c r="M7" s="65"/>
      <c r="N7" s="67"/>
      <c r="O7" s="67">
        <f>M7+N7</f>
        <v>0</v>
      </c>
      <c r="P7" s="67"/>
      <c r="Q7" s="67"/>
      <c r="R7" s="67"/>
      <c r="S7" s="68">
        <f>SUM(Q7:R7)</f>
        <v>0</v>
      </c>
    </row>
    <row r="8" spans="1:20" ht="36" customHeight="1" x14ac:dyDescent="0.25">
      <c r="B8" s="2" t="s">
        <v>128</v>
      </c>
      <c r="C8" s="236" t="s">
        <v>122</v>
      </c>
      <c r="D8" s="93" t="s">
        <v>310</v>
      </c>
      <c r="E8" s="2" t="s">
        <v>309</v>
      </c>
      <c r="F8" s="2" t="s">
        <v>7</v>
      </c>
      <c r="G8" s="186">
        <v>2.63E-2</v>
      </c>
      <c r="H8" s="186">
        <v>0.1845</v>
      </c>
      <c r="I8" s="187">
        <v>44742</v>
      </c>
      <c r="J8" s="187">
        <v>44743</v>
      </c>
      <c r="K8" s="187">
        <v>44378</v>
      </c>
      <c r="L8" s="204" t="s">
        <v>297</v>
      </c>
      <c r="M8" s="65">
        <v>14111.54</v>
      </c>
      <c r="N8" s="67"/>
      <c r="O8" s="67">
        <f>M8+N8</f>
        <v>14111.54</v>
      </c>
      <c r="P8" s="67"/>
      <c r="Q8" s="67">
        <v>14111.54</v>
      </c>
      <c r="R8" s="67"/>
      <c r="S8" s="68">
        <f>SUM(Q8:R8)</f>
        <v>14111.54</v>
      </c>
    </row>
    <row r="9" spans="1:20" ht="28.5" customHeight="1" x14ac:dyDescent="0.25">
      <c r="B9" s="2" t="s">
        <v>223</v>
      </c>
      <c r="C9" s="236" t="s">
        <v>333</v>
      </c>
      <c r="D9" s="93" t="s">
        <v>224</v>
      </c>
      <c r="E9" s="2" t="s">
        <v>225</v>
      </c>
      <c r="F9" s="2" t="s">
        <v>7</v>
      </c>
      <c r="G9" s="186">
        <v>2.63E-2</v>
      </c>
      <c r="H9" s="186">
        <v>0.1845</v>
      </c>
      <c r="I9" s="187">
        <v>44834</v>
      </c>
      <c r="J9" s="275" t="s">
        <v>315</v>
      </c>
      <c r="K9" s="187">
        <v>43614</v>
      </c>
      <c r="L9" s="188" t="s">
        <v>274</v>
      </c>
      <c r="M9" s="65">
        <v>62527.49</v>
      </c>
      <c r="N9" s="67"/>
      <c r="O9" s="67">
        <f>M9+N9</f>
        <v>62527.49</v>
      </c>
      <c r="P9" s="67"/>
      <c r="Q9" s="67">
        <f>41418.03+11650.69</f>
        <v>53068.72</v>
      </c>
      <c r="R9" s="67"/>
      <c r="S9" s="68">
        <f>SUM(Q9:R9)</f>
        <v>53068.72</v>
      </c>
    </row>
    <row r="10" spans="1:20" ht="28.5" customHeight="1" x14ac:dyDescent="0.25">
      <c r="B10" s="2" t="s">
        <v>279</v>
      </c>
      <c r="C10" s="236" t="s">
        <v>333</v>
      </c>
      <c r="D10" s="93" t="s">
        <v>224</v>
      </c>
      <c r="E10" s="2" t="s">
        <v>280</v>
      </c>
      <c r="F10" s="2" t="s">
        <v>7</v>
      </c>
      <c r="G10" s="186">
        <v>2.63E-2</v>
      </c>
      <c r="H10" s="186">
        <v>0.1845</v>
      </c>
      <c r="I10" s="187">
        <v>44592</v>
      </c>
      <c r="J10" s="187">
        <v>44592</v>
      </c>
      <c r="K10" s="187">
        <v>43980</v>
      </c>
      <c r="L10" s="188" t="s">
        <v>332</v>
      </c>
      <c r="M10" s="79">
        <v>3000</v>
      </c>
      <c r="N10" s="67"/>
      <c r="O10" s="67">
        <f t="shared" ref="O10:O18" si="0">M10+N10</f>
        <v>3000</v>
      </c>
      <c r="P10" s="66"/>
      <c r="Q10" s="67"/>
      <c r="R10" s="67"/>
      <c r="S10" s="68">
        <f t="shared" ref="S10:S18" si="1">Q10+R10</f>
        <v>0</v>
      </c>
    </row>
    <row r="11" spans="1:20" ht="28.5" customHeight="1" x14ac:dyDescent="0.25">
      <c r="B11" s="2" t="s">
        <v>281</v>
      </c>
      <c r="C11" s="236" t="s">
        <v>334</v>
      </c>
      <c r="D11" s="93" t="s">
        <v>231</v>
      </c>
      <c r="E11" s="2" t="s">
        <v>282</v>
      </c>
      <c r="F11" s="2" t="s">
        <v>7</v>
      </c>
      <c r="G11" s="186">
        <v>2.63E-2</v>
      </c>
      <c r="H11" s="186">
        <v>0.1845</v>
      </c>
      <c r="I11" s="187">
        <v>44742</v>
      </c>
      <c r="J11" s="187">
        <v>44757</v>
      </c>
      <c r="K11" s="187">
        <v>43979</v>
      </c>
      <c r="L11" s="188" t="s">
        <v>283</v>
      </c>
      <c r="M11" s="79">
        <v>1027</v>
      </c>
      <c r="N11" s="67"/>
      <c r="O11" s="67">
        <f t="shared" si="0"/>
        <v>1027</v>
      </c>
      <c r="P11" s="66"/>
      <c r="Q11" s="67"/>
      <c r="R11" s="67"/>
      <c r="S11" s="68">
        <f t="shared" si="1"/>
        <v>0</v>
      </c>
    </row>
    <row r="12" spans="1:20" ht="28.5" customHeight="1" x14ac:dyDescent="0.25">
      <c r="B12" s="2" t="s">
        <v>321</v>
      </c>
      <c r="C12" s="236" t="s">
        <v>333</v>
      </c>
      <c r="D12" s="93" t="s">
        <v>288</v>
      </c>
      <c r="E12" s="2" t="s">
        <v>322</v>
      </c>
      <c r="F12" s="2" t="s">
        <v>7</v>
      </c>
      <c r="G12" s="186">
        <f>G11:H11</f>
        <v>2.63E-2</v>
      </c>
      <c r="H12" s="186">
        <f>H11</f>
        <v>0.1845</v>
      </c>
      <c r="I12" s="187">
        <v>45199</v>
      </c>
      <c r="J12" s="187">
        <v>45214</v>
      </c>
      <c r="K12" s="187">
        <v>44201</v>
      </c>
      <c r="L12" s="188" t="s">
        <v>323</v>
      </c>
      <c r="M12" s="79">
        <v>61073.26</v>
      </c>
      <c r="N12" s="67"/>
      <c r="O12" s="67">
        <f t="shared" si="0"/>
        <v>61073.26</v>
      </c>
      <c r="P12" s="66"/>
      <c r="Q12" s="67"/>
      <c r="R12" s="67"/>
      <c r="S12" s="68">
        <f t="shared" si="1"/>
        <v>0</v>
      </c>
    </row>
    <row r="13" spans="1:20" ht="28.5" customHeight="1" x14ac:dyDescent="0.25">
      <c r="B13" s="2" t="s">
        <v>324</v>
      </c>
      <c r="C13" s="236" t="s">
        <v>333</v>
      </c>
      <c r="D13" s="93" t="s">
        <v>288</v>
      </c>
      <c r="E13" s="2" t="s">
        <v>329</v>
      </c>
      <c r="F13" s="2" t="s">
        <v>7</v>
      </c>
      <c r="G13" s="186">
        <f>G12:H12</f>
        <v>2.63E-2</v>
      </c>
      <c r="H13" s="186">
        <f>H12</f>
        <v>0.1845</v>
      </c>
      <c r="I13" s="187">
        <v>45199</v>
      </c>
      <c r="J13" s="187">
        <v>45214</v>
      </c>
      <c r="K13" s="187">
        <v>44201</v>
      </c>
      <c r="L13" s="188" t="s">
        <v>325</v>
      </c>
      <c r="M13" s="79">
        <v>186304</v>
      </c>
      <c r="N13" s="67"/>
      <c r="O13" s="67">
        <f t="shared" si="0"/>
        <v>186304</v>
      </c>
      <c r="P13" s="66"/>
      <c r="Q13" s="67"/>
      <c r="R13" s="67"/>
      <c r="S13" s="68">
        <f t="shared" si="1"/>
        <v>0</v>
      </c>
    </row>
    <row r="14" spans="1:20" ht="28.5" customHeight="1" x14ac:dyDescent="0.25">
      <c r="B14" s="2" t="s">
        <v>326</v>
      </c>
      <c r="C14" s="236" t="s">
        <v>333</v>
      </c>
      <c r="D14" s="93" t="s">
        <v>288</v>
      </c>
      <c r="E14" s="2" t="s">
        <v>330</v>
      </c>
      <c r="F14" s="2" t="s">
        <v>7</v>
      </c>
      <c r="G14" s="186">
        <f>G13:H13</f>
        <v>2.63E-2</v>
      </c>
      <c r="H14" s="186">
        <f>H13</f>
        <v>0.1845</v>
      </c>
      <c r="I14" s="187">
        <v>45199</v>
      </c>
      <c r="J14" s="187">
        <v>45214</v>
      </c>
      <c r="K14" s="187">
        <v>44201</v>
      </c>
      <c r="L14" s="188" t="s">
        <v>323</v>
      </c>
      <c r="M14" s="79">
        <v>16031.73</v>
      </c>
      <c r="N14" s="67"/>
      <c r="O14" s="67">
        <f t="shared" si="0"/>
        <v>16031.73</v>
      </c>
      <c r="P14" s="66"/>
      <c r="Q14" s="67"/>
      <c r="R14" s="67"/>
      <c r="S14" s="68">
        <f t="shared" si="1"/>
        <v>0</v>
      </c>
    </row>
    <row r="15" spans="1:20" ht="28.5" customHeight="1" x14ac:dyDescent="0.25">
      <c r="B15" s="2" t="s">
        <v>370</v>
      </c>
      <c r="C15" s="236" t="s">
        <v>333</v>
      </c>
      <c r="D15" s="93" t="s">
        <v>288</v>
      </c>
      <c r="E15" s="2" t="s">
        <v>331</v>
      </c>
      <c r="F15" s="2" t="s">
        <v>7</v>
      </c>
      <c r="G15" s="186">
        <f t="shared" ref="G15" si="2">G14:H14</f>
        <v>2.63E-2</v>
      </c>
      <c r="H15" s="186">
        <f t="shared" ref="H15" si="3">H14</f>
        <v>0.1845</v>
      </c>
      <c r="I15" s="187">
        <v>45199</v>
      </c>
      <c r="J15" s="187">
        <v>45214</v>
      </c>
      <c r="K15" s="187">
        <v>44201</v>
      </c>
      <c r="L15" s="188" t="s">
        <v>325</v>
      </c>
      <c r="M15" s="79">
        <v>75883.53</v>
      </c>
      <c r="N15" s="67"/>
      <c r="O15" s="67">
        <f t="shared" si="0"/>
        <v>75883.53</v>
      </c>
      <c r="P15" s="66"/>
      <c r="Q15" s="67"/>
      <c r="R15" s="67"/>
      <c r="S15" s="68">
        <f t="shared" si="1"/>
        <v>0</v>
      </c>
    </row>
    <row r="16" spans="1:20" ht="28.5" customHeight="1" x14ac:dyDescent="0.25">
      <c r="B16" s="2" t="s">
        <v>287</v>
      </c>
      <c r="C16" s="236" t="s">
        <v>333</v>
      </c>
      <c r="D16" s="93" t="s">
        <v>288</v>
      </c>
      <c r="E16" s="2" t="s">
        <v>289</v>
      </c>
      <c r="F16" s="2" t="s">
        <v>7</v>
      </c>
      <c r="G16" s="186">
        <v>2.63E-2</v>
      </c>
      <c r="H16" s="186">
        <v>0.1845</v>
      </c>
      <c r="I16" s="187">
        <v>45199</v>
      </c>
      <c r="J16" s="187">
        <v>45199</v>
      </c>
      <c r="K16" s="187">
        <v>44201</v>
      </c>
      <c r="L16" s="188" t="s">
        <v>320</v>
      </c>
      <c r="M16" s="79">
        <v>140468.5</v>
      </c>
      <c r="N16" s="67"/>
      <c r="O16" s="67">
        <f t="shared" si="0"/>
        <v>140468.5</v>
      </c>
      <c r="P16" s="66"/>
      <c r="Q16" s="67"/>
      <c r="R16" s="67"/>
      <c r="S16" s="68">
        <f t="shared" si="1"/>
        <v>0</v>
      </c>
    </row>
    <row r="17" spans="2:19" ht="28.5" customHeight="1" x14ac:dyDescent="0.25">
      <c r="B17" s="2" t="s">
        <v>352</v>
      </c>
      <c r="C17" s="236" t="s">
        <v>353</v>
      </c>
      <c r="D17" s="93" t="s">
        <v>354</v>
      </c>
      <c r="E17" s="2" t="s">
        <v>355</v>
      </c>
      <c r="F17" s="2" t="s">
        <v>7</v>
      </c>
      <c r="G17" s="186">
        <v>2.63E-2</v>
      </c>
      <c r="H17" s="186">
        <v>0.1845</v>
      </c>
      <c r="I17" s="187">
        <v>45565</v>
      </c>
      <c r="J17" s="187">
        <v>45580</v>
      </c>
      <c r="K17" s="187">
        <v>44279</v>
      </c>
      <c r="L17" s="188" t="s">
        <v>356</v>
      </c>
      <c r="M17" s="79">
        <v>549212.81000000006</v>
      </c>
      <c r="N17" s="67"/>
      <c r="O17" s="67">
        <f t="shared" si="0"/>
        <v>549212.81000000006</v>
      </c>
      <c r="P17" s="66"/>
      <c r="Q17" s="67"/>
      <c r="R17" s="67"/>
      <c r="S17" s="68">
        <f t="shared" si="1"/>
        <v>0</v>
      </c>
    </row>
    <row r="18" spans="2:19" ht="28.5" customHeight="1" x14ac:dyDescent="0.25">
      <c r="B18" s="2" t="s">
        <v>357</v>
      </c>
      <c r="C18" s="236" t="s">
        <v>353</v>
      </c>
      <c r="D18" s="93" t="s">
        <v>354</v>
      </c>
      <c r="E18" s="2" t="s">
        <v>358</v>
      </c>
      <c r="F18" s="2" t="s">
        <v>7</v>
      </c>
      <c r="G18" s="186">
        <v>2.63E-2</v>
      </c>
      <c r="H18" s="186">
        <v>0.1845</v>
      </c>
      <c r="I18" s="187">
        <v>45565</v>
      </c>
      <c r="J18" s="187">
        <v>45580</v>
      </c>
      <c r="K18" s="187">
        <v>44279</v>
      </c>
      <c r="L18" s="188" t="s">
        <v>356</v>
      </c>
      <c r="M18" s="79">
        <v>137303.20000000001</v>
      </c>
      <c r="N18" s="67"/>
      <c r="O18" s="67">
        <f t="shared" si="0"/>
        <v>137303.20000000001</v>
      </c>
      <c r="P18" s="66"/>
      <c r="Q18" s="67"/>
      <c r="R18" s="67"/>
      <c r="S18" s="68">
        <f t="shared" si="1"/>
        <v>0</v>
      </c>
    </row>
    <row r="19" spans="2:19" x14ac:dyDescent="0.25">
      <c r="C19" s="93"/>
      <c r="D19" s="93"/>
      <c r="G19" s="186" t="s">
        <v>100</v>
      </c>
      <c r="H19" s="186"/>
      <c r="I19" s="187"/>
      <c r="J19" s="187"/>
      <c r="K19" s="187"/>
      <c r="L19" s="188"/>
      <c r="M19" s="25"/>
      <c r="N19" s="25"/>
      <c r="O19" s="25"/>
      <c r="P19" s="29"/>
      <c r="Q19" s="25"/>
      <c r="R19" s="25"/>
      <c r="S19" s="26"/>
    </row>
    <row r="20" spans="2:19" ht="23.25" customHeight="1" x14ac:dyDescent="0.25">
      <c r="C20" s="4"/>
      <c r="D20" s="4"/>
      <c r="G20" s="123"/>
      <c r="H20" s="124"/>
      <c r="I20" s="116"/>
      <c r="J20" s="116"/>
      <c r="K20" s="116"/>
      <c r="L20" s="5" t="s">
        <v>38</v>
      </c>
      <c r="M20" s="66">
        <f>SUM(M7:M19)</f>
        <v>1246943.06</v>
      </c>
      <c r="N20" s="66">
        <f>SUM(N7:N19)</f>
        <v>0</v>
      </c>
      <c r="O20" s="66">
        <f>SUM(O7:O19)</f>
        <v>1246943.06</v>
      </c>
      <c r="P20" s="66"/>
      <c r="Q20" s="66">
        <f>SUM(Q7:Q19)</f>
        <v>67180.260000000009</v>
      </c>
      <c r="R20" s="66">
        <f>SUM(R7:R19)</f>
        <v>0</v>
      </c>
      <c r="S20" s="23">
        <f>SUM(S7:S19)</f>
        <v>67180.260000000009</v>
      </c>
    </row>
    <row r="21" spans="2:19" x14ac:dyDescent="0.25">
      <c r="C21" s="4"/>
      <c r="D21" s="4"/>
      <c r="I21" s="116"/>
      <c r="J21" s="116"/>
      <c r="K21" s="116"/>
      <c r="L21" s="5"/>
      <c r="M21" s="66"/>
      <c r="N21" s="66"/>
      <c r="O21" s="66"/>
      <c r="Q21" s="66"/>
      <c r="R21" s="66"/>
      <c r="S21" s="68"/>
    </row>
    <row r="22" spans="2:19" x14ac:dyDescent="0.25">
      <c r="C22" s="4"/>
      <c r="D22" s="4"/>
      <c r="L22" s="5"/>
      <c r="M22" s="66"/>
      <c r="N22" s="66"/>
      <c r="O22" s="66"/>
      <c r="Q22" s="66"/>
      <c r="R22" s="66"/>
      <c r="S22" s="68"/>
    </row>
    <row r="23" spans="2:19" x14ac:dyDescent="0.25">
      <c r="B23" s="8" t="s">
        <v>125</v>
      </c>
      <c r="C23" s="92"/>
      <c r="D23" s="92"/>
      <c r="L23" s="5"/>
      <c r="M23" s="66"/>
      <c r="N23" s="66"/>
      <c r="O23" s="66"/>
      <c r="Q23" s="66"/>
      <c r="R23" s="66"/>
      <c r="S23" s="68"/>
    </row>
    <row r="24" spans="2:19" ht="31.5" customHeight="1" x14ac:dyDescent="0.25">
      <c r="B24" s="341" t="s">
        <v>126</v>
      </c>
      <c r="C24" s="341"/>
      <c r="D24" s="341"/>
      <c r="E24" s="341"/>
      <c r="F24" s="341"/>
      <c r="G24" s="117"/>
      <c r="H24" s="117"/>
      <c r="I24" s="111"/>
      <c r="L24" s="5"/>
      <c r="M24" s="66"/>
      <c r="N24" s="66"/>
      <c r="O24" s="66"/>
      <c r="Q24" s="66"/>
      <c r="R24" s="66"/>
      <c r="S24" s="68"/>
    </row>
    <row r="25" spans="2:19" x14ac:dyDescent="0.25">
      <c r="C25" s="92"/>
      <c r="D25" s="92"/>
      <c r="L25" s="5"/>
      <c r="M25" s="66"/>
      <c r="N25" s="66"/>
      <c r="O25" s="66"/>
      <c r="Q25" s="66"/>
      <c r="R25" s="66"/>
      <c r="S25" s="68"/>
    </row>
    <row r="26" spans="2:19" ht="48" customHeight="1" x14ac:dyDescent="0.25">
      <c r="B26" s="341" t="s">
        <v>129</v>
      </c>
      <c r="C26" s="341"/>
      <c r="D26" s="341"/>
      <c r="E26" s="341"/>
      <c r="F26" s="341"/>
      <c r="G26" s="117"/>
      <c r="H26" s="117"/>
      <c r="I26" s="111"/>
      <c r="L26" s="5"/>
      <c r="M26" s="66"/>
      <c r="N26" s="66"/>
      <c r="O26" s="66"/>
      <c r="Q26" s="66"/>
      <c r="R26" s="66"/>
      <c r="S26" s="68"/>
    </row>
    <row r="27" spans="2:19" x14ac:dyDescent="0.25">
      <c r="B27" s="193"/>
      <c r="C27" s="193"/>
      <c r="D27" s="193"/>
      <c r="E27" s="193"/>
      <c r="F27" s="193"/>
      <c r="G27" s="193"/>
      <c r="H27" s="193"/>
      <c r="I27" s="193"/>
      <c r="L27" s="5"/>
      <c r="M27" s="66"/>
      <c r="N27" s="66"/>
      <c r="O27" s="66"/>
      <c r="Q27" s="66"/>
      <c r="R27" s="66"/>
      <c r="S27" s="68"/>
    </row>
    <row r="28" spans="2:19" ht="30.75" customHeight="1" x14ac:dyDescent="0.25">
      <c r="B28" s="341" t="s">
        <v>160</v>
      </c>
      <c r="C28" s="341"/>
      <c r="D28" s="341"/>
      <c r="E28" s="341"/>
      <c r="F28" s="341"/>
      <c r="G28" s="193"/>
      <c r="H28" s="193"/>
      <c r="I28" s="193"/>
      <c r="L28" s="5"/>
      <c r="M28" s="66"/>
      <c r="N28" s="66"/>
      <c r="O28" s="66"/>
      <c r="Q28" s="66"/>
      <c r="R28" s="66"/>
      <c r="S28" s="68"/>
    </row>
    <row r="29" spans="2:19" ht="15" customHeight="1" x14ac:dyDescent="0.25">
      <c r="B29" s="347" t="s">
        <v>159</v>
      </c>
      <c r="C29" s="341"/>
      <c r="D29" s="341"/>
      <c r="E29" s="341"/>
      <c r="F29" s="341"/>
      <c r="G29" s="193"/>
      <c r="H29" s="193"/>
      <c r="I29" s="193"/>
      <c r="L29" s="5"/>
      <c r="M29" s="66"/>
      <c r="N29" s="66"/>
      <c r="O29" s="66"/>
      <c r="Q29" s="66"/>
      <c r="R29" s="66"/>
      <c r="S29" s="68"/>
    </row>
    <row r="30" spans="2:19" ht="15" customHeight="1" x14ac:dyDescent="0.25">
      <c r="B30" s="195"/>
      <c r="C30" s="195"/>
      <c r="D30" s="195"/>
      <c r="E30" s="195"/>
      <c r="F30" s="195"/>
      <c r="G30" s="195"/>
      <c r="H30" s="195"/>
      <c r="I30" s="195"/>
      <c r="L30" s="5"/>
      <c r="M30" s="66"/>
      <c r="N30" s="66"/>
      <c r="O30" s="66"/>
      <c r="Q30" s="66"/>
      <c r="R30" s="66"/>
      <c r="S30" s="68"/>
    </row>
    <row r="31" spans="2:19" x14ac:dyDescent="0.25">
      <c r="B31" s="108"/>
      <c r="C31" s="108"/>
      <c r="D31" s="108"/>
      <c r="E31" s="108"/>
      <c r="F31" s="108"/>
      <c r="G31" s="117"/>
      <c r="H31" s="117"/>
      <c r="I31" s="111"/>
      <c r="L31" s="5"/>
      <c r="M31" s="66"/>
      <c r="N31" s="66"/>
      <c r="O31" s="66"/>
      <c r="Q31" s="66"/>
      <c r="R31" s="66"/>
      <c r="S31" s="68"/>
    </row>
    <row r="32" spans="2:19" x14ac:dyDescent="0.25">
      <c r="B32" s="7" t="s">
        <v>109</v>
      </c>
      <c r="C32" s="101" t="s">
        <v>112</v>
      </c>
      <c r="D32" s="101" t="s">
        <v>113</v>
      </c>
      <c r="E32" s="108"/>
      <c r="F32" s="108"/>
      <c r="G32" s="117"/>
      <c r="H32" s="117"/>
      <c r="I32" s="111"/>
      <c r="L32" s="5"/>
      <c r="M32" s="66"/>
      <c r="N32" s="66"/>
      <c r="O32" s="66"/>
      <c r="Q32" s="66"/>
      <c r="R32" s="66"/>
      <c r="S32" s="68"/>
    </row>
    <row r="33" spans="2:20" x14ac:dyDescent="0.25">
      <c r="B33" s="307" t="s">
        <v>111</v>
      </c>
      <c r="C33" s="92" t="s">
        <v>300</v>
      </c>
      <c r="D33" s="92" t="s">
        <v>303</v>
      </c>
      <c r="E33" s="224"/>
      <c r="F33" s="224"/>
      <c r="G33" s="224"/>
      <c r="H33" s="224"/>
      <c r="I33" s="224"/>
      <c r="L33" s="5"/>
      <c r="M33" s="66"/>
      <c r="N33" s="66"/>
      <c r="O33" s="66"/>
      <c r="Q33" s="66"/>
      <c r="R33" s="66"/>
      <c r="S33" s="68"/>
    </row>
    <row r="34" spans="2:20" x14ac:dyDescent="0.25">
      <c r="B34" s="2" t="s">
        <v>230</v>
      </c>
      <c r="C34" s="92" t="s">
        <v>135</v>
      </c>
      <c r="D34" s="92" t="s">
        <v>147</v>
      </c>
      <c r="L34" s="5"/>
      <c r="M34" s="66"/>
      <c r="N34" s="66"/>
      <c r="O34" s="66"/>
      <c r="Q34" s="66"/>
      <c r="R34" s="66"/>
      <c r="S34" s="68"/>
    </row>
    <row r="35" spans="2:20" x14ac:dyDescent="0.25">
      <c r="B35" s="2" t="s">
        <v>279</v>
      </c>
      <c r="C35" s="92" t="s">
        <v>135</v>
      </c>
      <c r="D35" s="92" t="s">
        <v>147</v>
      </c>
      <c r="L35" s="5"/>
      <c r="M35" s="66"/>
      <c r="N35" s="66"/>
      <c r="O35" s="66"/>
      <c r="Q35" s="66"/>
      <c r="R35" s="66"/>
      <c r="S35" s="68"/>
    </row>
    <row r="36" spans="2:20" x14ac:dyDescent="0.25">
      <c r="B36" s="2" t="s">
        <v>281</v>
      </c>
      <c r="C36" s="92" t="s">
        <v>135</v>
      </c>
      <c r="D36" s="92" t="s">
        <v>147</v>
      </c>
      <c r="L36" s="5"/>
      <c r="M36" s="66"/>
      <c r="N36" s="66"/>
      <c r="O36" s="66"/>
      <c r="Q36" s="66"/>
      <c r="R36" s="66"/>
      <c r="S36" s="68"/>
    </row>
    <row r="37" spans="2:20" x14ac:dyDescent="0.25">
      <c r="B37" s="2" t="s">
        <v>286</v>
      </c>
      <c r="C37" s="92" t="s">
        <v>135</v>
      </c>
      <c r="D37" s="92" t="s">
        <v>147</v>
      </c>
      <c r="L37" s="5"/>
      <c r="M37" s="66"/>
      <c r="N37" s="66"/>
      <c r="O37" s="66"/>
      <c r="Q37" s="66"/>
      <c r="R37" s="66"/>
      <c r="S37" s="68"/>
    </row>
    <row r="38" spans="2:20" x14ac:dyDescent="0.25">
      <c r="C38" s="92"/>
      <c r="D38" s="92"/>
      <c r="L38" s="5"/>
      <c r="M38" s="66"/>
      <c r="N38" s="66"/>
      <c r="O38" s="66"/>
      <c r="Q38" s="66"/>
      <c r="R38" s="66"/>
      <c r="S38" s="68"/>
    </row>
    <row r="39" spans="2:20" x14ac:dyDescent="0.25">
      <c r="B39" s="348" t="s">
        <v>298</v>
      </c>
      <c r="C39" s="336"/>
      <c r="D39" s="336"/>
      <c r="E39" s="336"/>
      <c r="F39" s="336"/>
      <c r="G39" s="336"/>
      <c r="H39" s="336"/>
      <c r="L39" s="5"/>
      <c r="M39" s="66"/>
      <c r="N39" s="66"/>
      <c r="O39" s="66"/>
      <c r="Q39" s="66"/>
      <c r="R39" s="66"/>
      <c r="S39" s="68"/>
    </row>
    <row r="40" spans="2:20" x14ac:dyDescent="0.25">
      <c r="B40" s="242" t="s">
        <v>299</v>
      </c>
      <c r="C40" s="92"/>
      <c r="D40" s="92"/>
      <c r="L40" s="5"/>
      <c r="M40" s="66"/>
      <c r="N40" s="66"/>
      <c r="O40" s="66"/>
      <c r="Q40" s="66"/>
      <c r="R40" s="66"/>
      <c r="S40" s="68"/>
    </row>
    <row r="41" spans="2:20" x14ac:dyDescent="0.25">
      <c r="B41" s="125"/>
      <c r="C41" s="4"/>
      <c r="D41" s="4"/>
      <c r="L41" s="5"/>
      <c r="M41" s="66"/>
      <c r="N41" s="66"/>
      <c r="O41" s="66"/>
      <c r="Q41" s="66"/>
      <c r="R41" s="66"/>
      <c r="S41" s="68"/>
    </row>
    <row r="42" spans="2:20" ht="15" customHeight="1" x14ac:dyDescent="0.25">
      <c r="B42" s="173"/>
      <c r="C42" s="109"/>
      <c r="D42" s="109"/>
      <c r="E42" s="109"/>
      <c r="F42" s="109"/>
      <c r="G42" s="109"/>
      <c r="H42" s="109"/>
      <c r="I42" s="109"/>
      <c r="J42" s="109"/>
      <c r="K42" s="109"/>
      <c r="L42" s="109"/>
      <c r="M42" s="109"/>
      <c r="N42" s="109"/>
      <c r="O42" s="109"/>
      <c r="P42" s="109"/>
      <c r="Q42" s="166" t="s">
        <v>90</v>
      </c>
      <c r="R42" s="163"/>
      <c r="S42" s="164"/>
      <c r="T42" s="51"/>
    </row>
    <row r="43" spans="2:20" ht="15" customHeight="1" x14ac:dyDescent="0.25">
      <c r="B43" s="175" t="s">
        <v>39</v>
      </c>
      <c r="C43" s="157" t="s">
        <v>2</v>
      </c>
      <c r="D43" s="157"/>
      <c r="E43" s="157" t="s">
        <v>34</v>
      </c>
      <c r="F43" s="157" t="s">
        <v>35</v>
      </c>
      <c r="G43" s="157"/>
      <c r="H43" s="157"/>
      <c r="I43" s="157"/>
      <c r="J43" s="157"/>
      <c r="K43" s="157"/>
      <c r="L43" s="157" t="s">
        <v>36</v>
      </c>
      <c r="M43" s="157" t="s">
        <v>37</v>
      </c>
      <c r="N43" s="10"/>
      <c r="O43" s="10"/>
      <c r="P43" s="10"/>
      <c r="Q43" s="54" t="s">
        <v>88</v>
      </c>
      <c r="R43" s="52"/>
      <c r="S43" s="53"/>
    </row>
    <row r="44" spans="2:20" ht="15" customHeight="1" x14ac:dyDescent="0.25">
      <c r="B44" s="63"/>
      <c r="C44" s="9"/>
      <c r="D44" s="9"/>
      <c r="E44" s="9"/>
      <c r="F44" s="9"/>
      <c r="G44" s="9"/>
      <c r="H44" s="9"/>
      <c r="I44" s="9"/>
      <c r="J44" s="9"/>
      <c r="K44" s="9"/>
      <c r="L44" s="9"/>
      <c r="M44" s="9"/>
      <c r="Q44" s="59"/>
      <c r="R44" s="49"/>
      <c r="S44" s="49"/>
    </row>
    <row r="45" spans="2:20" x14ac:dyDescent="0.25">
      <c r="B45" s="63"/>
      <c r="C45" s="9"/>
      <c r="D45" s="9"/>
      <c r="E45" s="9"/>
      <c r="F45" s="9"/>
      <c r="G45" s="9"/>
      <c r="H45" s="9"/>
      <c r="I45" s="9"/>
      <c r="J45" s="9"/>
      <c r="K45" s="9"/>
      <c r="L45" s="9"/>
      <c r="M45" s="9"/>
      <c r="R45" s="51"/>
      <c r="S45" s="51"/>
    </row>
    <row r="46" spans="2:20" x14ac:dyDescent="0.25">
      <c r="B46" s="63"/>
      <c r="C46" s="148"/>
      <c r="D46" s="148"/>
      <c r="E46" s="148"/>
      <c r="F46" s="148"/>
      <c r="G46" s="148"/>
      <c r="H46" s="148"/>
      <c r="I46" s="148"/>
      <c r="J46" s="148"/>
      <c r="K46" s="148"/>
      <c r="L46" s="148"/>
      <c r="M46" s="148"/>
      <c r="R46" s="51"/>
      <c r="S46" s="51"/>
    </row>
    <row r="47" spans="2:20" x14ac:dyDescent="0.25">
      <c r="B47" s="63"/>
      <c r="C47" s="148"/>
      <c r="D47" s="148"/>
      <c r="E47" s="148"/>
      <c r="F47" s="148"/>
      <c r="G47" s="148"/>
      <c r="H47" s="148"/>
      <c r="I47" s="148"/>
      <c r="J47" s="148"/>
      <c r="K47" s="148"/>
      <c r="L47" s="148"/>
      <c r="M47" s="148"/>
      <c r="R47" s="51"/>
      <c r="S47" s="51"/>
    </row>
    <row r="48" spans="2:20" x14ac:dyDescent="0.25">
      <c r="B48" s="63"/>
      <c r="C48" s="148"/>
      <c r="D48" s="148"/>
      <c r="E48" s="148"/>
      <c r="F48" s="148"/>
      <c r="G48" s="148"/>
      <c r="H48" s="148"/>
      <c r="I48" s="148"/>
      <c r="J48" s="148"/>
      <c r="K48" s="148"/>
      <c r="L48" s="148"/>
      <c r="M48" s="148"/>
      <c r="R48" s="51"/>
      <c r="S48" s="51"/>
    </row>
    <row r="49" spans="2:19" x14ac:dyDescent="0.25">
      <c r="B49" s="12"/>
      <c r="C49" s="13"/>
      <c r="D49" s="13"/>
      <c r="E49" s="41"/>
      <c r="F49" s="15"/>
      <c r="G49" s="15"/>
      <c r="H49" s="15"/>
      <c r="I49" s="15"/>
      <c r="J49" s="15"/>
      <c r="K49" s="15"/>
      <c r="L49" s="16"/>
      <c r="M49" s="20"/>
      <c r="N49" s="18"/>
      <c r="O49" s="18"/>
      <c r="P49" s="18"/>
    </row>
    <row r="50" spans="2:19" ht="15" customHeight="1" x14ac:dyDescent="0.25">
      <c r="B50" s="12"/>
      <c r="C50" s="13"/>
      <c r="D50" s="13"/>
      <c r="E50" s="41"/>
      <c r="F50" s="15"/>
      <c r="G50" s="15"/>
      <c r="H50" s="15"/>
      <c r="I50" s="15"/>
      <c r="J50" s="15"/>
      <c r="K50" s="15"/>
      <c r="L50" s="16"/>
      <c r="M50" s="20"/>
      <c r="N50" s="18"/>
      <c r="O50" s="18"/>
      <c r="P50" s="18"/>
    </row>
    <row r="51" spans="2:19" ht="15" customHeight="1" x14ac:dyDescent="0.25">
      <c r="B51" s="12"/>
      <c r="C51" s="13"/>
      <c r="D51" s="13"/>
      <c r="E51" s="41"/>
      <c r="F51" s="15"/>
      <c r="G51" s="15"/>
      <c r="H51" s="15"/>
      <c r="I51" s="15"/>
      <c r="J51" s="15"/>
      <c r="K51" s="15"/>
      <c r="L51" s="16"/>
      <c r="M51" s="20"/>
      <c r="N51" s="18"/>
      <c r="O51" s="18"/>
      <c r="P51" s="18"/>
    </row>
    <row r="52" spans="2:19" ht="15" customHeight="1" x14ac:dyDescent="0.25">
      <c r="B52" s="12"/>
      <c r="C52" s="13"/>
      <c r="D52" s="13"/>
      <c r="E52" s="41"/>
      <c r="F52" s="15"/>
      <c r="G52" s="15"/>
      <c r="H52" s="15"/>
      <c r="I52" s="15"/>
      <c r="J52" s="15"/>
      <c r="K52" s="15"/>
      <c r="L52" s="16"/>
      <c r="M52" s="20"/>
      <c r="N52" s="18"/>
      <c r="O52" s="18"/>
      <c r="P52" s="18"/>
    </row>
    <row r="53" spans="2:19" ht="15" customHeight="1" x14ac:dyDescent="0.25">
      <c r="B53" s="12"/>
      <c r="C53" s="13"/>
      <c r="D53" s="13"/>
      <c r="E53" s="41"/>
      <c r="F53" s="15"/>
      <c r="G53" s="15"/>
      <c r="H53" s="15"/>
      <c r="I53" s="15"/>
      <c r="J53" s="15"/>
      <c r="K53" s="15"/>
      <c r="L53" s="16"/>
      <c r="M53" s="20"/>
      <c r="N53" s="18"/>
      <c r="O53" s="18"/>
      <c r="P53" s="18"/>
    </row>
    <row r="54" spans="2:19" x14ac:dyDescent="0.25">
      <c r="B54" s="36"/>
      <c r="C54" s="40"/>
      <c r="D54" s="40"/>
      <c r="E54" s="41"/>
      <c r="F54" s="38"/>
      <c r="G54" s="38"/>
      <c r="H54" s="38"/>
      <c r="I54" s="38"/>
      <c r="J54" s="38"/>
      <c r="K54" s="38"/>
      <c r="L54" s="39"/>
      <c r="M54" s="34"/>
      <c r="N54" s="104"/>
      <c r="O54" s="29"/>
      <c r="P54" s="29"/>
    </row>
    <row r="55" spans="2:19" ht="15" customHeight="1" x14ac:dyDescent="0.25">
      <c r="B55" s="36"/>
      <c r="C55" s="40"/>
      <c r="D55" s="40"/>
      <c r="E55" s="41"/>
      <c r="F55" s="38"/>
      <c r="G55" s="38"/>
      <c r="H55" s="38"/>
      <c r="I55" s="38"/>
      <c r="J55" s="38"/>
      <c r="K55" s="38"/>
      <c r="L55" s="33"/>
      <c r="M55" s="31"/>
      <c r="N55" s="99"/>
      <c r="O55" s="99"/>
      <c r="P55" s="29"/>
      <c r="Q55" s="309" t="s">
        <v>316</v>
      </c>
      <c r="R55" s="309"/>
      <c r="S55" s="310">
        <f>S20</f>
        <v>67180.260000000009</v>
      </c>
    </row>
    <row r="56" spans="2:19" x14ac:dyDescent="0.25">
      <c r="B56" s="36"/>
      <c r="C56" s="40"/>
      <c r="D56" s="40"/>
      <c r="E56" s="41"/>
      <c r="F56" s="38"/>
      <c r="G56" s="38"/>
      <c r="H56" s="38"/>
      <c r="I56" s="38"/>
      <c r="J56" s="38"/>
      <c r="K56" s="38"/>
      <c r="L56" s="33"/>
      <c r="M56" s="31"/>
      <c r="N56" s="99"/>
      <c r="O56" s="99"/>
      <c r="P56" s="29"/>
    </row>
    <row r="57" spans="2:19" x14ac:dyDescent="0.25">
      <c r="B57" s="36"/>
      <c r="C57" s="40"/>
      <c r="D57" s="40"/>
      <c r="E57" s="41"/>
      <c r="F57" s="38"/>
      <c r="G57" s="38"/>
      <c r="H57" s="38"/>
      <c r="I57" s="38"/>
      <c r="J57" s="38"/>
      <c r="K57" s="38"/>
      <c r="L57" s="33"/>
      <c r="M57" s="31"/>
      <c r="N57" s="99"/>
      <c r="O57" s="99"/>
      <c r="P57" s="29"/>
    </row>
    <row r="58" spans="2:19" ht="16.5" customHeight="1" x14ac:dyDescent="0.25">
      <c r="B58" s="36"/>
      <c r="C58" s="40"/>
      <c r="D58" s="40"/>
      <c r="E58" s="41"/>
      <c r="F58" s="38"/>
      <c r="G58" s="38"/>
      <c r="H58" s="38"/>
      <c r="I58" s="38"/>
      <c r="J58" s="38"/>
      <c r="K58" s="38"/>
      <c r="L58" s="39"/>
      <c r="M58" s="20"/>
      <c r="N58" s="99"/>
      <c r="O58" s="99"/>
      <c r="P58" s="29"/>
    </row>
    <row r="59" spans="2:19" ht="15" hidden="1" customHeight="1" x14ac:dyDescent="0.25"/>
    <row r="60" spans="2:19" ht="15" customHeight="1" x14ac:dyDescent="0.25">
      <c r="E60" s="21"/>
      <c r="F60" s="102"/>
      <c r="G60" s="102"/>
      <c r="H60" s="102"/>
      <c r="I60" s="102"/>
      <c r="J60" s="102"/>
      <c r="K60" s="102"/>
    </row>
    <row r="63" spans="2:19" ht="15" customHeight="1" x14ac:dyDescent="0.25"/>
  </sheetData>
  <mergeCells count="7">
    <mergeCell ref="B39:H39"/>
    <mergeCell ref="B29:F29"/>
    <mergeCell ref="Q2:S2"/>
    <mergeCell ref="Q1:S1"/>
    <mergeCell ref="B24:F24"/>
    <mergeCell ref="B26:F26"/>
    <mergeCell ref="B28:F28"/>
  </mergeCells>
  <hyperlinks>
    <hyperlink ref="B29" r:id="rId1"/>
  </hyperlinks>
  <printOptions horizontalCentered="1" gridLines="1"/>
  <pageMargins left="0" right="0" top="0.75" bottom="0.75" header="0.3" footer="0.3"/>
  <pageSetup scale="52" orientation="landscape" horizontalDpi="1200" verticalDpi="1200"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3"/>
  <sheetViews>
    <sheetView topLeftCell="B1" zoomScale="90" zoomScaleNormal="90" workbookViewId="0">
      <selection activeCell="Q13" sqref="Q13:Q17"/>
    </sheetView>
  </sheetViews>
  <sheetFormatPr defaultColWidth="9.140625" defaultRowHeight="15" x14ac:dyDescent="0.25"/>
  <cols>
    <col min="1" max="1" width="9.140625" style="2" hidden="1" customWidth="1"/>
    <col min="2" max="2" width="58.85546875" style="2" customWidth="1"/>
    <col min="3" max="3" width="26.140625" style="2" customWidth="1"/>
    <col min="4" max="4" width="13.7109375" style="2" customWidth="1"/>
    <col min="5" max="5" width="18" style="2" customWidth="1"/>
    <col min="6" max="6" width="21.42578125" style="2" customWidth="1"/>
    <col min="7" max="7" width="11.85546875" style="2" customWidth="1"/>
    <col min="8" max="8" width="15.28515625" style="2" customWidth="1"/>
    <col min="9" max="9" width="14" style="2" customWidth="1"/>
    <col min="10" max="10" width="15.5703125" style="2" customWidth="1"/>
    <col min="11" max="11" width="8" style="2" customWidth="1"/>
    <col min="12" max="12" width="18.8554687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5" style="2" customWidth="1"/>
    <col min="20" max="16384" width="9.140625" style="2"/>
  </cols>
  <sheetData>
    <row r="1" spans="1:20" ht="15.6" customHeight="1" x14ac:dyDescent="0.25">
      <c r="B1" s="1" t="s">
        <v>81</v>
      </c>
      <c r="Q1" s="338" t="s">
        <v>296</v>
      </c>
      <c r="R1" s="338"/>
      <c r="S1" s="338"/>
    </row>
    <row r="2" spans="1:20" x14ac:dyDescent="0.25">
      <c r="B2" s="88" t="s">
        <v>148</v>
      </c>
      <c r="C2" s="182">
        <v>44742</v>
      </c>
      <c r="M2" s="71"/>
      <c r="N2" s="71"/>
      <c r="P2" s="29"/>
      <c r="Q2" s="337" t="s">
        <v>375</v>
      </c>
      <c r="R2" s="337"/>
      <c r="S2" s="337"/>
    </row>
    <row r="3" spans="1:20" ht="15.75" thickBot="1" x14ac:dyDescent="0.3">
      <c r="A3" s="2" t="s">
        <v>16</v>
      </c>
      <c r="B3" s="44" t="s">
        <v>82</v>
      </c>
      <c r="C3" s="8"/>
      <c r="D3" s="8"/>
      <c r="E3" s="8"/>
      <c r="P3" s="29"/>
      <c r="Q3" s="45"/>
      <c r="R3" s="30"/>
    </row>
    <row r="4" spans="1:20" x14ac:dyDescent="0.25">
      <c r="B4" s="8" t="s">
        <v>174</v>
      </c>
      <c r="M4" s="85" t="s">
        <v>28</v>
      </c>
      <c r="N4" s="85" t="s">
        <v>28</v>
      </c>
      <c r="O4" s="85" t="s">
        <v>28</v>
      </c>
      <c r="P4" s="9"/>
      <c r="Q4" s="89" t="s">
        <v>29</v>
      </c>
      <c r="R4" s="89" t="s">
        <v>31</v>
      </c>
      <c r="S4" s="89" t="s">
        <v>23</v>
      </c>
      <c r="T4" s="7"/>
    </row>
    <row r="5" spans="1:20" ht="15.75" thickBot="1" x14ac:dyDescent="0.3">
      <c r="G5" s="183" t="s">
        <v>295</v>
      </c>
      <c r="H5" s="183" t="s">
        <v>295</v>
      </c>
      <c r="M5" s="86" t="s">
        <v>27</v>
      </c>
      <c r="N5" s="86" t="s">
        <v>26</v>
      </c>
      <c r="O5" s="86" t="s">
        <v>25</v>
      </c>
      <c r="P5" s="9"/>
      <c r="Q5" s="90" t="s">
        <v>30</v>
      </c>
      <c r="R5" s="90" t="s">
        <v>30</v>
      </c>
      <c r="S5" s="90" t="s">
        <v>30</v>
      </c>
      <c r="T5" s="7"/>
    </row>
    <row r="6" spans="1:20" ht="85.5" customHeight="1" thickBot="1" x14ac:dyDescent="0.3">
      <c r="B6" s="84" t="s">
        <v>1</v>
      </c>
      <c r="C6" s="84" t="s">
        <v>389</v>
      </c>
      <c r="D6" s="84" t="s">
        <v>107</v>
      </c>
      <c r="E6" s="84" t="s">
        <v>3</v>
      </c>
      <c r="F6" s="84" t="s">
        <v>4</v>
      </c>
      <c r="G6" s="107" t="s">
        <v>136</v>
      </c>
      <c r="H6" s="107" t="s">
        <v>137</v>
      </c>
      <c r="I6" s="107" t="s">
        <v>133</v>
      </c>
      <c r="J6" s="107" t="s">
        <v>134</v>
      </c>
      <c r="K6" s="107" t="s">
        <v>121</v>
      </c>
      <c r="L6" s="83" t="s">
        <v>5</v>
      </c>
      <c r="M6" s="87" t="s">
        <v>6</v>
      </c>
      <c r="N6" s="87" t="s">
        <v>6</v>
      </c>
      <c r="O6" s="87" t="s">
        <v>6</v>
      </c>
      <c r="P6" s="9"/>
      <c r="Q6" s="91"/>
      <c r="R6" s="97" t="s">
        <v>32</v>
      </c>
      <c r="S6" s="98" t="s">
        <v>33</v>
      </c>
    </row>
    <row r="7" spans="1:20" ht="32.25" customHeight="1" x14ac:dyDescent="0.25">
      <c r="B7" s="2" t="s">
        <v>128</v>
      </c>
      <c r="C7" s="236" t="s">
        <v>122</v>
      </c>
      <c r="D7" s="93" t="s">
        <v>310</v>
      </c>
      <c r="E7" s="2" t="s">
        <v>309</v>
      </c>
      <c r="F7" s="2" t="s">
        <v>7</v>
      </c>
      <c r="G7" s="186">
        <v>2.63E-2</v>
      </c>
      <c r="H7" s="186">
        <v>0.1845</v>
      </c>
      <c r="I7" s="187">
        <v>44742</v>
      </c>
      <c r="J7" s="187">
        <v>44743</v>
      </c>
      <c r="K7" s="187">
        <v>44378</v>
      </c>
      <c r="L7" s="204" t="s">
        <v>297</v>
      </c>
      <c r="M7" s="67">
        <v>7402.77</v>
      </c>
      <c r="N7" s="67"/>
      <c r="O7" s="67">
        <f>M7+N7</f>
        <v>7402.77</v>
      </c>
      <c r="P7" s="29"/>
      <c r="Q7" s="67">
        <v>7402.77</v>
      </c>
      <c r="R7" s="67"/>
      <c r="S7" s="68">
        <f>SUM(Q7:R7)</f>
        <v>7402.77</v>
      </c>
    </row>
    <row r="8" spans="1:20" ht="29.25" customHeight="1" x14ac:dyDescent="0.25">
      <c r="B8" s="330" t="s">
        <v>371</v>
      </c>
      <c r="C8" s="236" t="s">
        <v>373</v>
      </c>
      <c r="D8" s="331" t="s">
        <v>372</v>
      </c>
      <c r="E8" s="29" t="s">
        <v>374</v>
      </c>
      <c r="F8" s="2" t="s">
        <v>7</v>
      </c>
      <c r="G8" s="186">
        <v>2.63E-2</v>
      </c>
      <c r="H8" s="186">
        <v>0.1845</v>
      </c>
      <c r="I8" s="187">
        <v>45199</v>
      </c>
      <c r="J8" s="187">
        <v>45214</v>
      </c>
      <c r="K8" s="187">
        <v>44378</v>
      </c>
      <c r="L8" s="188" t="s">
        <v>325</v>
      </c>
      <c r="M8" s="70">
        <v>2216.06</v>
      </c>
      <c r="N8" s="70"/>
      <c r="O8" s="67">
        <f>M8+N8</f>
        <v>2216.06</v>
      </c>
      <c r="P8" s="42"/>
      <c r="Q8" s="43">
        <v>2216.06</v>
      </c>
      <c r="R8" s="67"/>
      <c r="S8" s="68">
        <f>SUM(Q8:R8)</f>
        <v>2216.06</v>
      </c>
    </row>
    <row r="9" spans="1:20" ht="32.25" customHeight="1" x14ac:dyDescent="0.25">
      <c r="B9" s="2" t="s">
        <v>223</v>
      </c>
      <c r="C9" s="236" t="s">
        <v>333</v>
      </c>
      <c r="D9" s="93" t="s">
        <v>224</v>
      </c>
      <c r="E9" s="2" t="s">
        <v>225</v>
      </c>
      <c r="F9" s="2" t="s">
        <v>7</v>
      </c>
      <c r="G9" s="186">
        <v>2.63E-2</v>
      </c>
      <c r="H9" s="186">
        <v>0.1845</v>
      </c>
      <c r="I9" s="187">
        <v>44834</v>
      </c>
      <c r="J9" s="187">
        <v>44849</v>
      </c>
      <c r="K9" s="187">
        <v>43614</v>
      </c>
      <c r="L9" s="188" t="s">
        <v>274</v>
      </c>
      <c r="M9" s="65">
        <v>67790.960000000006</v>
      </c>
      <c r="N9" s="67"/>
      <c r="O9" s="67">
        <f>M9+N9</f>
        <v>67790.960000000006</v>
      </c>
      <c r="P9" s="67"/>
      <c r="Q9" s="67">
        <f>31144.69+36646.27</f>
        <v>67790.959999999992</v>
      </c>
      <c r="R9" s="67"/>
      <c r="S9" s="68">
        <f>SUM(Q9:R9)</f>
        <v>67790.959999999992</v>
      </c>
    </row>
    <row r="10" spans="1:20" ht="27" customHeight="1" x14ac:dyDescent="0.25">
      <c r="B10" s="2" t="s">
        <v>275</v>
      </c>
      <c r="C10" s="236" t="s">
        <v>333</v>
      </c>
      <c r="D10" s="93" t="s">
        <v>224</v>
      </c>
      <c r="E10" s="2" t="s">
        <v>276</v>
      </c>
      <c r="F10" s="2" t="s">
        <v>7</v>
      </c>
      <c r="G10" s="186">
        <v>2.63E-2</v>
      </c>
      <c r="H10" s="186">
        <v>0.1845</v>
      </c>
      <c r="I10" s="297">
        <v>44773</v>
      </c>
      <c r="J10" s="297">
        <v>44788</v>
      </c>
      <c r="K10" s="187">
        <v>43980</v>
      </c>
      <c r="L10" s="188" t="s">
        <v>277</v>
      </c>
      <c r="M10" s="79">
        <v>4618.8999999999996</v>
      </c>
      <c r="N10" s="70"/>
      <c r="O10" s="67">
        <f>M10+N10</f>
        <v>4618.8999999999996</v>
      </c>
      <c r="P10" s="67"/>
      <c r="Q10" s="67">
        <v>0</v>
      </c>
      <c r="R10" s="67"/>
      <c r="S10" s="68">
        <f>Q10+R10</f>
        <v>0</v>
      </c>
    </row>
    <row r="11" spans="1:20" ht="27" customHeight="1" x14ac:dyDescent="0.25">
      <c r="B11" s="2" t="s">
        <v>279</v>
      </c>
      <c r="C11" s="236" t="s">
        <v>333</v>
      </c>
      <c r="D11" s="93" t="s">
        <v>224</v>
      </c>
      <c r="E11" s="2" t="s">
        <v>280</v>
      </c>
      <c r="F11" s="2" t="s">
        <v>7</v>
      </c>
      <c r="G11" s="186">
        <v>2.63E-2</v>
      </c>
      <c r="H11" s="186">
        <v>0.1845</v>
      </c>
      <c r="I11" s="187">
        <v>44592</v>
      </c>
      <c r="J11" s="187">
        <v>44592</v>
      </c>
      <c r="K11" s="187">
        <v>43980</v>
      </c>
      <c r="L11" s="188" t="s">
        <v>332</v>
      </c>
      <c r="M11" s="79">
        <v>3000</v>
      </c>
      <c r="N11" s="67"/>
      <c r="O11" s="67">
        <f t="shared" ref="O11:O21" si="0">M11+N11</f>
        <v>3000</v>
      </c>
      <c r="P11" s="66"/>
      <c r="Q11" s="67">
        <v>3000</v>
      </c>
      <c r="R11" s="67"/>
      <c r="S11" s="68">
        <f t="shared" ref="S11:S19" si="1">Q11+R11</f>
        <v>3000</v>
      </c>
    </row>
    <row r="12" spans="1:20" ht="27" customHeight="1" x14ac:dyDescent="0.25">
      <c r="B12" s="2" t="s">
        <v>281</v>
      </c>
      <c r="C12" s="236" t="s">
        <v>334</v>
      </c>
      <c r="D12" s="93" t="s">
        <v>231</v>
      </c>
      <c r="E12" s="2" t="s">
        <v>282</v>
      </c>
      <c r="F12" s="2" t="s">
        <v>7</v>
      </c>
      <c r="G12" s="186">
        <v>2.63E-2</v>
      </c>
      <c r="H12" s="186">
        <v>0.1845</v>
      </c>
      <c r="I12" s="187">
        <v>44742</v>
      </c>
      <c r="J12" s="187">
        <v>44757</v>
      </c>
      <c r="K12" s="187">
        <v>43979</v>
      </c>
      <c r="L12" s="188" t="s">
        <v>283</v>
      </c>
      <c r="M12" s="79">
        <v>1027</v>
      </c>
      <c r="N12" s="67"/>
      <c r="O12" s="67">
        <f t="shared" si="0"/>
        <v>1027</v>
      </c>
      <c r="P12" s="66"/>
      <c r="Q12" s="67">
        <v>1027</v>
      </c>
      <c r="R12" s="67"/>
      <c r="S12" s="68">
        <f t="shared" si="1"/>
        <v>1027</v>
      </c>
    </row>
    <row r="13" spans="1:20" ht="27" customHeight="1" x14ac:dyDescent="0.25">
      <c r="B13" s="2" t="s">
        <v>321</v>
      </c>
      <c r="C13" s="236" t="s">
        <v>333</v>
      </c>
      <c r="D13" s="93" t="s">
        <v>288</v>
      </c>
      <c r="E13" s="2" t="s">
        <v>322</v>
      </c>
      <c r="F13" s="2" t="s">
        <v>7</v>
      </c>
      <c r="G13" s="186">
        <f>G12:H12</f>
        <v>2.63E-2</v>
      </c>
      <c r="H13" s="186">
        <f>H12</f>
        <v>0.1845</v>
      </c>
      <c r="I13" s="187">
        <v>45199</v>
      </c>
      <c r="J13" s="187">
        <v>45214</v>
      </c>
      <c r="K13" s="187">
        <v>44201</v>
      </c>
      <c r="L13" s="188" t="s">
        <v>323</v>
      </c>
      <c r="M13" s="79">
        <v>62030.12</v>
      </c>
      <c r="N13" s="67"/>
      <c r="O13" s="67">
        <f t="shared" si="0"/>
        <v>62030.12</v>
      </c>
      <c r="P13" s="66"/>
      <c r="Q13" s="67">
        <v>60458.52</v>
      </c>
      <c r="R13" s="67"/>
      <c r="S13" s="68">
        <f t="shared" si="1"/>
        <v>60458.52</v>
      </c>
    </row>
    <row r="14" spans="1:20" ht="27" customHeight="1" x14ac:dyDescent="0.25">
      <c r="B14" s="2" t="s">
        <v>324</v>
      </c>
      <c r="C14" s="236" t="s">
        <v>333</v>
      </c>
      <c r="D14" s="93" t="s">
        <v>288</v>
      </c>
      <c r="E14" s="2" t="s">
        <v>329</v>
      </c>
      <c r="F14" s="2" t="s">
        <v>7</v>
      </c>
      <c r="G14" s="186">
        <f>G13:H13</f>
        <v>2.63E-2</v>
      </c>
      <c r="H14" s="186">
        <f>H13</f>
        <v>0.1845</v>
      </c>
      <c r="I14" s="187">
        <v>45199</v>
      </c>
      <c r="J14" s="187">
        <v>45214</v>
      </c>
      <c r="K14" s="187">
        <v>44201</v>
      </c>
      <c r="L14" s="188" t="s">
        <v>325</v>
      </c>
      <c r="M14" s="79">
        <v>23288</v>
      </c>
      <c r="N14" s="67"/>
      <c r="O14" s="67">
        <f t="shared" si="0"/>
        <v>23288</v>
      </c>
      <c r="P14" s="66"/>
      <c r="Q14" s="67"/>
      <c r="R14" s="67"/>
      <c r="S14" s="68">
        <f t="shared" si="1"/>
        <v>0</v>
      </c>
    </row>
    <row r="15" spans="1:20" ht="27" customHeight="1" x14ac:dyDescent="0.25">
      <c r="B15" s="2" t="s">
        <v>326</v>
      </c>
      <c r="C15" s="236" t="s">
        <v>333</v>
      </c>
      <c r="D15" s="93" t="s">
        <v>288</v>
      </c>
      <c r="E15" s="2" t="s">
        <v>330</v>
      </c>
      <c r="F15" s="2" t="s">
        <v>7</v>
      </c>
      <c r="G15" s="186">
        <f>G14:H14</f>
        <v>2.63E-2</v>
      </c>
      <c r="H15" s="186">
        <f>H14</f>
        <v>0.1845</v>
      </c>
      <c r="I15" s="187">
        <v>45199</v>
      </c>
      <c r="J15" s="187">
        <v>45214</v>
      </c>
      <c r="K15" s="187">
        <v>44201</v>
      </c>
      <c r="L15" s="188" t="s">
        <v>323</v>
      </c>
      <c r="M15" s="79">
        <v>16282.91</v>
      </c>
      <c r="N15" s="67"/>
      <c r="O15" s="67">
        <f t="shared" si="0"/>
        <v>16282.91</v>
      </c>
      <c r="P15" s="66"/>
      <c r="Q15" s="67">
        <v>16282.91</v>
      </c>
      <c r="R15" s="67"/>
      <c r="S15" s="68">
        <f t="shared" si="1"/>
        <v>16282.91</v>
      </c>
    </row>
    <row r="16" spans="1:20" ht="27" customHeight="1" x14ac:dyDescent="0.25">
      <c r="B16" s="2" t="s">
        <v>370</v>
      </c>
      <c r="C16" s="236" t="s">
        <v>333</v>
      </c>
      <c r="D16" s="93" t="s">
        <v>288</v>
      </c>
      <c r="E16" s="2" t="s">
        <v>331</v>
      </c>
      <c r="F16" s="2" t="s">
        <v>7</v>
      </c>
      <c r="G16" s="186">
        <f t="shared" ref="G16" si="2">G15:H15</f>
        <v>2.63E-2</v>
      </c>
      <c r="H16" s="186">
        <f t="shared" ref="H16" si="3">H15</f>
        <v>0.1845</v>
      </c>
      <c r="I16" s="187">
        <v>45199</v>
      </c>
      <c r="J16" s="187">
        <v>45214</v>
      </c>
      <c r="K16" s="187">
        <v>44201</v>
      </c>
      <c r="L16" s="188" t="s">
        <v>325</v>
      </c>
      <c r="M16" s="79">
        <v>77072.429999999993</v>
      </c>
      <c r="N16" s="67"/>
      <c r="O16" s="67">
        <f t="shared" si="0"/>
        <v>77072.429999999993</v>
      </c>
      <c r="P16" s="66"/>
      <c r="Q16" s="67"/>
      <c r="R16" s="67"/>
      <c r="S16" s="68">
        <f t="shared" si="1"/>
        <v>0</v>
      </c>
    </row>
    <row r="17" spans="2:19" ht="27" customHeight="1" x14ac:dyDescent="0.25">
      <c r="B17" s="2" t="s">
        <v>287</v>
      </c>
      <c r="C17" s="236" t="s">
        <v>333</v>
      </c>
      <c r="D17" s="93" t="s">
        <v>288</v>
      </c>
      <c r="E17" s="2" t="s">
        <v>289</v>
      </c>
      <c r="F17" s="2" t="s">
        <v>7</v>
      </c>
      <c r="G17" s="186">
        <v>2.63E-2</v>
      </c>
      <c r="H17" s="186">
        <v>0.1845</v>
      </c>
      <c r="I17" s="187">
        <v>45199</v>
      </c>
      <c r="J17" s="187">
        <v>45199</v>
      </c>
      <c r="K17" s="187">
        <v>44201</v>
      </c>
      <c r="L17" s="188" t="s">
        <v>320</v>
      </c>
      <c r="M17" s="79">
        <v>142669.29</v>
      </c>
      <c r="N17" s="67"/>
      <c r="O17" s="67">
        <f t="shared" si="0"/>
        <v>142669.29</v>
      </c>
      <c r="P17" s="66"/>
      <c r="Q17" s="67">
        <f>82823.55+55838.6+4007.14</f>
        <v>142669.29</v>
      </c>
      <c r="R17" s="67"/>
      <c r="S17" s="68">
        <f t="shared" si="1"/>
        <v>142669.29</v>
      </c>
    </row>
    <row r="18" spans="2:19" ht="27" customHeight="1" x14ac:dyDescent="0.25">
      <c r="B18" s="2" t="s">
        <v>352</v>
      </c>
      <c r="C18" s="236" t="s">
        <v>353</v>
      </c>
      <c r="D18" s="93" t="s">
        <v>354</v>
      </c>
      <c r="E18" s="2" t="s">
        <v>355</v>
      </c>
      <c r="F18" s="2" t="s">
        <v>7</v>
      </c>
      <c r="G18" s="186">
        <v>2.63E-2</v>
      </c>
      <c r="H18" s="186">
        <v>0.1845</v>
      </c>
      <c r="I18" s="187">
        <v>45565</v>
      </c>
      <c r="J18" s="187">
        <v>45580</v>
      </c>
      <c r="K18" s="187">
        <v>44279</v>
      </c>
      <c r="L18" s="188" t="s">
        <v>356</v>
      </c>
      <c r="M18" s="79">
        <v>557817.57999999996</v>
      </c>
      <c r="N18" s="67"/>
      <c r="O18" s="67">
        <f t="shared" si="0"/>
        <v>557817.57999999996</v>
      </c>
      <c r="P18" s="66"/>
      <c r="Q18" s="67"/>
      <c r="R18" s="67"/>
      <c r="S18" s="68">
        <f t="shared" si="1"/>
        <v>0</v>
      </c>
    </row>
    <row r="19" spans="2:19" ht="27" customHeight="1" x14ac:dyDescent="0.25">
      <c r="B19" s="2" t="s">
        <v>357</v>
      </c>
      <c r="C19" s="236" t="s">
        <v>353</v>
      </c>
      <c r="D19" s="93" t="s">
        <v>354</v>
      </c>
      <c r="E19" s="2" t="s">
        <v>358</v>
      </c>
      <c r="F19" s="2" t="s">
        <v>7</v>
      </c>
      <c r="G19" s="186">
        <v>2.63E-2</v>
      </c>
      <c r="H19" s="186">
        <v>0.1845</v>
      </c>
      <c r="I19" s="187">
        <v>45565</v>
      </c>
      <c r="J19" s="187">
        <v>45580</v>
      </c>
      <c r="K19" s="187">
        <v>44279</v>
      </c>
      <c r="L19" s="188" t="s">
        <v>356</v>
      </c>
      <c r="M19" s="79">
        <v>139454.39000000001</v>
      </c>
      <c r="N19" s="67"/>
      <c r="O19" s="67">
        <f t="shared" si="0"/>
        <v>139454.39000000001</v>
      </c>
      <c r="P19" s="66"/>
      <c r="Q19" s="67"/>
      <c r="R19" s="67"/>
      <c r="S19" s="68">
        <f t="shared" si="1"/>
        <v>0</v>
      </c>
    </row>
    <row r="20" spans="2:19" ht="27" customHeight="1" x14ac:dyDescent="0.25">
      <c r="B20" s="2" t="s">
        <v>363</v>
      </c>
      <c r="C20" s="236" t="s">
        <v>333</v>
      </c>
      <c r="D20" s="93" t="s">
        <v>288</v>
      </c>
      <c r="E20" s="2" t="s">
        <v>364</v>
      </c>
      <c r="F20" s="2" t="s">
        <v>7</v>
      </c>
      <c r="G20" s="186">
        <v>2.63E-2</v>
      </c>
      <c r="H20" s="186">
        <v>0.1845</v>
      </c>
      <c r="I20" s="187">
        <v>45199</v>
      </c>
      <c r="J20" s="187">
        <v>45214</v>
      </c>
      <c r="K20" s="187">
        <v>44201</v>
      </c>
      <c r="L20" s="188" t="s">
        <v>365</v>
      </c>
      <c r="M20" s="79">
        <v>1312.94</v>
      </c>
      <c r="N20" s="67"/>
      <c r="O20" s="67">
        <f t="shared" si="0"/>
        <v>1312.94</v>
      </c>
      <c r="P20" s="66"/>
      <c r="Q20" s="67"/>
      <c r="R20" s="67"/>
      <c r="S20" s="68"/>
    </row>
    <row r="21" spans="2:19" ht="27" customHeight="1" x14ac:dyDescent="0.25">
      <c r="B21" s="2" t="s">
        <v>366</v>
      </c>
      <c r="C21" s="236" t="s">
        <v>333</v>
      </c>
      <c r="D21" s="93" t="s">
        <v>367</v>
      </c>
      <c r="E21" s="2" t="s">
        <v>368</v>
      </c>
      <c r="F21" s="2" t="s">
        <v>7</v>
      </c>
      <c r="G21" s="186">
        <v>2.63E-2</v>
      </c>
      <c r="H21" s="186">
        <v>0.1845</v>
      </c>
      <c r="I21" s="187">
        <v>45199</v>
      </c>
      <c r="J21" s="187">
        <v>45214</v>
      </c>
      <c r="K21" s="187">
        <v>44201</v>
      </c>
      <c r="L21" s="188" t="s">
        <v>369</v>
      </c>
      <c r="M21" s="79">
        <v>14832.2</v>
      </c>
      <c r="N21" s="67"/>
      <c r="O21" s="67">
        <f t="shared" si="0"/>
        <v>14832.2</v>
      </c>
      <c r="P21" s="66"/>
      <c r="Q21" s="67"/>
      <c r="R21" s="67"/>
      <c r="S21" s="68"/>
    </row>
    <row r="22" spans="2:19" x14ac:dyDescent="0.25">
      <c r="C22" s="93"/>
      <c r="D22" s="93"/>
      <c r="G22" s="186"/>
      <c r="H22" s="186"/>
      <c r="I22" s="187"/>
      <c r="J22" s="187"/>
      <c r="K22" s="187"/>
      <c r="L22" s="188"/>
      <c r="M22" s="25"/>
      <c r="N22" s="25"/>
      <c r="O22" s="25"/>
      <c r="P22" s="29"/>
      <c r="Q22" s="25"/>
      <c r="R22" s="25"/>
      <c r="S22" s="26"/>
    </row>
    <row r="23" spans="2:19" ht="23.25" customHeight="1" x14ac:dyDescent="0.25">
      <c r="C23" s="92"/>
      <c r="D23" s="92"/>
      <c r="G23" s="202"/>
      <c r="H23" s="186"/>
      <c r="I23" s="187"/>
      <c r="J23" s="187"/>
      <c r="K23" s="187"/>
      <c r="L23" s="205" t="s">
        <v>38</v>
      </c>
      <c r="M23" s="66">
        <f>SUM(M7:M22)</f>
        <v>1120815.55</v>
      </c>
      <c r="N23" s="66">
        <f>SUM(N7:N22)</f>
        <v>0</v>
      </c>
      <c r="O23" s="66">
        <f>SUM(O7:O22)</f>
        <v>1120815.55</v>
      </c>
      <c r="Q23" s="66">
        <f>SUM(Q7:Q22)</f>
        <v>300847.51</v>
      </c>
      <c r="R23" s="66">
        <f>SUM(R7:R22)</f>
        <v>0</v>
      </c>
      <c r="S23" s="68">
        <f>SUM(S7:S22)</f>
        <v>300847.51</v>
      </c>
    </row>
    <row r="24" spans="2:19" x14ac:dyDescent="0.25">
      <c r="C24" s="92"/>
      <c r="D24" s="92"/>
      <c r="I24" s="116"/>
      <c r="J24" s="116"/>
      <c r="K24" s="116"/>
      <c r="L24" s="5"/>
      <c r="M24" s="66"/>
      <c r="N24" s="66"/>
      <c r="O24" s="66"/>
      <c r="Q24" s="66"/>
      <c r="R24" s="66"/>
      <c r="S24" s="68"/>
    </row>
    <row r="25" spans="2:19" x14ac:dyDescent="0.25">
      <c r="C25" s="92"/>
      <c r="D25" s="92"/>
      <c r="L25" s="5"/>
      <c r="M25" s="66"/>
      <c r="N25" s="66"/>
      <c r="O25" s="66"/>
      <c r="Q25" s="66"/>
      <c r="R25" s="66"/>
      <c r="S25" s="68"/>
    </row>
    <row r="26" spans="2:19" x14ac:dyDescent="0.25">
      <c r="C26" s="92"/>
      <c r="D26" s="92"/>
      <c r="L26" s="5"/>
      <c r="M26" s="66"/>
      <c r="N26" s="66"/>
      <c r="O26" s="66"/>
      <c r="Q26" s="66"/>
      <c r="R26" s="66"/>
      <c r="S26" s="68"/>
    </row>
    <row r="27" spans="2:19" x14ac:dyDescent="0.25">
      <c r="B27" s="8" t="s">
        <v>125</v>
      </c>
      <c r="C27" s="92"/>
      <c r="D27" s="92"/>
      <c r="L27" s="5"/>
      <c r="M27" s="66"/>
      <c r="N27" s="66"/>
      <c r="O27" s="66"/>
      <c r="Q27" s="66"/>
      <c r="R27" s="66"/>
      <c r="S27" s="68"/>
    </row>
    <row r="28" spans="2:19" ht="31.5" customHeight="1" x14ac:dyDescent="0.25">
      <c r="B28" s="341" t="s">
        <v>126</v>
      </c>
      <c r="C28" s="341"/>
      <c r="D28" s="341"/>
      <c r="E28" s="341"/>
      <c r="F28" s="341"/>
      <c r="G28" s="117"/>
      <c r="H28" s="117"/>
      <c r="I28" s="111"/>
      <c r="L28" s="5"/>
      <c r="M28" s="66"/>
      <c r="N28" s="66"/>
      <c r="O28" s="66"/>
      <c r="Q28" s="66"/>
      <c r="R28" s="66"/>
      <c r="S28" s="68"/>
    </row>
    <row r="29" spans="2:19" x14ac:dyDescent="0.25">
      <c r="C29" s="92"/>
      <c r="D29" s="92"/>
      <c r="L29" s="5"/>
      <c r="M29" s="66"/>
      <c r="N29" s="66"/>
      <c r="O29" s="66"/>
      <c r="Q29" s="66"/>
      <c r="R29" s="66"/>
      <c r="S29" s="68"/>
    </row>
    <row r="30" spans="2:19" ht="47.25" customHeight="1" x14ac:dyDescent="0.25">
      <c r="B30" s="341" t="s">
        <v>129</v>
      </c>
      <c r="C30" s="341"/>
      <c r="D30" s="341"/>
      <c r="E30" s="341"/>
      <c r="F30" s="341"/>
      <c r="G30" s="117"/>
      <c r="H30" s="117"/>
      <c r="I30" s="111"/>
      <c r="L30" s="5"/>
      <c r="M30" s="66"/>
      <c r="N30" s="66"/>
      <c r="O30" s="66"/>
      <c r="Q30" s="66"/>
      <c r="R30" s="66"/>
      <c r="S30" s="68"/>
    </row>
    <row r="31" spans="2:19" x14ac:dyDescent="0.25">
      <c r="B31" s="108"/>
      <c r="C31" s="108"/>
      <c r="D31" s="108"/>
      <c r="E31" s="108"/>
      <c r="F31" s="108"/>
      <c r="G31" s="117"/>
      <c r="H31" s="117"/>
      <c r="I31" s="111"/>
      <c r="L31" s="5"/>
      <c r="M31" s="66"/>
      <c r="N31" s="66"/>
      <c r="O31" s="66"/>
      <c r="Q31" s="66"/>
      <c r="R31" s="66"/>
      <c r="S31" s="68"/>
    </row>
    <row r="32" spans="2:19" ht="30" customHeight="1" x14ac:dyDescent="0.25">
      <c r="B32" s="341" t="s">
        <v>160</v>
      </c>
      <c r="C32" s="341"/>
      <c r="D32" s="341"/>
      <c r="E32" s="341"/>
      <c r="F32" s="341"/>
      <c r="G32" s="193"/>
      <c r="H32" s="193"/>
      <c r="I32" s="193"/>
      <c r="L32" s="5"/>
      <c r="M32" s="66"/>
      <c r="N32" s="66"/>
      <c r="O32" s="66"/>
      <c r="Q32" s="66"/>
      <c r="R32" s="66"/>
      <c r="S32" s="68"/>
    </row>
    <row r="33" spans="2:20" ht="15" customHeight="1" x14ac:dyDescent="0.25">
      <c r="B33" s="347" t="s">
        <v>159</v>
      </c>
      <c r="C33" s="341"/>
      <c r="D33" s="341"/>
      <c r="E33" s="341"/>
      <c r="F33" s="341"/>
      <c r="G33" s="193"/>
      <c r="H33" s="193"/>
      <c r="I33" s="193"/>
      <c r="L33" s="5"/>
      <c r="M33" s="66"/>
      <c r="N33" s="66"/>
      <c r="O33" s="66"/>
      <c r="Q33" s="66"/>
      <c r="R33" s="66"/>
      <c r="S33" s="68"/>
    </row>
    <row r="34" spans="2:20" ht="15" customHeight="1" x14ac:dyDescent="0.25">
      <c r="B34" s="195"/>
      <c r="C34" s="195"/>
      <c r="D34" s="195"/>
      <c r="E34" s="195"/>
      <c r="F34" s="195"/>
      <c r="G34" s="195"/>
      <c r="H34" s="195"/>
      <c r="I34" s="195"/>
      <c r="L34" s="5"/>
      <c r="M34" s="66"/>
      <c r="N34" s="66"/>
      <c r="O34" s="66"/>
      <c r="Q34" s="66"/>
      <c r="R34" s="66"/>
      <c r="S34" s="68"/>
    </row>
    <row r="35" spans="2:20" x14ac:dyDescent="0.25">
      <c r="B35" s="7" t="s">
        <v>109</v>
      </c>
      <c r="C35" s="101" t="s">
        <v>112</v>
      </c>
      <c r="D35" s="101" t="s">
        <v>113</v>
      </c>
      <c r="E35" s="108"/>
      <c r="F35" s="108"/>
      <c r="G35" s="117"/>
      <c r="H35" s="117"/>
      <c r="I35" s="111"/>
      <c r="L35" s="5"/>
      <c r="M35" s="66"/>
      <c r="N35" s="66"/>
      <c r="O35" s="66"/>
      <c r="Q35" s="66"/>
      <c r="R35" s="66"/>
      <c r="S35" s="68"/>
    </row>
    <row r="36" spans="2:20" x14ac:dyDescent="0.25">
      <c r="B36" s="19" t="s">
        <v>111</v>
      </c>
      <c r="C36" s="92" t="s">
        <v>300</v>
      </c>
      <c r="D36" s="92" t="s">
        <v>303</v>
      </c>
      <c r="L36" s="5"/>
      <c r="M36" s="66"/>
      <c r="N36" s="66"/>
      <c r="O36" s="66"/>
      <c r="Q36" s="66"/>
      <c r="R36" s="66"/>
      <c r="S36" s="68"/>
    </row>
    <row r="37" spans="2:20" x14ac:dyDescent="0.25">
      <c r="B37" s="2" t="s">
        <v>230</v>
      </c>
      <c r="C37" s="92" t="s">
        <v>135</v>
      </c>
      <c r="D37" s="92" t="s">
        <v>147</v>
      </c>
      <c r="L37" s="5"/>
      <c r="M37" s="66"/>
      <c r="N37" s="66"/>
      <c r="O37" s="66"/>
      <c r="Q37" s="66"/>
      <c r="R37" s="66"/>
      <c r="S37" s="68"/>
    </row>
    <row r="38" spans="2:20" x14ac:dyDescent="0.25">
      <c r="B38" s="2" t="s">
        <v>275</v>
      </c>
      <c r="C38" s="92" t="s">
        <v>135</v>
      </c>
      <c r="D38" s="92" t="s">
        <v>147</v>
      </c>
      <c r="L38" s="5"/>
      <c r="M38" s="66"/>
      <c r="N38" s="66"/>
      <c r="O38" s="66"/>
      <c r="Q38" s="66"/>
      <c r="R38" s="66"/>
      <c r="S38" s="68"/>
    </row>
    <row r="39" spans="2:20" x14ac:dyDescent="0.25">
      <c r="B39" s="2" t="s">
        <v>279</v>
      </c>
      <c r="C39" s="92" t="s">
        <v>135</v>
      </c>
      <c r="D39" s="92" t="s">
        <v>147</v>
      </c>
      <c r="L39" s="5"/>
      <c r="M39" s="66"/>
      <c r="N39" s="66"/>
      <c r="O39" s="66"/>
      <c r="Q39" s="66"/>
      <c r="R39" s="66"/>
      <c r="S39" s="68"/>
    </row>
    <row r="40" spans="2:20" x14ac:dyDescent="0.25">
      <c r="B40" s="2" t="s">
        <v>281</v>
      </c>
      <c r="C40" s="92" t="s">
        <v>135</v>
      </c>
      <c r="D40" s="92" t="s">
        <v>147</v>
      </c>
      <c r="L40" s="5"/>
      <c r="M40" s="66"/>
      <c r="N40" s="66"/>
      <c r="O40" s="66"/>
      <c r="Q40" s="66"/>
      <c r="R40" s="66"/>
      <c r="S40" s="68"/>
    </row>
    <row r="41" spans="2:20" x14ac:dyDescent="0.25">
      <c r="B41" s="2" t="s">
        <v>286</v>
      </c>
      <c r="C41" s="92" t="s">
        <v>135</v>
      </c>
      <c r="D41" s="92" t="s">
        <v>147</v>
      </c>
      <c r="L41" s="5"/>
      <c r="M41" s="66"/>
      <c r="N41" s="66"/>
      <c r="O41" s="66"/>
      <c r="Q41" s="66"/>
      <c r="R41" s="66"/>
      <c r="S41" s="68"/>
    </row>
    <row r="42" spans="2:20" x14ac:dyDescent="0.25">
      <c r="C42" s="92"/>
      <c r="D42" s="92"/>
      <c r="L42" s="5"/>
      <c r="M42" s="66"/>
      <c r="N42" s="66"/>
      <c r="O42" s="66"/>
      <c r="Q42" s="66"/>
      <c r="R42" s="66"/>
      <c r="S42" s="68"/>
    </row>
    <row r="43" spans="2:20" x14ac:dyDescent="0.25">
      <c r="B43" s="348" t="s">
        <v>298</v>
      </c>
      <c r="C43" s="336"/>
      <c r="D43" s="336"/>
      <c r="E43" s="336"/>
      <c r="F43" s="336"/>
      <c r="G43" s="336"/>
      <c r="H43" s="336"/>
      <c r="L43" s="5"/>
      <c r="M43" s="66"/>
      <c r="N43" s="66"/>
      <c r="O43" s="66"/>
      <c r="Q43" s="66"/>
      <c r="R43" s="66"/>
      <c r="S43" s="68"/>
    </row>
    <row r="44" spans="2:20" x14ac:dyDescent="0.25">
      <c r="B44" s="267" t="s">
        <v>299</v>
      </c>
      <c r="C44" s="92"/>
      <c r="D44" s="92"/>
      <c r="L44" s="5"/>
      <c r="M44" s="66"/>
      <c r="N44" s="66"/>
      <c r="O44" s="66"/>
      <c r="Q44" s="66"/>
      <c r="R44" s="66"/>
      <c r="S44" s="68"/>
    </row>
    <row r="45" spans="2:20" x14ac:dyDescent="0.25">
      <c r="B45" s="192"/>
      <c r="C45" s="92"/>
      <c r="D45" s="92"/>
      <c r="L45" s="5"/>
      <c r="M45" s="66"/>
      <c r="N45" s="66"/>
      <c r="O45" s="66"/>
      <c r="Q45" s="66"/>
      <c r="R45" s="66"/>
      <c r="S45" s="68"/>
    </row>
    <row r="46" spans="2:20" x14ac:dyDescent="0.25">
      <c r="B46" s="109"/>
      <c r="C46" s="109"/>
      <c r="D46" s="109"/>
      <c r="E46" s="109"/>
      <c r="F46" s="109"/>
      <c r="G46" s="109"/>
      <c r="H46" s="109"/>
      <c r="I46" s="109"/>
      <c r="J46" s="109"/>
      <c r="K46" s="109"/>
      <c r="L46" s="109"/>
      <c r="M46" s="109"/>
      <c r="N46" s="109"/>
      <c r="O46" s="109"/>
      <c r="P46" s="109"/>
      <c r="Q46" s="166" t="s">
        <v>90</v>
      </c>
      <c r="R46" s="163"/>
      <c r="S46" s="164"/>
    </row>
    <row r="47" spans="2:20" x14ac:dyDescent="0.25">
      <c r="B47" s="17" t="s">
        <v>39</v>
      </c>
      <c r="C47" s="157" t="s">
        <v>2</v>
      </c>
      <c r="D47" s="157"/>
      <c r="E47" s="157" t="s">
        <v>34</v>
      </c>
      <c r="F47" s="157" t="s">
        <v>35</v>
      </c>
      <c r="G47" s="157"/>
      <c r="H47" s="157"/>
      <c r="I47" s="157"/>
      <c r="J47" s="157"/>
      <c r="K47" s="157"/>
      <c r="L47" s="157" t="s">
        <v>36</v>
      </c>
      <c r="M47" s="157" t="s">
        <v>37</v>
      </c>
      <c r="N47" s="47"/>
      <c r="O47" s="47"/>
      <c r="P47" s="47"/>
      <c r="Q47" s="54" t="s">
        <v>88</v>
      </c>
      <c r="R47" s="52"/>
      <c r="S47" s="53"/>
      <c r="T47" s="51"/>
    </row>
    <row r="48" spans="2:20" x14ac:dyDescent="0.25">
      <c r="B48" s="63"/>
      <c r="C48" s="9"/>
      <c r="D48" s="9"/>
      <c r="E48" s="9"/>
      <c r="F48" s="9"/>
      <c r="G48" s="9"/>
      <c r="H48" s="9"/>
      <c r="I48" s="9"/>
      <c r="J48" s="9"/>
      <c r="K48" s="9"/>
      <c r="L48" s="9"/>
      <c r="M48" s="9"/>
      <c r="N48" s="45"/>
      <c r="O48" s="45"/>
      <c r="P48" s="45"/>
      <c r="Q48" s="59"/>
      <c r="R48" s="50"/>
      <c r="S48" s="50"/>
      <c r="T48" s="51"/>
    </row>
    <row r="49" spans="2:20" x14ac:dyDescent="0.25">
      <c r="B49" s="63"/>
      <c r="C49" s="9"/>
      <c r="D49" s="9"/>
      <c r="E49" s="9"/>
      <c r="F49" s="9"/>
      <c r="G49" s="9"/>
      <c r="H49" s="9"/>
      <c r="I49" s="9"/>
      <c r="J49" s="9"/>
      <c r="K49" s="9"/>
      <c r="L49" s="9"/>
      <c r="M49" s="9"/>
      <c r="N49" s="45"/>
      <c r="O49" s="45"/>
      <c r="P49" s="45"/>
      <c r="R49" s="51"/>
      <c r="S49" s="51"/>
      <c r="T49" s="51"/>
    </row>
    <row r="50" spans="2:20" x14ac:dyDescent="0.25">
      <c r="B50" s="12"/>
      <c r="C50" s="13"/>
      <c r="D50" s="13"/>
      <c r="E50" s="41"/>
      <c r="F50" s="15"/>
      <c r="G50" s="15"/>
      <c r="H50" s="15"/>
      <c r="I50" s="15"/>
      <c r="J50" s="15"/>
      <c r="K50" s="15"/>
      <c r="L50" s="16"/>
      <c r="M50" s="20"/>
      <c r="N50" s="18"/>
      <c r="O50" s="18"/>
      <c r="P50" s="18"/>
      <c r="T50" s="51"/>
    </row>
    <row r="51" spans="2:20" x14ac:dyDescent="0.25">
      <c r="B51" s="12"/>
      <c r="C51" s="13"/>
      <c r="D51" s="13"/>
      <c r="E51" s="41"/>
      <c r="F51" s="15"/>
      <c r="G51" s="15"/>
      <c r="H51" s="15"/>
      <c r="I51" s="15"/>
      <c r="J51" s="15"/>
      <c r="K51" s="15"/>
      <c r="L51" s="16"/>
      <c r="M51" s="20"/>
      <c r="N51" s="18"/>
      <c r="O51" s="18"/>
      <c r="P51" s="18"/>
      <c r="T51" s="51"/>
    </row>
    <row r="52" spans="2:20" ht="15" customHeight="1" x14ac:dyDescent="0.25">
      <c r="B52" s="12"/>
      <c r="C52" s="13"/>
      <c r="D52" s="13"/>
      <c r="E52" s="41"/>
      <c r="F52" s="15"/>
      <c r="G52" s="15"/>
      <c r="H52" s="15"/>
      <c r="I52" s="15"/>
      <c r="J52" s="15"/>
      <c r="K52" s="15"/>
      <c r="L52" s="16"/>
      <c r="M52" s="20"/>
      <c r="N52" s="18"/>
      <c r="O52" s="18"/>
      <c r="P52" s="18"/>
    </row>
    <row r="53" spans="2:20" ht="15" customHeight="1" x14ac:dyDescent="0.25">
      <c r="B53" s="12"/>
      <c r="C53" s="13"/>
      <c r="D53" s="13"/>
      <c r="E53" s="41"/>
      <c r="F53" s="15"/>
      <c r="G53" s="15"/>
      <c r="H53" s="15"/>
      <c r="I53" s="15"/>
      <c r="J53" s="15"/>
      <c r="K53" s="15"/>
      <c r="L53" s="16"/>
      <c r="M53" s="20"/>
      <c r="N53" s="18"/>
      <c r="O53" s="18"/>
      <c r="P53" s="18"/>
    </row>
    <row r="54" spans="2:20" ht="15" customHeight="1" x14ac:dyDescent="0.25">
      <c r="B54" s="12"/>
      <c r="C54" s="13"/>
      <c r="D54" s="13"/>
      <c r="E54" s="41"/>
      <c r="F54" s="15"/>
      <c r="G54" s="15"/>
      <c r="H54" s="15"/>
      <c r="I54" s="15"/>
      <c r="J54" s="15"/>
      <c r="K54" s="15"/>
      <c r="L54" s="16"/>
      <c r="M54" s="20"/>
      <c r="N54" s="18"/>
      <c r="O54" s="18"/>
      <c r="P54" s="18"/>
    </row>
    <row r="55" spans="2:20" ht="15" customHeight="1" x14ac:dyDescent="0.25">
      <c r="B55" s="36"/>
      <c r="C55" s="40"/>
      <c r="D55" s="40"/>
      <c r="E55" s="41"/>
      <c r="F55" s="38"/>
      <c r="G55" s="38"/>
      <c r="H55" s="38"/>
      <c r="I55" s="38"/>
      <c r="J55" s="38"/>
      <c r="K55" s="38"/>
      <c r="L55" s="33"/>
      <c r="M55" s="31"/>
      <c r="N55" s="99"/>
      <c r="O55" s="99"/>
      <c r="P55" s="29"/>
      <c r="Q55" s="309" t="s">
        <v>316</v>
      </c>
      <c r="R55" s="309"/>
      <c r="S55" s="310">
        <f>S23</f>
        <v>300847.51</v>
      </c>
    </row>
    <row r="56" spans="2:20" x14ac:dyDescent="0.25">
      <c r="B56" s="36"/>
      <c r="C56" s="40"/>
      <c r="D56" s="40"/>
      <c r="E56" s="41"/>
      <c r="F56" s="38"/>
      <c r="G56" s="38"/>
      <c r="H56" s="38"/>
      <c r="I56" s="38"/>
      <c r="J56" s="38"/>
      <c r="K56" s="38"/>
      <c r="L56" s="33"/>
      <c r="M56" s="31"/>
      <c r="N56" s="99"/>
      <c r="O56" s="99"/>
      <c r="P56" s="29"/>
    </row>
    <row r="57" spans="2:20" x14ac:dyDescent="0.25">
      <c r="B57" s="36"/>
      <c r="C57" s="40"/>
      <c r="D57" s="40"/>
      <c r="E57" s="41"/>
      <c r="F57" s="38"/>
      <c r="G57" s="38"/>
      <c r="H57" s="38"/>
      <c r="I57" s="38"/>
      <c r="J57" s="38"/>
      <c r="K57" s="38"/>
      <c r="L57" s="33"/>
      <c r="M57" s="31"/>
      <c r="N57" s="99"/>
      <c r="O57" s="99"/>
      <c r="P57" s="29"/>
    </row>
    <row r="58" spans="2:20" ht="16.5" customHeight="1" x14ac:dyDescent="0.25">
      <c r="B58" s="36"/>
      <c r="C58" s="40"/>
      <c r="D58" s="40"/>
      <c r="E58" s="41"/>
      <c r="F58" s="38"/>
      <c r="G58" s="38"/>
      <c r="H58" s="38"/>
      <c r="I58" s="38"/>
      <c r="J58" s="38"/>
      <c r="K58" s="38"/>
      <c r="L58" s="39"/>
      <c r="M58" s="20"/>
      <c r="N58" s="99"/>
      <c r="O58" s="99"/>
      <c r="P58" s="29"/>
    </row>
    <row r="59" spans="2:20" ht="15" hidden="1" customHeight="1" x14ac:dyDescent="0.25"/>
    <row r="60" spans="2:20" ht="15" customHeight="1" x14ac:dyDescent="0.25">
      <c r="E60" s="21"/>
      <c r="F60" s="102"/>
      <c r="G60" s="102"/>
      <c r="H60" s="102"/>
      <c r="I60" s="102"/>
      <c r="J60" s="102"/>
      <c r="K60" s="102"/>
    </row>
    <row r="63" spans="2:20" ht="15" customHeight="1" x14ac:dyDescent="0.25"/>
  </sheetData>
  <mergeCells count="7">
    <mergeCell ref="B43:H43"/>
    <mergeCell ref="B33:F33"/>
    <mergeCell ref="Q1:S1"/>
    <mergeCell ref="Q2:S2"/>
    <mergeCell ref="B28:F28"/>
    <mergeCell ref="B30:F30"/>
    <mergeCell ref="B32:F32"/>
  </mergeCells>
  <hyperlinks>
    <hyperlink ref="B33" r:id="rId1"/>
  </hyperlinks>
  <printOptions horizontalCentered="1" gridLines="1"/>
  <pageMargins left="0" right="0" top="0.75" bottom="0.75" header="0.3" footer="0.3"/>
  <pageSetup scale="54" orientation="landscape" horizontalDpi="1200" verticalDpi="1200"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8"/>
  <sheetViews>
    <sheetView topLeftCell="C1" zoomScale="90" zoomScaleNormal="90" workbookViewId="0">
      <selection activeCell="Q9" sqref="Q9"/>
    </sheetView>
  </sheetViews>
  <sheetFormatPr defaultColWidth="9.140625" defaultRowHeight="15" x14ac:dyDescent="0.25"/>
  <cols>
    <col min="1" max="1" width="9.140625" style="2" hidden="1" customWidth="1"/>
    <col min="2" max="2" width="59.42578125" style="2" customWidth="1"/>
    <col min="3" max="3" width="26.28515625" style="2" customWidth="1"/>
    <col min="4" max="4" width="13.7109375" style="2" customWidth="1"/>
    <col min="5" max="5" width="17.28515625" style="2" customWidth="1"/>
    <col min="6" max="6" width="22" style="2" customWidth="1"/>
    <col min="7" max="7" width="10.28515625" style="2" customWidth="1"/>
    <col min="8" max="8" width="12.85546875" style="2" customWidth="1"/>
    <col min="9" max="9" width="13.42578125" style="2" customWidth="1"/>
    <col min="10" max="10" width="15.7109375" style="2" customWidth="1"/>
    <col min="11" max="11" width="8.85546875" style="2" customWidth="1"/>
    <col min="12" max="12" width="18.425781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6.7109375" style="2" customWidth="1"/>
    <col min="20" max="16384" width="9.140625" style="2"/>
  </cols>
  <sheetData>
    <row r="1" spans="1:20" ht="18" customHeight="1" x14ac:dyDescent="0.25">
      <c r="B1" s="1" t="s">
        <v>20</v>
      </c>
      <c r="Q1" s="338" t="s">
        <v>296</v>
      </c>
      <c r="R1" s="338"/>
      <c r="S1" s="338"/>
    </row>
    <row r="2" spans="1:20" ht="18" customHeight="1" x14ac:dyDescent="0.25">
      <c r="B2" s="88" t="s">
        <v>148</v>
      </c>
      <c r="C2" s="182">
        <v>44742</v>
      </c>
      <c r="M2" s="71"/>
      <c r="N2" s="71"/>
      <c r="P2" s="29"/>
      <c r="Q2" s="337" t="s">
        <v>375</v>
      </c>
      <c r="R2" s="337"/>
      <c r="S2" s="337"/>
    </row>
    <row r="3" spans="1:20" ht="18" customHeight="1" thickBot="1" x14ac:dyDescent="0.3">
      <c r="A3" s="2" t="s">
        <v>16</v>
      </c>
      <c r="B3" s="44" t="s">
        <v>78</v>
      </c>
      <c r="C3" s="8"/>
      <c r="D3" s="8"/>
      <c r="E3" s="8"/>
      <c r="P3" s="29"/>
      <c r="Q3" s="45"/>
      <c r="R3" s="30"/>
    </row>
    <row r="4" spans="1:20" ht="18.75" customHeight="1" x14ac:dyDescent="0.25">
      <c r="B4" s="8" t="s">
        <v>174</v>
      </c>
      <c r="M4" s="85" t="s">
        <v>28</v>
      </c>
      <c r="N4" s="85" t="s">
        <v>28</v>
      </c>
      <c r="O4" s="85" t="s">
        <v>28</v>
      </c>
      <c r="P4" s="9"/>
      <c r="Q4" s="89" t="s">
        <v>29</v>
      </c>
      <c r="R4" s="89" t="s">
        <v>31</v>
      </c>
      <c r="S4" s="89" t="s">
        <v>23</v>
      </c>
      <c r="T4" s="7"/>
    </row>
    <row r="5" spans="1:20" ht="15.75" thickBot="1" x14ac:dyDescent="0.3">
      <c r="G5" s="183" t="s">
        <v>295</v>
      </c>
      <c r="H5" s="183" t="s">
        <v>295</v>
      </c>
      <c r="M5" s="86" t="s">
        <v>27</v>
      </c>
      <c r="N5" s="86" t="s">
        <v>26</v>
      </c>
      <c r="O5" s="86" t="s">
        <v>25</v>
      </c>
      <c r="P5" s="9"/>
      <c r="Q5" s="90" t="s">
        <v>30</v>
      </c>
      <c r="R5" s="90" t="s">
        <v>30</v>
      </c>
      <c r="S5" s="90" t="s">
        <v>30</v>
      </c>
      <c r="T5" s="7"/>
    </row>
    <row r="6" spans="1:20" ht="85.5" customHeight="1" thickBot="1" x14ac:dyDescent="0.3">
      <c r="B6" s="84" t="s">
        <v>1</v>
      </c>
      <c r="C6" s="84" t="s">
        <v>389</v>
      </c>
      <c r="D6" s="84" t="s">
        <v>107</v>
      </c>
      <c r="E6" s="84" t="s">
        <v>3</v>
      </c>
      <c r="F6" s="84" t="s">
        <v>4</v>
      </c>
      <c r="G6" s="107" t="s">
        <v>136</v>
      </c>
      <c r="H6" s="107" t="s">
        <v>137</v>
      </c>
      <c r="I6" s="107" t="s">
        <v>133</v>
      </c>
      <c r="J6" s="107" t="s">
        <v>134</v>
      </c>
      <c r="K6" s="107" t="s">
        <v>121</v>
      </c>
      <c r="L6" s="83" t="s">
        <v>5</v>
      </c>
      <c r="M6" s="87" t="s">
        <v>6</v>
      </c>
      <c r="N6" s="87" t="s">
        <v>6</v>
      </c>
      <c r="O6" s="87" t="s">
        <v>6</v>
      </c>
      <c r="P6" s="9"/>
      <c r="Q6" s="91"/>
      <c r="R6" s="97" t="s">
        <v>32</v>
      </c>
      <c r="S6" s="98" t="s">
        <v>33</v>
      </c>
    </row>
    <row r="7" spans="1:20" ht="35.25" customHeight="1" x14ac:dyDescent="0.25">
      <c r="B7" s="2" t="s">
        <v>8</v>
      </c>
      <c r="C7" s="92" t="s">
        <v>106</v>
      </c>
      <c r="D7" s="92" t="s">
        <v>306</v>
      </c>
      <c r="E7" s="2" t="s">
        <v>307</v>
      </c>
      <c r="F7" s="2" t="s">
        <v>7</v>
      </c>
      <c r="G7" s="186">
        <v>2.63E-2</v>
      </c>
      <c r="H7" s="186">
        <v>0.1845</v>
      </c>
      <c r="I7" s="187">
        <v>44742</v>
      </c>
      <c r="J7" s="187">
        <v>44743</v>
      </c>
      <c r="K7" s="187">
        <v>44378</v>
      </c>
      <c r="L7" s="188" t="s">
        <v>297</v>
      </c>
      <c r="M7" s="70">
        <v>20767.5</v>
      </c>
      <c r="N7" s="70"/>
      <c r="O7" s="67">
        <f>M7+N7</f>
        <v>20767.5</v>
      </c>
      <c r="P7" s="42"/>
      <c r="Q7" s="43"/>
      <c r="R7" s="67"/>
      <c r="S7" s="68"/>
    </row>
    <row r="8" spans="1:20" ht="36.75" customHeight="1" x14ac:dyDescent="0.25">
      <c r="B8" s="2" t="s">
        <v>128</v>
      </c>
      <c r="C8" s="236" t="s">
        <v>122</v>
      </c>
      <c r="D8" s="93" t="s">
        <v>310</v>
      </c>
      <c r="E8" s="2" t="s">
        <v>309</v>
      </c>
      <c r="F8" s="2" t="s">
        <v>7</v>
      </c>
      <c r="G8" s="186">
        <v>2.63E-2</v>
      </c>
      <c r="H8" s="186">
        <v>0.1845</v>
      </c>
      <c r="I8" s="187">
        <v>44742</v>
      </c>
      <c r="J8" s="187">
        <v>44743</v>
      </c>
      <c r="K8" s="187">
        <v>44378</v>
      </c>
      <c r="L8" s="204" t="s">
        <v>297</v>
      </c>
      <c r="M8" s="70">
        <v>20357.63</v>
      </c>
      <c r="N8" s="70"/>
      <c r="O8" s="67">
        <f>M8+N8</f>
        <v>20357.63</v>
      </c>
      <c r="P8" s="42"/>
      <c r="Q8" s="43">
        <v>20357.63</v>
      </c>
      <c r="R8" s="67">
        <v>0</v>
      </c>
      <c r="S8" s="68">
        <f>Q8+R8</f>
        <v>20357.63</v>
      </c>
    </row>
    <row r="9" spans="1:20" ht="32.25" customHeight="1" x14ac:dyDescent="0.25">
      <c r="B9" s="2" t="s">
        <v>223</v>
      </c>
      <c r="C9" s="236" t="s">
        <v>333</v>
      </c>
      <c r="D9" s="93" t="s">
        <v>224</v>
      </c>
      <c r="E9" s="2" t="s">
        <v>225</v>
      </c>
      <c r="F9" s="2" t="s">
        <v>7</v>
      </c>
      <c r="G9" s="186">
        <v>2.63E-2</v>
      </c>
      <c r="H9" s="186">
        <v>0.1845</v>
      </c>
      <c r="I9" s="187">
        <v>44834</v>
      </c>
      <c r="J9" s="187">
        <v>44849</v>
      </c>
      <c r="K9" s="187">
        <v>43614</v>
      </c>
      <c r="L9" s="188" t="s">
        <v>274</v>
      </c>
      <c r="M9" s="70">
        <v>45601.58</v>
      </c>
      <c r="N9" s="70"/>
      <c r="O9" s="67">
        <f>M9+N9</f>
        <v>45601.58</v>
      </c>
      <c r="P9" s="42"/>
      <c r="Q9" s="43">
        <v>39526.74</v>
      </c>
      <c r="R9" s="67"/>
      <c r="S9" s="68">
        <f>Q9+R9</f>
        <v>39526.74</v>
      </c>
    </row>
    <row r="10" spans="1:20" ht="32.25" customHeight="1" x14ac:dyDescent="0.25">
      <c r="B10" s="2" t="s">
        <v>279</v>
      </c>
      <c r="C10" s="236" t="s">
        <v>333</v>
      </c>
      <c r="D10" s="93" t="s">
        <v>224</v>
      </c>
      <c r="E10" s="2" t="s">
        <v>280</v>
      </c>
      <c r="F10" s="2" t="s">
        <v>7</v>
      </c>
      <c r="G10" s="186">
        <v>2.63E-2</v>
      </c>
      <c r="H10" s="186">
        <v>0.1845</v>
      </c>
      <c r="I10" s="187">
        <v>44592</v>
      </c>
      <c r="J10" s="187">
        <v>44592</v>
      </c>
      <c r="K10" s="187">
        <v>43980</v>
      </c>
      <c r="L10" s="188" t="s">
        <v>332</v>
      </c>
      <c r="M10" s="79">
        <v>3000</v>
      </c>
      <c r="N10" s="67"/>
      <c r="O10" s="67">
        <f t="shared" ref="O10:O18" si="0">M10+N10</f>
        <v>3000</v>
      </c>
      <c r="P10" s="66"/>
      <c r="Q10" s="67"/>
      <c r="R10" s="67"/>
      <c r="S10" s="68">
        <f t="shared" ref="S10:S18" si="1">Q10+R10</f>
        <v>0</v>
      </c>
    </row>
    <row r="11" spans="1:20" ht="32.25" customHeight="1" x14ac:dyDescent="0.25">
      <c r="B11" s="2" t="s">
        <v>281</v>
      </c>
      <c r="C11" s="236" t="s">
        <v>334</v>
      </c>
      <c r="D11" s="93" t="s">
        <v>231</v>
      </c>
      <c r="E11" s="2" t="s">
        <v>282</v>
      </c>
      <c r="F11" s="2" t="s">
        <v>7</v>
      </c>
      <c r="G11" s="186">
        <v>2.63E-2</v>
      </c>
      <c r="H11" s="186">
        <v>0.1845</v>
      </c>
      <c r="I11" s="187">
        <v>44742</v>
      </c>
      <c r="J11" s="187">
        <v>44757</v>
      </c>
      <c r="K11" s="187">
        <v>43979</v>
      </c>
      <c r="L11" s="188" t="s">
        <v>291</v>
      </c>
      <c r="M11" s="79">
        <v>1027</v>
      </c>
      <c r="N11" s="67"/>
      <c r="O11" s="67">
        <f t="shared" si="0"/>
        <v>1027</v>
      </c>
      <c r="P11" s="66"/>
      <c r="Q11" s="67"/>
      <c r="R11" s="67"/>
      <c r="S11" s="68">
        <f t="shared" si="1"/>
        <v>0</v>
      </c>
    </row>
    <row r="12" spans="1:20" ht="32.25" customHeight="1" x14ac:dyDescent="0.25">
      <c r="B12" s="2" t="s">
        <v>321</v>
      </c>
      <c r="C12" s="236" t="s">
        <v>333</v>
      </c>
      <c r="D12" s="93" t="s">
        <v>288</v>
      </c>
      <c r="E12" s="2" t="s">
        <v>322</v>
      </c>
      <c r="F12" s="2" t="s">
        <v>7</v>
      </c>
      <c r="G12" s="186">
        <f>G11:H11</f>
        <v>2.63E-2</v>
      </c>
      <c r="H12" s="186">
        <f>H11</f>
        <v>0.1845</v>
      </c>
      <c r="I12" s="187">
        <v>45199</v>
      </c>
      <c r="J12" s="187">
        <v>45214</v>
      </c>
      <c r="K12" s="187">
        <v>44201</v>
      </c>
      <c r="L12" s="188" t="s">
        <v>323</v>
      </c>
      <c r="M12" s="79">
        <v>61426.35</v>
      </c>
      <c r="N12" s="67"/>
      <c r="O12" s="67">
        <f t="shared" si="0"/>
        <v>61426.35</v>
      </c>
      <c r="P12" s="66"/>
      <c r="Q12" s="67"/>
      <c r="R12" s="67"/>
      <c r="S12" s="68">
        <f t="shared" si="1"/>
        <v>0</v>
      </c>
    </row>
    <row r="13" spans="1:20" ht="32.25" customHeight="1" x14ac:dyDescent="0.25">
      <c r="B13" s="2" t="s">
        <v>324</v>
      </c>
      <c r="C13" s="236" t="s">
        <v>333</v>
      </c>
      <c r="D13" s="93" t="s">
        <v>288</v>
      </c>
      <c r="E13" s="2" t="s">
        <v>329</v>
      </c>
      <c r="F13" s="2" t="s">
        <v>7</v>
      </c>
      <c r="G13" s="186">
        <f>G12:H12</f>
        <v>2.63E-2</v>
      </c>
      <c r="H13" s="186">
        <f>H12</f>
        <v>0.1845</v>
      </c>
      <c r="I13" s="187">
        <v>45199</v>
      </c>
      <c r="J13" s="187">
        <v>45214</v>
      </c>
      <c r="K13" s="187">
        <v>44201</v>
      </c>
      <c r="L13" s="188" t="s">
        <v>325</v>
      </c>
      <c r="M13" s="79">
        <v>151372</v>
      </c>
      <c r="N13" s="67"/>
      <c r="O13" s="67">
        <f t="shared" si="0"/>
        <v>151372</v>
      </c>
      <c r="P13" s="66"/>
      <c r="Q13" s="67"/>
      <c r="R13" s="67"/>
      <c r="S13" s="68">
        <f t="shared" si="1"/>
        <v>0</v>
      </c>
    </row>
    <row r="14" spans="1:20" ht="32.25" customHeight="1" x14ac:dyDescent="0.25">
      <c r="B14" s="2" t="s">
        <v>326</v>
      </c>
      <c r="C14" s="236" t="s">
        <v>333</v>
      </c>
      <c r="D14" s="93" t="s">
        <v>288</v>
      </c>
      <c r="E14" s="2" t="s">
        <v>330</v>
      </c>
      <c r="F14" s="2" t="s">
        <v>7</v>
      </c>
      <c r="G14" s="186">
        <f>G13:H13</f>
        <v>2.63E-2</v>
      </c>
      <c r="H14" s="186">
        <f>H13</f>
        <v>0.1845</v>
      </c>
      <c r="I14" s="187">
        <v>45199</v>
      </c>
      <c r="J14" s="187">
        <v>45214</v>
      </c>
      <c r="K14" s="187">
        <v>44201</v>
      </c>
      <c r="L14" s="188" t="s">
        <v>323</v>
      </c>
      <c r="M14" s="79">
        <v>16282.91</v>
      </c>
      <c r="N14" s="67"/>
      <c r="O14" s="67">
        <f t="shared" si="0"/>
        <v>16282.91</v>
      </c>
      <c r="P14" s="66"/>
      <c r="Q14" s="67"/>
      <c r="R14" s="67"/>
      <c r="S14" s="68">
        <f t="shared" si="1"/>
        <v>0</v>
      </c>
    </row>
    <row r="15" spans="1:20" ht="32.25" customHeight="1" x14ac:dyDescent="0.25">
      <c r="B15" s="2" t="s">
        <v>370</v>
      </c>
      <c r="C15" s="236" t="s">
        <v>333</v>
      </c>
      <c r="D15" s="93" t="s">
        <v>288</v>
      </c>
      <c r="E15" s="2" t="s">
        <v>331</v>
      </c>
      <c r="F15" s="2" t="s">
        <v>7</v>
      </c>
      <c r="G15" s="186">
        <f t="shared" ref="G15" si="2">G14:H14</f>
        <v>2.63E-2</v>
      </c>
      <c r="H15" s="186">
        <f t="shared" ref="H15" si="3">H14</f>
        <v>0.1845</v>
      </c>
      <c r="I15" s="187">
        <v>45199</v>
      </c>
      <c r="J15" s="187">
        <v>45214</v>
      </c>
      <c r="K15" s="187">
        <v>44201</v>
      </c>
      <c r="L15" s="188" t="s">
        <v>325</v>
      </c>
      <c r="M15" s="79">
        <v>76322.240000000005</v>
      </c>
      <c r="N15" s="67"/>
      <c r="O15" s="67">
        <f t="shared" si="0"/>
        <v>76322.240000000005</v>
      </c>
      <c r="P15" s="66"/>
      <c r="Q15" s="67"/>
      <c r="R15" s="67"/>
      <c r="S15" s="68">
        <f t="shared" si="1"/>
        <v>0</v>
      </c>
    </row>
    <row r="16" spans="1:20" ht="32.25" customHeight="1" x14ac:dyDescent="0.25">
      <c r="B16" s="2" t="s">
        <v>287</v>
      </c>
      <c r="C16" s="236" t="s">
        <v>333</v>
      </c>
      <c r="D16" s="93" t="s">
        <v>288</v>
      </c>
      <c r="E16" s="2" t="s">
        <v>289</v>
      </c>
      <c r="F16" s="2" t="s">
        <v>7</v>
      </c>
      <c r="G16" s="186">
        <v>2.63E-2</v>
      </c>
      <c r="H16" s="186">
        <v>0.1845</v>
      </c>
      <c r="I16" s="187">
        <v>45199</v>
      </c>
      <c r="J16" s="187">
        <v>45199</v>
      </c>
      <c r="K16" s="187">
        <v>44201</v>
      </c>
      <c r="L16" s="188" t="s">
        <v>320</v>
      </c>
      <c r="M16" s="79">
        <v>141280.6</v>
      </c>
      <c r="N16" s="67"/>
      <c r="O16" s="67">
        <f t="shared" si="0"/>
        <v>141280.6</v>
      </c>
      <c r="P16" s="66"/>
      <c r="Q16" s="67">
        <v>116010.64</v>
      </c>
      <c r="R16" s="67"/>
      <c r="S16" s="68">
        <f t="shared" si="1"/>
        <v>116010.64</v>
      </c>
    </row>
    <row r="17" spans="2:19" ht="32.25" customHeight="1" x14ac:dyDescent="0.25">
      <c r="B17" s="2" t="s">
        <v>352</v>
      </c>
      <c r="C17" s="236" t="s">
        <v>353</v>
      </c>
      <c r="D17" s="93" t="s">
        <v>354</v>
      </c>
      <c r="E17" s="2" t="s">
        <v>355</v>
      </c>
      <c r="F17" s="2" t="s">
        <v>7</v>
      </c>
      <c r="G17" s="186">
        <v>2.63E-2</v>
      </c>
      <c r="H17" s="186">
        <v>0.1845</v>
      </c>
      <c r="I17" s="187">
        <v>45565</v>
      </c>
      <c r="J17" s="187">
        <v>45580</v>
      </c>
      <c r="K17" s="187">
        <v>44279</v>
      </c>
      <c r="L17" s="188" t="s">
        <v>356</v>
      </c>
      <c r="M17" s="79">
        <v>552388</v>
      </c>
      <c r="N17" s="67"/>
      <c r="O17" s="67">
        <f t="shared" si="0"/>
        <v>552388</v>
      </c>
      <c r="P17" s="66"/>
      <c r="Q17" s="67"/>
      <c r="R17" s="67"/>
      <c r="S17" s="68">
        <f t="shared" si="1"/>
        <v>0</v>
      </c>
    </row>
    <row r="18" spans="2:19" ht="32.25" customHeight="1" x14ac:dyDescent="0.25">
      <c r="B18" s="2" t="s">
        <v>357</v>
      </c>
      <c r="C18" s="236" t="s">
        <v>353</v>
      </c>
      <c r="D18" s="93" t="s">
        <v>354</v>
      </c>
      <c r="E18" s="2" t="s">
        <v>358</v>
      </c>
      <c r="F18" s="2" t="s">
        <v>7</v>
      </c>
      <c r="G18" s="186">
        <v>2.63E-2</v>
      </c>
      <c r="H18" s="186">
        <v>0.1845</v>
      </c>
      <c r="I18" s="187">
        <v>45565</v>
      </c>
      <c r="J18" s="187">
        <v>45580</v>
      </c>
      <c r="K18" s="187">
        <v>44279</v>
      </c>
      <c r="L18" s="188" t="s">
        <v>356</v>
      </c>
      <c r="M18" s="79">
        <v>138097</v>
      </c>
      <c r="N18" s="67"/>
      <c r="O18" s="67">
        <f t="shared" si="0"/>
        <v>138097</v>
      </c>
      <c r="P18" s="66"/>
      <c r="Q18" s="67"/>
      <c r="R18" s="67"/>
      <c r="S18" s="68">
        <f t="shared" si="1"/>
        <v>0</v>
      </c>
    </row>
    <row r="19" spans="2:19" x14ac:dyDescent="0.25">
      <c r="C19" s="92"/>
      <c r="D19" s="92"/>
      <c r="G19" s="186"/>
      <c r="H19" s="186"/>
      <c r="I19" s="187"/>
      <c r="J19" s="187"/>
      <c r="K19" s="187"/>
      <c r="L19" s="205"/>
      <c r="M19" s="25"/>
      <c r="N19" s="25"/>
      <c r="O19" s="25"/>
      <c r="P19" s="29"/>
      <c r="Q19" s="25"/>
      <c r="R19" s="25"/>
      <c r="S19" s="26"/>
    </row>
    <row r="20" spans="2:19" ht="23.25" customHeight="1" x14ac:dyDescent="0.25">
      <c r="C20" s="92"/>
      <c r="D20" s="92"/>
      <c r="G20" s="123"/>
      <c r="H20" s="124"/>
      <c r="I20" s="116"/>
      <c r="J20" s="116"/>
      <c r="K20" s="116"/>
      <c r="L20" s="5" t="s">
        <v>38</v>
      </c>
      <c r="M20" s="66">
        <f>SUM(M7:M19)</f>
        <v>1227922.81</v>
      </c>
      <c r="N20" s="66">
        <f>SUM(N7:N19)</f>
        <v>0</v>
      </c>
      <c r="O20" s="66">
        <f>SUM(O7:O19)</f>
        <v>1227922.81</v>
      </c>
      <c r="P20" s="29"/>
      <c r="Q20" s="66">
        <f>SUM(Q7:Q19)</f>
        <v>175895.01</v>
      </c>
      <c r="R20" s="66">
        <f t="shared" ref="R20:S20" si="4">SUM(R7:R19)</f>
        <v>0</v>
      </c>
      <c r="S20" s="23">
        <f t="shared" si="4"/>
        <v>175895.01</v>
      </c>
    </row>
    <row r="21" spans="2:19" x14ac:dyDescent="0.25">
      <c r="C21" s="92"/>
      <c r="D21" s="92"/>
      <c r="I21" s="116"/>
      <c r="J21" s="116"/>
      <c r="K21" s="116"/>
      <c r="L21" s="5"/>
      <c r="M21" s="66"/>
      <c r="N21" s="66"/>
      <c r="O21" s="66"/>
      <c r="Q21" s="66"/>
      <c r="R21" s="66"/>
      <c r="S21" s="68"/>
    </row>
    <row r="22" spans="2:19" x14ac:dyDescent="0.25">
      <c r="C22" s="92"/>
      <c r="D22" s="92"/>
      <c r="L22" s="5"/>
      <c r="M22" s="66"/>
      <c r="N22" s="66"/>
      <c r="O22" s="66"/>
      <c r="Q22" s="66"/>
      <c r="R22" s="66"/>
      <c r="S22" s="68"/>
    </row>
    <row r="23" spans="2:19" x14ac:dyDescent="0.25">
      <c r="B23" s="8" t="s">
        <v>125</v>
      </c>
      <c r="C23" s="92"/>
      <c r="D23" s="92"/>
      <c r="L23" s="5"/>
      <c r="M23" s="66"/>
      <c r="N23" s="66"/>
      <c r="O23" s="66"/>
      <c r="Q23" s="66"/>
      <c r="R23" s="66"/>
      <c r="S23" s="68"/>
    </row>
    <row r="24" spans="2:19" ht="34.5" customHeight="1" x14ac:dyDescent="0.25">
      <c r="B24" s="341" t="s">
        <v>126</v>
      </c>
      <c r="C24" s="341"/>
      <c r="D24" s="341"/>
      <c r="E24" s="341"/>
      <c r="F24" s="341"/>
      <c r="G24" s="117"/>
      <c r="H24" s="117"/>
      <c r="I24" s="111"/>
      <c r="L24" s="5"/>
      <c r="M24" s="66"/>
      <c r="N24" s="66"/>
      <c r="O24" s="66"/>
      <c r="Q24" s="66"/>
      <c r="R24" s="66"/>
      <c r="S24" s="68"/>
    </row>
    <row r="25" spans="2:19" x14ac:dyDescent="0.25">
      <c r="C25" s="92"/>
      <c r="D25" s="92"/>
      <c r="L25" s="5"/>
      <c r="M25" s="66"/>
      <c r="N25" s="66"/>
      <c r="O25" s="66"/>
      <c r="Q25" s="66"/>
      <c r="R25" s="66"/>
      <c r="S25" s="68"/>
    </row>
    <row r="26" spans="2:19" ht="48.75" customHeight="1" x14ac:dyDescent="0.25">
      <c r="B26" s="341" t="s">
        <v>129</v>
      </c>
      <c r="C26" s="341"/>
      <c r="D26" s="341"/>
      <c r="E26" s="341"/>
      <c r="F26" s="341"/>
      <c r="G26" s="117"/>
      <c r="H26" s="117"/>
      <c r="I26" s="111"/>
      <c r="L26" s="5"/>
      <c r="M26" s="66"/>
      <c r="N26" s="66"/>
      <c r="O26" s="66"/>
      <c r="Q26" s="66"/>
      <c r="R26" s="66"/>
      <c r="S26" s="68"/>
    </row>
    <row r="27" spans="2:19" x14ac:dyDescent="0.25">
      <c r="B27" s="193"/>
      <c r="C27" s="193"/>
      <c r="D27" s="193"/>
      <c r="E27" s="193"/>
      <c r="F27" s="193"/>
      <c r="G27" s="193"/>
      <c r="H27" s="193"/>
      <c r="I27" s="193"/>
      <c r="L27" s="5"/>
      <c r="M27" s="66"/>
      <c r="N27" s="66"/>
      <c r="O27" s="66"/>
      <c r="Q27" s="66"/>
      <c r="R27" s="66"/>
      <c r="S27" s="68"/>
    </row>
    <row r="28" spans="2:19" ht="33.75" customHeight="1" x14ac:dyDescent="0.25">
      <c r="B28" s="341" t="s">
        <v>160</v>
      </c>
      <c r="C28" s="341"/>
      <c r="D28" s="341"/>
      <c r="E28" s="341"/>
      <c r="F28" s="341"/>
      <c r="G28" s="193"/>
      <c r="H28" s="193"/>
      <c r="I28" s="193"/>
      <c r="L28" s="5"/>
      <c r="M28" s="66"/>
      <c r="N28" s="66"/>
      <c r="O28" s="66"/>
      <c r="Q28" s="66"/>
      <c r="R28" s="66"/>
      <c r="S28" s="68"/>
    </row>
    <row r="29" spans="2:19" ht="15" customHeight="1" x14ac:dyDescent="0.25">
      <c r="B29" s="347" t="s">
        <v>159</v>
      </c>
      <c r="C29" s="341"/>
      <c r="D29" s="341"/>
      <c r="E29" s="341"/>
      <c r="F29" s="341"/>
      <c r="G29" s="193"/>
      <c r="H29" s="193"/>
      <c r="I29" s="193"/>
      <c r="L29" s="5"/>
      <c r="M29" s="66"/>
      <c r="N29" s="66"/>
      <c r="O29" s="66"/>
      <c r="Q29" s="66"/>
      <c r="R29" s="66"/>
      <c r="S29" s="68"/>
    </row>
    <row r="30" spans="2:19" ht="15" customHeight="1" x14ac:dyDescent="0.25">
      <c r="B30" s="195"/>
      <c r="C30" s="195"/>
      <c r="D30" s="195"/>
      <c r="E30" s="195"/>
      <c r="F30" s="195"/>
      <c r="G30" s="195"/>
      <c r="H30" s="195"/>
      <c r="I30" s="195"/>
      <c r="L30" s="5"/>
      <c r="M30" s="66"/>
      <c r="N30" s="66"/>
      <c r="O30" s="66"/>
      <c r="Q30" s="66"/>
      <c r="R30" s="66"/>
      <c r="S30" s="68"/>
    </row>
    <row r="31" spans="2:19" x14ac:dyDescent="0.25">
      <c r="B31" s="108"/>
      <c r="C31" s="108"/>
      <c r="D31" s="108"/>
      <c r="E31" s="108"/>
      <c r="F31" s="108"/>
      <c r="G31" s="117"/>
      <c r="H31" s="117"/>
      <c r="I31" s="111"/>
      <c r="L31" s="5"/>
      <c r="M31" s="66"/>
      <c r="N31" s="66"/>
      <c r="O31" s="66"/>
      <c r="Q31" s="66"/>
      <c r="R31" s="66"/>
      <c r="S31" s="68"/>
    </row>
    <row r="32" spans="2:19" x14ac:dyDescent="0.25">
      <c r="B32" s="7" t="s">
        <v>109</v>
      </c>
      <c r="C32" s="101" t="s">
        <v>112</v>
      </c>
      <c r="D32" s="101" t="s">
        <v>113</v>
      </c>
      <c r="E32" s="108"/>
      <c r="F32" s="108"/>
      <c r="G32" s="117"/>
      <c r="H32" s="117"/>
      <c r="I32" s="111"/>
      <c r="L32" s="5"/>
      <c r="M32" s="66"/>
      <c r="N32" s="66"/>
      <c r="O32" s="66"/>
      <c r="Q32" s="66"/>
      <c r="R32" s="66"/>
      <c r="S32" s="68"/>
    </row>
    <row r="33" spans="2:20" x14ac:dyDescent="0.25">
      <c r="B33" s="2" t="s">
        <v>110</v>
      </c>
      <c r="C33" s="92" t="s">
        <v>327</v>
      </c>
      <c r="D33" s="92" t="s">
        <v>118</v>
      </c>
      <c r="E33" s="224"/>
      <c r="F33" s="224"/>
      <c r="G33" s="224"/>
      <c r="H33" s="224"/>
      <c r="I33" s="224"/>
      <c r="L33" s="5"/>
      <c r="M33" s="66"/>
      <c r="N33" s="66"/>
      <c r="O33" s="66"/>
      <c r="Q33" s="66"/>
      <c r="R33" s="66"/>
      <c r="S33" s="68"/>
    </row>
    <row r="34" spans="2:20" x14ac:dyDescent="0.25">
      <c r="B34" s="307" t="s">
        <v>111</v>
      </c>
      <c r="C34" s="92" t="s">
        <v>300</v>
      </c>
      <c r="D34" s="92" t="s">
        <v>303</v>
      </c>
      <c r="E34" s="306"/>
      <c r="F34" s="306"/>
      <c r="G34" s="306"/>
      <c r="H34" s="306"/>
      <c r="I34" s="306"/>
      <c r="L34" s="5"/>
      <c r="M34" s="66"/>
      <c r="N34" s="66"/>
      <c r="O34" s="66"/>
      <c r="Q34" s="66"/>
      <c r="R34" s="66"/>
      <c r="S34" s="68"/>
    </row>
    <row r="35" spans="2:20" x14ac:dyDescent="0.25">
      <c r="B35" s="2" t="s">
        <v>230</v>
      </c>
      <c r="C35" s="92" t="s">
        <v>135</v>
      </c>
      <c r="D35" s="92" t="s">
        <v>147</v>
      </c>
      <c r="L35" s="5"/>
      <c r="M35" s="66"/>
      <c r="N35" s="66"/>
      <c r="O35" s="66"/>
      <c r="Q35" s="66"/>
      <c r="R35" s="66"/>
      <c r="S35" s="68"/>
    </row>
    <row r="36" spans="2:20" x14ac:dyDescent="0.25">
      <c r="B36" s="2" t="s">
        <v>279</v>
      </c>
      <c r="C36" s="92" t="s">
        <v>135</v>
      </c>
      <c r="D36" s="92" t="s">
        <v>147</v>
      </c>
      <c r="L36" s="5"/>
      <c r="M36" s="66"/>
      <c r="N36" s="66"/>
      <c r="O36" s="66"/>
      <c r="Q36" s="66"/>
      <c r="R36" s="66"/>
      <c r="S36" s="68"/>
    </row>
    <row r="37" spans="2:20" x14ac:dyDescent="0.25">
      <c r="B37" s="2" t="s">
        <v>281</v>
      </c>
      <c r="C37" s="92" t="s">
        <v>135</v>
      </c>
      <c r="D37" s="92" t="s">
        <v>147</v>
      </c>
      <c r="L37" s="5"/>
      <c r="M37" s="66"/>
      <c r="N37" s="66"/>
      <c r="O37" s="66"/>
      <c r="Q37" s="66"/>
      <c r="R37" s="66"/>
      <c r="S37" s="68"/>
    </row>
    <row r="38" spans="2:20" x14ac:dyDescent="0.25">
      <c r="B38" s="2" t="s">
        <v>286</v>
      </c>
      <c r="C38" s="92" t="s">
        <v>135</v>
      </c>
      <c r="D38" s="92" t="s">
        <v>147</v>
      </c>
      <c r="L38" s="5"/>
      <c r="M38" s="66"/>
      <c r="N38" s="66"/>
      <c r="O38" s="66"/>
      <c r="Q38" s="66"/>
      <c r="R38" s="66"/>
      <c r="S38" s="68"/>
    </row>
    <row r="39" spans="2:20" x14ac:dyDescent="0.25">
      <c r="C39" s="92"/>
      <c r="D39" s="92"/>
      <c r="L39" s="5"/>
      <c r="M39" s="66"/>
      <c r="N39" s="66"/>
      <c r="O39" s="66"/>
      <c r="Q39" s="66"/>
      <c r="R39" s="66"/>
      <c r="S39" s="68"/>
    </row>
    <row r="40" spans="2:20" x14ac:dyDescent="0.25">
      <c r="B40" s="348" t="s">
        <v>298</v>
      </c>
      <c r="C40" s="336"/>
      <c r="D40" s="336"/>
      <c r="E40" s="336"/>
      <c r="F40" s="336"/>
      <c r="G40" s="336"/>
      <c r="H40" s="336"/>
      <c r="L40" s="5"/>
      <c r="M40" s="66"/>
      <c r="N40" s="66"/>
      <c r="O40" s="66"/>
      <c r="Q40" s="66"/>
      <c r="R40" s="66"/>
      <c r="S40" s="68"/>
    </row>
    <row r="41" spans="2:20" x14ac:dyDescent="0.25">
      <c r="B41" s="242" t="s">
        <v>299</v>
      </c>
      <c r="C41" s="92"/>
      <c r="D41" s="92"/>
      <c r="L41" s="5"/>
      <c r="M41" s="66"/>
      <c r="N41" s="66"/>
      <c r="O41" s="66"/>
      <c r="Q41" s="66"/>
      <c r="R41" s="66"/>
      <c r="S41" s="68"/>
    </row>
    <row r="42" spans="2:20" x14ac:dyDescent="0.25">
      <c r="B42" s="10"/>
      <c r="C42" s="94"/>
      <c r="D42" s="94"/>
      <c r="E42" s="10"/>
      <c r="F42" s="10"/>
      <c r="G42" s="10"/>
      <c r="H42" s="10"/>
      <c r="I42" s="10"/>
      <c r="J42" s="10"/>
      <c r="K42" s="10"/>
      <c r="L42" s="10"/>
      <c r="M42" s="10"/>
      <c r="N42" s="47"/>
      <c r="O42" s="47"/>
      <c r="P42" s="47"/>
      <c r="Q42" s="57"/>
      <c r="R42" s="52"/>
      <c r="S42" s="53"/>
      <c r="T42" s="51"/>
    </row>
    <row r="43" spans="2:20" ht="15" customHeight="1" x14ac:dyDescent="0.25">
      <c r="Q43" s="59" t="s">
        <v>90</v>
      </c>
      <c r="R43" s="49"/>
      <c r="S43" s="164"/>
      <c r="T43" s="51"/>
    </row>
    <row r="44" spans="2:20" ht="15" customHeight="1" x14ac:dyDescent="0.25">
      <c r="B44" s="17" t="s">
        <v>39</v>
      </c>
      <c r="C44" s="96" t="s">
        <v>2</v>
      </c>
      <c r="D44" s="96"/>
      <c r="E44" s="96" t="s">
        <v>34</v>
      </c>
      <c r="F44" s="96" t="s">
        <v>35</v>
      </c>
      <c r="G44" s="120"/>
      <c r="H44" s="120"/>
      <c r="I44" s="114"/>
      <c r="J44" s="96"/>
      <c r="K44" s="96"/>
      <c r="L44" s="96" t="s">
        <v>36</v>
      </c>
      <c r="M44" s="96" t="s">
        <v>37</v>
      </c>
      <c r="N44" s="10"/>
      <c r="O44" s="10"/>
      <c r="P44" s="10"/>
      <c r="Q44" s="54" t="s">
        <v>88</v>
      </c>
      <c r="R44" s="52"/>
      <c r="S44" s="53"/>
    </row>
    <row r="45" spans="2:20" ht="15" customHeight="1" x14ac:dyDescent="0.25">
      <c r="B45" s="63"/>
      <c r="C45" s="9"/>
      <c r="D45" s="9"/>
      <c r="E45" s="9"/>
      <c r="F45" s="9"/>
      <c r="G45" s="9"/>
      <c r="H45" s="9"/>
      <c r="I45" s="9"/>
      <c r="J45" s="9"/>
      <c r="K45" s="9"/>
      <c r="L45" s="9"/>
      <c r="M45" s="9"/>
      <c r="Q45" s="59"/>
      <c r="R45" s="49"/>
      <c r="S45" s="49"/>
    </row>
    <row r="46" spans="2:20" ht="15" customHeight="1" x14ac:dyDescent="0.25">
      <c r="B46" s="63"/>
      <c r="C46" s="148"/>
      <c r="D46" s="148"/>
      <c r="E46" s="148"/>
      <c r="F46" s="148"/>
      <c r="G46" s="148"/>
      <c r="H46" s="148"/>
      <c r="I46" s="148"/>
      <c r="J46" s="148"/>
      <c r="K46" s="148"/>
      <c r="L46" s="148"/>
      <c r="M46" s="148"/>
      <c r="Q46" s="59"/>
      <c r="R46" s="49"/>
      <c r="S46" s="49"/>
    </row>
    <row r="47" spans="2:20" ht="15" customHeight="1" x14ac:dyDescent="0.25">
      <c r="B47" s="63"/>
      <c r="C47" s="148"/>
      <c r="D47" s="148"/>
      <c r="E47" s="148"/>
      <c r="F47" s="148"/>
      <c r="G47" s="148"/>
      <c r="H47" s="148"/>
      <c r="I47" s="148"/>
      <c r="J47" s="148"/>
      <c r="K47" s="148"/>
      <c r="L47" s="148"/>
      <c r="M47" s="148"/>
      <c r="Q47" s="59"/>
      <c r="R47" s="49"/>
      <c r="S47" s="49"/>
    </row>
    <row r="48" spans="2:20" ht="15" customHeight="1" x14ac:dyDescent="0.25">
      <c r="B48" s="63"/>
      <c r="C48" s="148"/>
      <c r="D48" s="148"/>
      <c r="E48" s="148"/>
      <c r="F48" s="148"/>
      <c r="G48" s="148"/>
      <c r="H48" s="148"/>
      <c r="I48" s="148"/>
      <c r="J48" s="148"/>
      <c r="K48" s="148"/>
      <c r="L48" s="148"/>
      <c r="M48" s="148"/>
      <c r="Q48" s="59"/>
      <c r="R48" s="49"/>
      <c r="S48" s="49"/>
    </row>
    <row r="49" spans="2:19" ht="15" customHeight="1" x14ac:dyDescent="0.25">
      <c r="B49" s="63"/>
      <c r="C49" s="148"/>
      <c r="D49" s="148"/>
      <c r="E49" s="148"/>
      <c r="F49" s="148"/>
      <c r="G49" s="148"/>
      <c r="H49" s="148"/>
      <c r="I49" s="148"/>
      <c r="J49" s="148"/>
      <c r="K49" s="148"/>
      <c r="L49" s="148"/>
      <c r="M49" s="148"/>
      <c r="Q49" s="59"/>
      <c r="R49" s="49"/>
      <c r="S49" s="49"/>
    </row>
    <row r="50" spans="2:19" x14ac:dyDescent="0.25">
      <c r="B50" s="12"/>
      <c r="C50" s="13"/>
      <c r="D50" s="13"/>
      <c r="E50" s="41"/>
      <c r="F50" s="15"/>
      <c r="G50" s="15"/>
      <c r="H50" s="15"/>
      <c r="I50" s="15"/>
      <c r="J50" s="15"/>
      <c r="K50" s="15"/>
      <c r="L50" s="16"/>
      <c r="M50" s="20"/>
      <c r="N50" s="18"/>
      <c r="O50" s="18"/>
      <c r="P50" s="18"/>
      <c r="Q50" s="51"/>
      <c r="R50" s="51"/>
      <c r="S50" s="51"/>
    </row>
    <row r="51" spans="2:19" x14ac:dyDescent="0.25">
      <c r="B51" s="12"/>
      <c r="C51" s="13"/>
      <c r="D51" s="13"/>
      <c r="E51" s="41"/>
      <c r="F51" s="15"/>
      <c r="G51" s="15"/>
      <c r="H51" s="15"/>
      <c r="I51" s="15"/>
      <c r="J51" s="15"/>
      <c r="K51" s="15"/>
      <c r="L51" s="16"/>
      <c r="M51" s="20"/>
      <c r="N51" s="18"/>
      <c r="O51" s="18"/>
      <c r="P51" s="18"/>
      <c r="Q51" s="51"/>
      <c r="R51" s="51"/>
      <c r="S51" s="51"/>
    </row>
    <row r="52" spans="2:19" x14ac:dyDescent="0.25">
      <c r="B52" s="12"/>
      <c r="C52" s="13"/>
      <c r="D52" s="13"/>
      <c r="E52" s="41"/>
      <c r="F52" s="15"/>
      <c r="G52" s="15"/>
      <c r="H52" s="15"/>
      <c r="I52" s="15"/>
      <c r="J52" s="15"/>
      <c r="K52" s="15"/>
      <c r="L52" s="16"/>
      <c r="M52" s="20"/>
      <c r="N52" s="18"/>
      <c r="O52" s="18"/>
      <c r="P52" s="18"/>
      <c r="Q52" s="51"/>
      <c r="R52" s="51"/>
      <c r="S52" s="51"/>
    </row>
    <row r="53" spans="2:19" x14ac:dyDescent="0.25">
      <c r="B53" s="12"/>
      <c r="C53" s="13"/>
      <c r="D53" s="13"/>
      <c r="E53" s="41"/>
      <c r="F53" s="15"/>
      <c r="G53" s="15"/>
      <c r="H53" s="15"/>
      <c r="I53" s="15"/>
      <c r="J53" s="15"/>
      <c r="K53" s="15"/>
      <c r="L53" s="16"/>
      <c r="M53" s="20"/>
      <c r="N53" s="18"/>
      <c r="O53" s="18"/>
      <c r="P53" s="18"/>
    </row>
    <row r="54" spans="2:19" ht="15" customHeight="1" x14ac:dyDescent="0.25">
      <c r="B54" s="12"/>
      <c r="C54" s="13"/>
      <c r="D54" s="13"/>
      <c r="E54" s="41"/>
      <c r="F54" s="15"/>
      <c r="G54" s="15"/>
      <c r="H54" s="15"/>
      <c r="I54" s="15"/>
      <c r="J54" s="15"/>
      <c r="K54" s="15"/>
      <c r="L54" s="33"/>
      <c r="M54" s="31"/>
      <c r="N54" s="104"/>
      <c r="O54" s="29"/>
      <c r="P54" s="18"/>
    </row>
    <row r="55" spans="2:19" ht="15" customHeight="1" x14ac:dyDescent="0.25">
      <c r="E55" s="21"/>
      <c r="F55" s="102"/>
      <c r="G55" s="102"/>
      <c r="H55" s="102"/>
      <c r="I55" s="102"/>
      <c r="J55" s="102"/>
      <c r="K55" s="102"/>
      <c r="Q55" s="309" t="s">
        <v>316</v>
      </c>
      <c r="R55" s="309"/>
      <c r="S55" s="310">
        <f>S20</f>
        <v>175895.01</v>
      </c>
    </row>
    <row r="58" spans="2:19" ht="15" customHeight="1" x14ac:dyDescent="0.25"/>
  </sheetData>
  <mergeCells count="7">
    <mergeCell ref="B40:H40"/>
    <mergeCell ref="B29:F29"/>
    <mergeCell ref="Q2:S2"/>
    <mergeCell ref="Q1:S1"/>
    <mergeCell ref="B24:F24"/>
    <mergeCell ref="B26:F26"/>
    <mergeCell ref="B28:F28"/>
  </mergeCells>
  <hyperlinks>
    <hyperlink ref="B29" r:id="rId1"/>
  </hyperlinks>
  <printOptions horizontalCentered="1" gridLines="1"/>
  <pageMargins left="0" right="0" top="0.75" bottom="0.75" header="0.3" footer="0.3"/>
  <pageSetup scale="54" orientation="landscape" horizontalDpi="1200" verticalDpi="1200"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8"/>
  <sheetViews>
    <sheetView topLeftCell="D11" zoomScale="90" zoomScaleNormal="90" workbookViewId="0">
      <selection activeCell="Q13" sqref="Q13"/>
    </sheetView>
  </sheetViews>
  <sheetFormatPr defaultColWidth="9.140625" defaultRowHeight="15" x14ac:dyDescent="0.25"/>
  <cols>
    <col min="1" max="1" width="9.140625" style="2" hidden="1" customWidth="1"/>
    <col min="2" max="2" width="60.28515625" style="2" customWidth="1"/>
    <col min="3" max="3" width="26.140625" style="2" customWidth="1"/>
    <col min="4" max="4" width="13.7109375" style="2" customWidth="1"/>
    <col min="5" max="5" width="17.7109375" style="2" customWidth="1"/>
    <col min="6" max="6" width="21.7109375" style="2" customWidth="1"/>
    <col min="7" max="7" width="10.28515625" style="2" customWidth="1"/>
    <col min="8" max="8" width="12.85546875" style="2" customWidth="1"/>
    <col min="9" max="9" width="13.42578125" style="2" customWidth="1"/>
    <col min="10" max="10" width="15.7109375" style="2" customWidth="1"/>
    <col min="11" max="11" width="8.85546875" style="2" customWidth="1"/>
    <col min="12" max="12" width="19.28515625" style="2" customWidth="1"/>
    <col min="13" max="13" width="14" style="2" bestFit="1" customWidth="1"/>
    <col min="14" max="14" width="13.7109375" style="2" customWidth="1"/>
    <col min="15" max="15" width="14.42578125" style="2" customWidth="1"/>
    <col min="16" max="16" width="3.140625" style="2" customWidth="1"/>
    <col min="17" max="17" width="14.28515625" style="2" customWidth="1"/>
    <col min="18" max="18" width="14.140625" style="2" customWidth="1"/>
    <col min="19" max="19" width="16.7109375" style="2" customWidth="1"/>
    <col min="20" max="16384" width="9.140625" style="2"/>
  </cols>
  <sheetData>
    <row r="1" spans="1:20" ht="18" customHeight="1" x14ac:dyDescent="0.25">
      <c r="B1" s="1" t="s">
        <v>21</v>
      </c>
      <c r="Q1" s="338" t="s">
        <v>296</v>
      </c>
      <c r="R1" s="338"/>
      <c r="S1" s="338"/>
    </row>
    <row r="2" spans="1:20" ht="18" customHeight="1" x14ac:dyDescent="0.25">
      <c r="B2" s="88" t="s">
        <v>148</v>
      </c>
      <c r="C2" s="182">
        <v>44742</v>
      </c>
      <c r="M2" s="71"/>
      <c r="N2" s="71"/>
      <c r="P2" s="29"/>
      <c r="Q2" s="337" t="s">
        <v>375</v>
      </c>
      <c r="R2" s="337"/>
      <c r="S2" s="337"/>
    </row>
    <row r="3" spans="1:20" ht="18" customHeight="1" thickBot="1" x14ac:dyDescent="0.3">
      <c r="A3" s="2" t="s">
        <v>16</v>
      </c>
      <c r="B3" s="44" t="s">
        <v>70</v>
      </c>
      <c r="C3" s="8"/>
      <c r="D3" s="8"/>
      <c r="E3" s="8"/>
      <c r="P3" s="29"/>
      <c r="Q3" s="45"/>
      <c r="R3" s="30"/>
    </row>
    <row r="4" spans="1:20" ht="18.75" customHeight="1" x14ac:dyDescent="0.25">
      <c r="B4" s="8" t="s">
        <v>174</v>
      </c>
      <c r="M4" s="85" t="s">
        <v>28</v>
      </c>
      <c r="N4" s="85" t="s">
        <v>28</v>
      </c>
      <c r="O4" s="85" t="s">
        <v>28</v>
      </c>
      <c r="P4" s="9"/>
      <c r="Q4" s="89" t="s">
        <v>29</v>
      </c>
      <c r="R4" s="89" t="s">
        <v>31</v>
      </c>
      <c r="S4" s="89" t="s">
        <v>23</v>
      </c>
      <c r="T4" s="7"/>
    </row>
    <row r="5" spans="1:20" ht="15.75" thickBot="1" x14ac:dyDescent="0.3">
      <c r="G5" s="183" t="s">
        <v>295</v>
      </c>
      <c r="H5" s="183" t="s">
        <v>295</v>
      </c>
      <c r="M5" s="86" t="s">
        <v>27</v>
      </c>
      <c r="N5" s="86" t="s">
        <v>26</v>
      </c>
      <c r="O5" s="86" t="s">
        <v>25</v>
      </c>
      <c r="P5" s="9"/>
      <c r="Q5" s="90" t="s">
        <v>30</v>
      </c>
      <c r="R5" s="90" t="s">
        <v>30</v>
      </c>
      <c r="S5" s="90" t="s">
        <v>30</v>
      </c>
      <c r="T5" s="7"/>
    </row>
    <row r="6" spans="1:20" ht="85.5" customHeight="1" thickBot="1" x14ac:dyDescent="0.3">
      <c r="B6" s="84" t="s">
        <v>1</v>
      </c>
      <c r="C6" s="84" t="s">
        <v>389</v>
      </c>
      <c r="D6" s="84" t="s">
        <v>107</v>
      </c>
      <c r="E6" s="84" t="s">
        <v>3</v>
      </c>
      <c r="F6" s="84" t="s">
        <v>4</v>
      </c>
      <c r="G6" s="107" t="s">
        <v>136</v>
      </c>
      <c r="H6" s="107" t="s">
        <v>137</v>
      </c>
      <c r="I6" s="107" t="s">
        <v>133</v>
      </c>
      <c r="J6" s="107" t="s">
        <v>134</v>
      </c>
      <c r="K6" s="107" t="s">
        <v>121</v>
      </c>
      <c r="L6" s="83" t="s">
        <v>5</v>
      </c>
      <c r="M6" s="87" t="s">
        <v>6</v>
      </c>
      <c r="N6" s="87" t="s">
        <v>6</v>
      </c>
      <c r="O6" s="87" t="s">
        <v>6</v>
      </c>
      <c r="P6" s="9"/>
      <c r="Q6" s="91"/>
      <c r="R6" s="97" t="s">
        <v>32</v>
      </c>
      <c r="S6" s="98" t="s">
        <v>33</v>
      </c>
    </row>
    <row r="7" spans="1:20" ht="26.25" customHeight="1" x14ac:dyDescent="0.25">
      <c r="B7" s="2" t="s">
        <v>8</v>
      </c>
      <c r="C7" s="92" t="s">
        <v>106</v>
      </c>
      <c r="D7" s="92" t="s">
        <v>306</v>
      </c>
      <c r="E7" s="2" t="s">
        <v>307</v>
      </c>
      <c r="F7" s="2" t="s">
        <v>7</v>
      </c>
      <c r="G7" s="186">
        <v>2.63E-2</v>
      </c>
      <c r="H7" s="186">
        <v>0.1845</v>
      </c>
      <c r="I7" s="187">
        <v>44742</v>
      </c>
      <c r="J7" s="187">
        <v>44743</v>
      </c>
      <c r="K7" s="187">
        <v>44378</v>
      </c>
      <c r="L7" s="188" t="s">
        <v>297</v>
      </c>
      <c r="M7" s="70">
        <v>402889.5</v>
      </c>
      <c r="N7" s="70"/>
      <c r="O7" s="67">
        <f t="shared" ref="O7:O13" si="0">M7+N7</f>
        <v>402889.5</v>
      </c>
      <c r="P7" s="148"/>
      <c r="Q7" s="70">
        <f>94834.66+60298.33+17039.81+114635.61+83398.15</f>
        <v>370206.55999999994</v>
      </c>
      <c r="R7" s="60"/>
      <c r="S7" s="159">
        <f t="shared" ref="S7:S13" si="1">Q7+R7</f>
        <v>370206.55999999994</v>
      </c>
    </row>
    <row r="8" spans="1:20" ht="26.25" customHeight="1" x14ac:dyDescent="0.25">
      <c r="B8" s="2" t="s">
        <v>257</v>
      </c>
      <c r="C8" s="236" t="s">
        <v>260</v>
      </c>
      <c r="D8" s="93" t="s">
        <v>258</v>
      </c>
      <c r="E8" s="2" t="s">
        <v>259</v>
      </c>
      <c r="F8" s="2" t="s">
        <v>7</v>
      </c>
      <c r="G8" s="186">
        <v>2.63E-2</v>
      </c>
      <c r="H8" s="186">
        <v>0.1845</v>
      </c>
      <c r="I8" s="187">
        <v>44439</v>
      </c>
      <c r="J8" s="187">
        <v>44454</v>
      </c>
      <c r="K8" s="187">
        <v>44013</v>
      </c>
      <c r="L8" s="188" t="s">
        <v>290</v>
      </c>
      <c r="M8" s="79">
        <v>14729.4</v>
      </c>
      <c r="N8" s="67"/>
      <c r="O8" s="67">
        <f t="shared" si="0"/>
        <v>14729.4</v>
      </c>
      <c r="P8" s="67"/>
      <c r="Q8" s="67">
        <v>14729.4</v>
      </c>
      <c r="R8" s="67"/>
      <c r="S8" s="68">
        <f t="shared" si="1"/>
        <v>14729.4</v>
      </c>
    </row>
    <row r="9" spans="1:20" ht="33" customHeight="1" x14ac:dyDescent="0.25">
      <c r="B9" s="2" t="s">
        <v>128</v>
      </c>
      <c r="C9" s="225" t="s">
        <v>122</v>
      </c>
      <c r="D9" s="93" t="s">
        <v>310</v>
      </c>
      <c r="E9" s="2" t="s">
        <v>309</v>
      </c>
      <c r="F9" s="2" t="s">
        <v>7</v>
      </c>
      <c r="G9" s="186">
        <v>2.63E-2</v>
      </c>
      <c r="H9" s="186">
        <v>0.1845</v>
      </c>
      <c r="I9" s="187">
        <v>44742</v>
      </c>
      <c r="J9" s="187">
        <v>44743</v>
      </c>
      <c r="K9" s="187">
        <v>44378</v>
      </c>
      <c r="L9" s="204" t="s">
        <v>297</v>
      </c>
      <c r="M9" s="70">
        <v>33312.480000000003</v>
      </c>
      <c r="N9" s="148"/>
      <c r="O9" s="67">
        <f t="shared" si="0"/>
        <v>33312.480000000003</v>
      </c>
      <c r="P9" s="148"/>
      <c r="Q9" s="70">
        <v>33312.480000000003</v>
      </c>
      <c r="R9" s="60"/>
      <c r="S9" s="81">
        <f t="shared" si="1"/>
        <v>33312.480000000003</v>
      </c>
    </row>
    <row r="10" spans="1:20" ht="33" customHeight="1" x14ac:dyDescent="0.25">
      <c r="B10" s="330" t="s">
        <v>371</v>
      </c>
      <c r="C10" s="327" t="s">
        <v>373</v>
      </c>
      <c r="D10" s="328" t="s">
        <v>372</v>
      </c>
      <c r="E10" s="29" t="s">
        <v>374</v>
      </c>
      <c r="F10" s="2" t="s">
        <v>7</v>
      </c>
      <c r="G10" s="186">
        <v>2.63E-2</v>
      </c>
      <c r="H10" s="186">
        <v>0.1845</v>
      </c>
      <c r="I10" s="187">
        <v>45199</v>
      </c>
      <c r="J10" s="187">
        <v>45214</v>
      </c>
      <c r="K10" s="187">
        <v>44378</v>
      </c>
      <c r="L10" s="188" t="s">
        <v>325</v>
      </c>
      <c r="M10" s="70">
        <v>9972.27</v>
      </c>
      <c r="N10" s="70"/>
      <c r="O10" s="67">
        <f>M10+N10</f>
        <v>9972.27</v>
      </c>
      <c r="P10" s="42"/>
      <c r="Q10" s="43">
        <v>9972.27</v>
      </c>
      <c r="R10" s="67"/>
      <c r="S10" s="68">
        <f t="shared" si="1"/>
        <v>9972.27</v>
      </c>
    </row>
    <row r="11" spans="1:20" ht="25.9" customHeight="1" x14ac:dyDescent="0.25">
      <c r="B11" s="2" t="s">
        <v>146</v>
      </c>
      <c r="C11" s="92" t="s">
        <v>187</v>
      </c>
      <c r="D11" s="92" t="s">
        <v>264</v>
      </c>
      <c r="E11" s="2" t="s">
        <v>265</v>
      </c>
      <c r="F11" s="2" t="s">
        <v>7</v>
      </c>
      <c r="G11" s="186">
        <v>2.63E-2</v>
      </c>
      <c r="H11" s="186">
        <v>0.1845</v>
      </c>
      <c r="I11" s="187">
        <v>44408</v>
      </c>
      <c r="J11" s="187">
        <v>44423</v>
      </c>
      <c r="K11" s="187">
        <v>44013</v>
      </c>
      <c r="L11" s="188" t="s">
        <v>278</v>
      </c>
      <c r="M11" s="6">
        <v>210096</v>
      </c>
      <c r="N11" s="67"/>
      <c r="O11" s="67">
        <f t="shared" si="0"/>
        <v>210096</v>
      </c>
      <c r="P11" s="67"/>
      <c r="Q11" s="70">
        <f>69194.19+24790.83+31001.91</f>
        <v>124986.93000000001</v>
      </c>
      <c r="R11" s="67"/>
      <c r="S11" s="81">
        <f t="shared" si="1"/>
        <v>124986.93000000001</v>
      </c>
    </row>
    <row r="12" spans="1:20" ht="25.9" customHeight="1" x14ac:dyDescent="0.25">
      <c r="B12" s="2" t="s">
        <v>146</v>
      </c>
      <c r="C12" s="92" t="s">
        <v>285</v>
      </c>
      <c r="D12" s="92" t="s">
        <v>338</v>
      </c>
      <c r="E12" s="2" t="s">
        <v>343</v>
      </c>
      <c r="F12" s="2" t="s">
        <v>7</v>
      </c>
      <c r="G12" s="186">
        <v>2.63E-2</v>
      </c>
      <c r="H12" s="186">
        <v>0.1845</v>
      </c>
      <c r="I12" s="187">
        <v>44773</v>
      </c>
      <c r="J12" s="187">
        <v>44788</v>
      </c>
      <c r="K12" s="187">
        <v>44378</v>
      </c>
      <c r="L12" s="188" t="s">
        <v>337</v>
      </c>
      <c r="M12" s="6">
        <v>210096</v>
      </c>
      <c r="N12" s="67"/>
      <c r="O12" s="67">
        <f t="shared" si="0"/>
        <v>210096</v>
      </c>
      <c r="P12" s="67"/>
      <c r="Q12" s="70">
        <f>12729.03+13455.27+20399.78+11843.62+10007.8+14052.73+13469.34</f>
        <v>95957.569999999992</v>
      </c>
      <c r="R12" s="67"/>
      <c r="S12" s="81">
        <f t="shared" si="1"/>
        <v>95957.569999999992</v>
      </c>
    </row>
    <row r="13" spans="1:20" ht="33" customHeight="1" x14ac:dyDescent="0.25">
      <c r="B13" s="2" t="s">
        <v>223</v>
      </c>
      <c r="C13" s="236" t="s">
        <v>333</v>
      </c>
      <c r="D13" s="93" t="s">
        <v>224</v>
      </c>
      <c r="E13" s="2" t="s">
        <v>225</v>
      </c>
      <c r="F13" s="2" t="s">
        <v>7</v>
      </c>
      <c r="G13" s="186">
        <v>2.63E-2</v>
      </c>
      <c r="H13" s="186">
        <v>0.1845</v>
      </c>
      <c r="I13" s="187">
        <v>44834</v>
      </c>
      <c r="J13" s="187">
        <v>44849</v>
      </c>
      <c r="K13" s="187">
        <v>43614</v>
      </c>
      <c r="L13" s="188" t="s">
        <v>274</v>
      </c>
      <c r="M13" s="6">
        <v>188474.89</v>
      </c>
      <c r="N13" s="67"/>
      <c r="O13" s="67">
        <f t="shared" si="0"/>
        <v>188474.89</v>
      </c>
      <c r="P13" s="67"/>
      <c r="Q13" s="70">
        <v>133411.20000000001</v>
      </c>
      <c r="R13" s="67"/>
      <c r="S13" s="81">
        <f t="shared" si="1"/>
        <v>133411.20000000001</v>
      </c>
    </row>
    <row r="14" spans="1:20" ht="26.25" customHeight="1" x14ac:dyDescent="0.25">
      <c r="B14" s="2" t="s">
        <v>275</v>
      </c>
      <c r="C14" s="236" t="s">
        <v>333</v>
      </c>
      <c r="D14" s="93" t="s">
        <v>224</v>
      </c>
      <c r="E14" s="2" t="s">
        <v>276</v>
      </c>
      <c r="F14" s="2" t="s">
        <v>7</v>
      </c>
      <c r="G14" s="186">
        <v>2.63E-2</v>
      </c>
      <c r="H14" s="186">
        <v>0.1845</v>
      </c>
      <c r="I14" s="297">
        <v>44773</v>
      </c>
      <c r="J14" s="297">
        <v>44788</v>
      </c>
      <c r="K14" s="187">
        <v>43980</v>
      </c>
      <c r="L14" s="188" t="s">
        <v>277</v>
      </c>
      <c r="M14" s="79">
        <v>10154.91</v>
      </c>
      <c r="N14" s="70"/>
      <c r="O14" s="67">
        <f>M14+N14</f>
        <v>10154.91</v>
      </c>
      <c r="P14" s="67"/>
      <c r="Q14" s="67"/>
      <c r="R14" s="67"/>
      <c r="S14" s="68">
        <f>Q14+R14</f>
        <v>0</v>
      </c>
    </row>
    <row r="15" spans="1:20" ht="26.25" customHeight="1" x14ac:dyDescent="0.25">
      <c r="B15" s="2" t="s">
        <v>279</v>
      </c>
      <c r="C15" s="236" t="s">
        <v>333</v>
      </c>
      <c r="D15" s="93" t="s">
        <v>224</v>
      </c>
      <c r="E15" s="2" t="s">
        <v>280</v>
      </c>
      <c r="F15" s="2" t="s">
        <v>7</v>
      </c>
      <c r="G15" s="186">
        <v>2.63E-2</v>
      </c>
      <c r="H15" s="186">
        <v>0.1845</v>
      </c>
      <c r="I15" s="187">
        <v>44592</v>
      </c>
      <c r="J15" s="187">
        <v>44592</v>
      </c>
      <c r="K15" s="187">
        <v>43980</v>
      </c>
      <c r="L15" s="188" t="s">
        <v>332</v>
      </c>
      <c r="M15" s="79">
        <v>3000</v>
      </c>
      <c r="N15" s="67"/>
      <c r="O15" s="67">
        <f t="shared" ref="O15:O23" si="2">M15+N15</f>
        <v>3000</v>
      </c>
      <c r="P15" s="66"/>
      <c r="Q15" s="67"/>
      <c r="R15" s="67"/>
      <c r="S15" s="68">
        <f t="shared" ref="S15:S23" si="3">Q15+R15</f>
        <v>0</v>
      </c>
    </row>
    <row r="16" spans="1:20" ht="26.25" customHeight="1" x14ac:dyDescent="0.25">
      <c r="B16" s="2" t="s">
        <v>281</v>
      </c>
      <c r="C16" s="236" t="s">
        <v>334</v>
      </c>
      <c r="D16" s="93" t="s">
        <v>231</v>
      </c>
      <c r="E16" s="2" t="s">
        <v>282</v>
      </c>
      <c r="F16" s="2" t="s">
        <v>7</v>
      </c>
      <c r="G16" s="186">
        <v>2.63E-2</v>
      </c>
      <c r="H16" s="186">
        <v>0.1845</v>
      </c>
      <c r="I16" s="187">
        <v>44742</v>
      </c>
      <c r="J16" s="187">
        <v>44757</v>
      </c>
      <c r="K16" s="187">
        <v>43979</v>
      </c>
      <c r="L16" s="188" t="s">
        <v>283</v>
      </c>
      <c r="M16" s="79">
        <v>1027</v>
      </c>
      <c r="N16" s="67"/>
      <c r="O16" s="67">
        <f t="shared" si="2"/>
        <v>1027</v>
      </c>
      <c r="P16" s="66"/>
      <c r="Q16" s="67"/>
      <c r="R16" s="67"/>
      <c r="S16" s="68">
        <f t="shared" si="3"/>
        <v>0</v>
      </c>
    </row>
    <row r="17" spans="2:19" ht="26.25" customHeight="1" x14ac:dyDescent="0.25">
      <c r="B17" s="2" t="s">
        <v>321</v>
      </c>
      <c r="C17" s="236" t="s">
        <v>333</v>
      </c>
      <c r="D17" s="93" t="s">
        <v>288</v>
      </c>
      <c r="E17" s="2" t="s">
        <v>322</v>
      </c>
      <c r="F17" s="2" t="s">
        <v>7</v>
      </c>
      <c r="G17" s="186">
        <f>G16:H16</f>
        <v>2.63E-2</v>
      </c>
      <c r="H17" s="186">
        <f>H16</f>
        <v>0.1845</v>
      </c>
      <c r="I17" s="187">
        <v>45199</v>
      </c>
      <c r="J17" s="187">
        <v>45214</v>
      </c>
      <c r="K17" s="187">
        <v>44201</v>
      </c>
      <c r="L17" s="188" t="s">
        <v>323</v>
      </c>
      <c r="M17" s="79">
        <v>179099.27</v>
      </c>
      <c r="N17" s="67"/>
      <c r="O17" s="67">
        <f t="shared" si="2"/>
        <v>179099.27</v>
      </c>
      <c r="P17" s="66"/>
      <c r="Q17" s="67"/>
      <c r="R17" s="67"/>
      <c r="S17" s="68">
        <f t="shared" si="3"/>
        <v>0</v>
      </c>
    </row>
    <row r="18" spans="2:19" ht="26.25" customHeight="1" x14ac:dyDescent="0.25">
      <c r="B18" s="2" t="s">
        <v>324</v>
      </c>
      <c r="C18" s="236" t="s">
        <v>333</v>
      </c>
      <c r="D18" s="93" t="s">
        <v>288</v>
      </c>
      <c r="E18" s="2" t="s">
        <v>329</v>
      </c>
      <c r="F18" s="2" t="s">
        <v>7</v>
      </c>
      <c r="G18" s="186">
        <f>G17:H17</f>
        <v>2.63E-2</v>
      </c>
      <c r="H18" s="186">
        <f>H17</f>
        <v>0.1845</v>
      </c>
      <c r="I18" s="187">
        <v>45199</v>
      </c>
      <c r="J18" s="187">
        <v>45214</v>
      </c>
      <c r="K18" s="187">
        <v>44201</v>
      </c>
      <c r="L18" s="188" t="s">
        <v>325</v>
      </c>
      <c r="M18" s="79">
        <v>52398</v>
      </c>
      <c r="N18" s="67"/>
      <c r="O18" s="67">
        <f t="shared" si="2"/>
        <v>52398</v>
      </c>
      <c r="P18" s="66"/>
      <c r="Q18" s="67"/>
      <c r="R18" s="67"/>
      <c r="S18" s="68">
        <f t="shared" si="3"/>
        <v>0</v>
      </c>
    </row>
    <row r="19" spans="2:19" ht="26.25" customHeight="1" x14ac:dyDescent="0.25">
      <c r="B19" s="2" t="s">
        <v>326</v>
      </c>
      <c r="C19" s="236" t="s">
        <v>333</v>
      </c>
      <c r="D19" s="93" t="s">
        <v>288</v>
      </c>
      <c r="E19" s="2" t="s">
        <v>330</v>
      </c>
      <c r="F19" s="2" t="s">
        <v>7</v>
      </c>
      <c r="G19" s="186">
        <f>G18:H18</f>
        <v>2.63E-2</v>
      </c>
      <c r="H19" s="186">
        <f>H18</f>
        <v>0.1845</v>
      </c>
      <c r="I19" s="187">
        <v>45199</v>
      </c>
      <c r="J19" s="187">
        <v>45214</v>
      </c>
      <c r="K19" s="187">
        <v>44201</v>
      </c>
      <c r="L19" s="188" t="s">
        <v>323</v>
      </c>
      <c r="M19" s="79">
        <v>16124.42</v>
      </c>
      <c r="N19" s="67"/>
      <c r="O19" s="67">
        <f t="shared" si="2"/>
        <v>16124.42</v>
      </c>
      <c r="P19" s="66"/>
      <c r="Q19" s="67"/>
      <c r="R19" s="67"/>
      <c r="S19" s="68">
        <f t="shared" si="3"/>
        <v>0</v>
      </c>
    </row>
    <row r="20" spans="2:19" ht="26.25" customHeight="1" x14ac:dyDescent="0.25">
      <c r="B20" s="2" t="s">
        <v>370</v>
      </c>
      <c r="C20" s="236" t="s">
        <v>333</v>
      </c>
      <c r="D20" s="93" t="s">
        <v>288</v>
      </c>
      <c r="E20" s="2" t="s">
        <v>331</v>
      </c>
      <c r="F20" s="2" t="s">
        <v>7</v>
      </c>
      <c r="G20" s="186">
        <f t="shared" ref="G20" si="4">G19:H19</f>
        <v>2.63E-2</v>
      </c>
      <c r="H20" s="186">
        <f t="shared" ref="H20" si="5">H19</f>
        <v>0.1845</v>
      </c>
      <c r="I20" s="187">
        <v>45199</v>
      </c>
      <c r="J20" s="187">
        <v>45214</v>
      </c>
      <c r="K20" s="187">
        <v>44201</v>
      </c>
      <c r="L20" s="188" t="s">
        <v>325</v>
      </c>
      <c r="M20" s="79">
        <v>222530.84</v>
      </c>
      <c r="N20" s="67"/>
      <c r="O20" s="67">
        <f t="shared" si="2"/>
        <v>222530.84</v>
      </c>
      <c r="P20" s="66"/>
      <c r="Q20" s="67"/>
      <c r="R20" s="67"/>
      <c r="S20" s="68">
        <f t="shared" si="3"/>
        <v>0</v>
      </c>
    </row>
    <row r="21" spans="2:19" ht="26.25" customHeight="1" x14ac:dyDescent="0.25">
      <c r="B21" s="2" t="s">
        <v>287</v>
      </c>
      <c r="C21" s="236" t="s">
        <v>333</v>
      </c>
      <c r="D21" s="93" t="s">
        <v>288</v>
      </c>
      <c r="E21" s="2" t="s">
        <v>289</v>
      </c>
      <c r="F21" s="2" t="s">
        <v>7</v>
      </c>
      <c r="G21" s="186">
        <v>2.63E-2</v>
      </c>
      <c r="H21" s="186">
        <v>0.1845</v>
      </c>
      <c r="I21" s="187">
        <v>45199</v>
      </c>
      <c r="J21" s="187">
        <v>45199</v>
      </c>
      <c r="K21" s="187">
        <v>44201</v>
      </c>
      <c r="L21" s="188" t="s">
        <v>320</v>
      </c>
      <c r="M21" s="79">
        <v>411928.33</v>
      </c>
      <c r="N21" s="67"/>
      <c r="O21" s="67">
        <f t="shared" si="2"/>
        <v>411928.33</v>
      </c>
      <c r="P21" s="66"/>
      <c r="Q21" s="67"/>
      <c r="R21" s="67"/>
      <c r="S21" s="68">
        <f t="shared" si="3"/>
        <v>0</v>
      </c>
    </row>
    <row r="22" spans="2:19" ht="26.25" customHeight="1" x14ac:dyDescent="0.25">
      <c r="B22" s="2" t="s">
        <v>352</v>
      </c>
      <c r="C22" s="236" t="s">
        <v>353</v>
      </c>
      <c r="D22" s="93" t="s">
        <v>354</v>
      </c>
      <c r="E22" s="2" t="s">
        <v>355</v>
      </c>
      <c r="F22" s="2" t="s">
        <v>7</v>
      </c>
      <c r="G22" s="186">
        <v>2.63E-2</v>
      </c>
      <c r="H22" s="186">
        <v>0.1845</v>
      </c>
      <c r="I22" s="187">
        <v>45565</v>
      </c>
      <c r="J22" s="187">
        <v>45580</v>
      </c>
      <c r="K22" s="187">
        <v>44279</v>
      </c>
      <c r="L22" s="188" t="s">
        <v>356</v>
      </c>
      <c r="M22" s="79">
        <v>1610583.95</v>
      </c>
      <c r="N22" s="67"/>
      <c r="O22" s="67">
        <f t="shared" si="2"/>
        <v>1610583.95</v>
      </c>
      <c r="P22" s="66"/>
      <c r="Q22" s="67"/>
      <c r="R22" s="67"/>
      <c r="S22" s="68">
        <f t="shared" si="3"/>
        <v>0</v>
      </c>
    </row>
    <row r="23" spans="2:19" ht="26.25" customHeight="1" x14ac:dyDescent="0.25">
      <c r="B23" s="2" t="s">
        <v>357</v>
      </c>
      <c r="C23" s="236" t="s">
        <v>353</v>
      </c>
      <c r="D23" s="93" t="s">
        <v>354</v>
      </c>
      <c r="E23" s="2" t="s">
        <v>358</v>
      </c>
      <c r="F23" s="2" t="s">
        <v>7</v>
      </c>
      <c r="G23" s="186">
        <v>2.63E-2</v>
      </c>
      <c r="H23" s="186">
        <v>0.1845</v>
      </c>
      <c r="I23" s="187">
        <v>45565</v>
      </c>
      <c r="J23" s="187">
        <v>45580</v>
      </c>
      <c r="K23" s="187">
        <v>44279</v>
      </c>
      <c r="L23" s="188" t="s">
        <v>356</v>
      </c>
      <c r="M23" s="79">
        <v>402645.99</v>
      </c>
      <c r="N23" s="67"/>
      <c r="O23" s="67">
        <f t="shared" si="2"/>
        <v>402645.99</v>
      </c>
      <c r="P23" s="66"/>
      <c r="Q23" s="67"/>
      <c r="R23" s="67"/>
      <c r="S23" s="68">
        <f t="shared" si="3"/>
        <v>0</v>
      </c>
    </row>
    <row r="24" spans="2:19" x14ac:dyDescent="0.25">
      <c r="C24" s="92"/>
      <c r="D24" s="92"/>
      <c r="G24" s="186"/>
      <c r="H24" s="186"/>
      <c r="I24" s="187"/>
      <c r="J24" s="187"/>
      <c r="K24" s="187"/>
      <c r="L24" s="188"/>
      <c r="M24" s="6"/>
      <c r="N24" s="67"/>
      <c r="O24" s="67"/>
      <c r="P24" s="67"/>
      <c r="Q24" s="70"/>
      <c r="R24" s="67"/>
      <c r="S24" s="81"/>
    </row>
    <row r="25" spans="2:19" ht="21.75" customHeight="1" x14ac:dyDescent="0.25">
      <c r="C25" s="92"/>
      <c r="D25" s="92"/>
      <c r="I25" s="116"/>
      <c r="J25" s="116"/>
      <c r="K25" s="116"/>
      <c r="L25" s="5" t="s">
        <v>38</v>
      </c>
      <c r="M25" s="273">
        <f>SUM(M7:M24)</f>
        <v>3979063.25</v>
      </c>
      <c r="N25" s="273">
        <f>SUM(N7:N24)</f>
        <v>0</v>
      </c>
      <c r="O25" s="273">
        <f>SUM(O7:O24)</f>
        <v>3979063.25</v>
      </c>
      <c r="Q25" s="273">
        <f>SUM(Q7:Q24)</f>
        <v>782576.40999999992</v>
      </c>
      <c r="R25" s="273">
        <f>SUM(R7:R24)</f>
        <v>0</v>
      </c>
      <c r="S25" s="23">
        <f>SUM(S7:S24)</f>
        <v>782576.40999999992</v>
      </c>
    </row>
    <row r="26" spans="2:19" x14ac:dyDescent="0.25">
      <c r="C26" s="92"/>
      <c r="D26" s="92"/>
      <c r="L26" s="5"/>
      <c r="M26" s="66"/>
      <c r="N26" s="66"/>
      <c r="O26" s="66"/>
      <c r="Q26" s="66"/>
      <c r="R26" s="66"/>
      <c r="S26" s="68"/>
    </row>
    <row r="27" spans="2:19" x14ac:dyDescent="0.25">
      <c r="C27" s="92"/>
      <c r="D27" s="92"/>
      <c r="L27" s="5"/>
      <c r="M27" s="66"/>
      <c r="N27" s="66"/>
      <c r="O27" s="66"/>
      <c r="Q27" s="66"/>
      <c r="R27" s="66"/>
      <c r="S27" s="68"/>
    </row>
    <row r="28" spans="2:19" x14ac:dyDescent="0.25">
      <c r="B28" s="8" t="s">
        <v>125</v>
      </c>
      <c r="C28" s="92"/>
      <c r="D28" s="92"/>
      <c r="L28" s="5"/>
      <c r="M28" s="66"/>
      <c r="N28" s="66"/>
      <c r="O28" s="66"/>
      <c r="Q28" s="66"/>
      <c r="R28" s="66"/>
      <c r="S28" s="68"/>
    </row>
    <row r="29" spans="2:19" ht="33.75" customHeight="1" x14ac:dyDescent="0.25">
      <c r="B29" s="341" t="s">
        <v>126</v>
      </c>
      <c r="C29" s="341"/>
      <c r="D29" s="341"/>
      <c r="E29" s="341"/>
      <c r="F29" s="341"/>
      <c r="G29" s="117"/>
      <c r="H29" s="117"/>
      <c r="I29" s="111"/>
      <c r="L29" s="5"/>
      <c r="M29" s="66"/>
      <c r="N29" s="66"/>
      <c r="O29" s="66"/>
      <c r="Q29" s="66"/>
      <c r="R29" s="66"/>
      <c r="S29" s="68"/>
    </row>
    <row r="30" spans="2:19" x14ac:dyDescent="0.25">
      <c r="C30" s="92"/>
      <c r="D30" s="92"/>
      <c r="L30" s="5"/>
      <c r="M30" s="66"/>
      <c r="N30" s="66"/>
      <c r="O30" s="66"/>
      <c r="Q30" s="66"/>
      <c r="R30" s="66"/>
      <c r="S30" s="68"/>
    </row>
    <row r="31" spans="2:19" ht="44.25" customHeight="1" x14ac:dyDescent="0.25">
      <c r="B31" s="341" t="s">
        <v>129</v>
      </c>
      <c r="C31" s="341"/>
      <c r="D31" s="341"/>
      <c r="E31" s="341"/>
      <c r="F31" s="341"/>
      <c r="G31" s="117"/>
      <c r="H31" s="117"/>
      <c r="I31" s="111"/>
      <c r="L31" s="5"/>
      <c r="M31" s="66"/>
      <c r="N31" s="66"/>
      <c r="O31" s="66"/>
      <c r="Q31" s="66"/>
      <c r="R31" s="66"/>
      <c r="S31" s="68"/>
    </row>
    <row r="32" spans="2:19" x14ac:dyDescent="0.25">
      <c r="B32" s="108"/>
      <c r="C32" s="108"/>
      <c r="D32" s="108"/>
      <c r="E32" s="108"/>
      <c r="F32" s="108"/>
      <c r="G32" s="117"/>
      <c r="H32" s="117"/>
      <c r="I32" s="111"/>
      <c r="L32" s="5"/>
      <c r="M32" s="66"/>
      <c r="N32" s="66"/>
      <c r="O32" s="66"/>
      <c r="Q32" s="66"/>
      <c r="R32" s="66"/>
      <c r="S32" s="68"/>
    </row>
    <row r="33" spans="1:19" ht="32.25" customHeight="1" x14ac:dyDescent="0.25">
      <c r="B33" s="341" t="s">
        <v>160</v>
      </c>
      <c r="C33" s="341"/>
      <c r="D33" s="341"/>
      <c r="E33" s="341"/>
      <c r="F33" s="341"/>
      <c r="G33" s="193"/>
      <c r="H33" s="193"/>
      <c r="I33" s="193"/>
      <c r="L33" s="5"/>
      <c r="M33" s="66"/>
      <c r="N33" s="66"/>
      <c r="O33" s="66"/>
      <c r="Q33" s="66"/>
      <c r="R33" s="66"/>
      <c r="S33" s="68"/>
    </row>
    <row r="34" spans="1:19" ht="15" customHeight="1" x14ac:dyDescent="0.25">
      <c r="B34" s="347" t="s">
        <v>159</v>
      </c>
      <c r="C34" s="341"/>
      <c r="D34" s="341"/>
      <c r="E34" s="341"/>
      <c r="F34" s="341"/>
      <c r="G34" s="193"/>
      <c r="H34" s="193"/>
      <c r="I34" s="193"/>
      <c r="L34" s="5"/>
      <c r="M34" s="66"/>
      <c r="N34" s="66"/>
      <c r="O34" s="66"/>
      <c r="Q34" s="66"/>
      <c r="R34" s="66"/>
      <c r="S34" s="68"/>
    </row>
    <row r="35" spans="1:19" ht="15" customHeight="1" x14ac:dyDescent="0.25">
      <c r="B35" s="195"/>
      <c r="C35" s="195"/>
      <c r="D35" s="195"/>
      <c r="E35" s="195"/>
      <c r="F35" s="195"/>
      <c r="G35" s="195"/>
      <c r="H35" s="195"/>
      <c r="I35" s="195"/>
      <c r="L35" s="5"/>
      <c r="M35" s="66"/>
      <c r="N35" s="66"/>
      <c r="O35" s="66"/>
      <c r="Q35" s="66"/>
      <c r="R35" s="66"/>
      <c r="S35" s="68"/>
    </row>
    <row r="36" spans="1:19" x14ac:dyDescent="0.25">
      <c r="B36" s="7" t="s">
        <v>109</v>
      </c>
      <c r="C36" s="101" t="s">
        <v>112</v>
      </c>
      <c r="D36" s="101" t="s">
        <v>113</v>
      </c>
      <c r="E36" s="108"/>
      <c r="F36" s="108"/>
      <c r="G36" s="117"/>
      <c r="H36" s="117"/>
      <c r="I36" s="111"/>
      <c r="L36" s="5"/>
      <c r="M36" s="66"/>
      <c r="N36" s="66"/>
      <c r="O36" s="66"/>
      <c r="Q36" s="66"/>
      <c r="R36" s="66"/>
      <c r="S36" s="68"/>
    </row>
    <row r="37" spans="1:19" x14ac:dyDescent="0.25">
      <c r="B37" s="2" t="s">
        <v>110</v>
      </c>
      <c r="C37" s="92" t="s">
        <v>327</v>
      </c>
      <c r="D37" s="92" t="s">
        <v>118</v>
      </c>
      <c r="E37" s="108"/>
      <c r="F37" s="108"/>
      <c r="G37" s="117"/>
      <c r="H37" s="117"/>
      <c r="I37" s="111"/>
      <c r="L37" s="5"/>
      <c r="M37" s="66"/>
      <c r="N37" s="66"/>
      <c r="O37" s="66"/>
      <c r="Q37" s="66"/>
      <c r="R37" s="66"/>
      <c r="S37" s="68"/>
    </row>
    <row r="38" spans="1:19" x14ac:dyDescent="0.25">
      <c r="A38" s="2" t="s">
        <v>262</v>
      </c>
      <c r="B38" s="2" t="s">
        <v>262</v>
      </c>
      <c r="C38" s="92" t="s">
        <v>180</v>
      </c>
      <c r="D38" s="92" t="s">
        <v>181</v>
      </c>
      <c r="E38" s="318"/>
      <c r="F38" s="318"/>
      <c r="G38" s="318"/>
      <c r="H38" s="318"/>
      <c r="I38" s="318"/>
      <c r="L38" s="5"/>
      <c r="M38" s="66"/>
      <c r="N38" s="66"/>
      <c r="O38" s="66"/>
      <c r="Q38" s="66"/>
      <c r="R38" s="66"/>
      <c r="S38" s="68"/>
    </row>
    <row r="39" spans="1:19" x14ac:dyDescent="0.25">
      <c r="B39" s="2" t="s">
        <v>111</v>
      </c>
      <c r="C39" s="92" t="s">
        <v>300</v>
      </c>
      <c r="D39" s="92" t="s">
        <v>303</v>
      </c>
      <c r="L39" s="5"/>
      <c r="M39" s="66"/>
      <c r="N39" s="66"/>
      <c r="O39" s="66"/>
      <c r="Q39" s="66"/>
      <c r="R39" s="66"/>
      <c r="S39" s="68"/>
    </row>
    <row r="40" spans="1:19" x14ac:dyDescent="0.25">
      <c r="B40" s="2" t="s">
        <v>197</v>
      </c>
      <c r="C40" s="92" t="s">
        <v>135</v>
      </c>
      <c r="D40" s="92" t="s">
        <v>147</v>
      </c>
      <c r="L40" s="5"/>
      <c r="M40" s="66"/>
      <c r="N40" s="66"/>
      <c r="O40" s="66"/>
      <c r="Q40" s="66"/>
      <c r="R40" s="66"/>
      <c r="S40" s="68"/>
    </row>
    <row r="41" spans="1:19" x14ac:dyDescent="0.25">
      <c r="B41" s="2" t="s">
        <v>230</v>
      </c>
      <c r="C41" s="92" t="s">
        <v>135</v>
      </c>
      <c r="D41" s="92" t="s">
        <v>147</v>
      </c>
      <c r="L41" s="5"/>
      <c r="M41" s="66"/>
      <c r="N41" s="66"/>
      <c r="O41" s="66"/>
      <c r="Q41" s="66"/>
      <c r="R41" s="66"/>
      <c r="S41" s="68"/>
    </row>
    <row r="42" spans="1:19" x14ac:dyDescent="0.25">
      <c r="B42" s="2" t="s">
        <v>275</v>
      </c>
      <c r="C42" s="92" t="s">
        <v>135</v>
      </c>
      <c r="D42" s="92" t="s">
        <v>147</v>
      </c>
      <c r="L42" s="5"/>
      <c r="M42" s="66"/>
      <c r="N42" s="66"/>
      <c r="O42" s="66"/>
      <c r="Q42" s="66"/>
      <c r="R42" s="66"/>
      <c r="S42" s="68"/>
    </row>
    <row r="43" spans="1:19" x14ac:dyDescent="0.25">
      <c r="B43" s="2" t="s">
        <v>279</v>
      </c>
      <c r="C43" s="92" t="s">
        <v>135</v>
      </c>
      <c r="D43" s="92" t="s">
        <v>147</v>
      </c>
      <c r="L43" s="5"/>
      <c r="M43" s="66"/>
      <c r="N43" s="66"/>
      <c r="O43" s="66"/>
      <c r="Q43" s="66"/>
      <c r="R43" s="66"/>
      <c r="S43" s="68"/>
    </row>
    <row r="44" spans="1:19" x14ac:dyDescent="0.25">
      <c r="B44" s="2" t="s">
        <v>281</v>
      </c>
      <c r="C44" s="92" t="s">
        <v>135</v>
      </c>
      <c r="D44" s="92" t="s">
        <v>147</v>
      </c>
      <c r="L44" s="5"/>
      <c r="M44" s="66"/>
      <c r="N44" s="66"/>
      <c r="O44" s="66"/>
      <c r="Q44" s="66"/>
      <c r="R44" s="66"/>
      <c r="S44" s="68"/>
    </row>
    <row r="45" spans="1:19" x14ac:dyDescent="0.25">
      <c r="B45" s="2" t="s">
        <v>286</v>
      </c>
      <c r="C45" s="92" t="s">
        <v>135</v>
      </c>
      <c r="D45" s="92" t="s">
        <v>147</v>
      </c>
      <c r="L45" s="5"/>
      <c r="M45" s="66"/>
      <c r="N45" s="66"/>
      <c r="O45" s="66"/>
      <c r="Q45" s="66"/>
      <c r="R45" s="66"/>
      <c r="S45" s="68"/>
    </row>
    <row r="46" spans="1:19" x14ac:dyDescent="0.25">
      <c r="C46" s="92"/>
      <c r="D46" s="92"/>
      <c r="L46" s="5"/>
      <c r="M46" s="66"/>
      <c r="N46" s="66"/>
      <c r="O46" s="66"/>
      <c r="Q46" s="66"/>
      <c r="R46" s="66"/>
      <c r="S46" s="68"/>
    </row>
    <row r="47" spans="1:19" x14ac:dyDescent="0.25">
      <c r="B47" s="348" t="s">
        <v>298</v>
      </c>
      <c r="C47" s="336"/>
      <c r="D47" s="336"/>
      <c r="E47" s="336"/>
      <c r="F47" s="336"/>
      <c r="G47" s="336"/>
      <c r="H47" s="336"/>
      <c r="L47" s="5"/>
      <c r="M47" s="66"/>
      <c r="N47" s="66"/>
      <c r="O47" s="66"/>
      <c r="Q47" s="66"/>
      <c r="R47" s="66"/>
      <c r="S47" s="68"/>
    </row>
    <row r="48" spans="1:19" x14ac:dyDescent="0.25">
      <c r="B48" s="255" t="s">
        <v>299</v>
      </c>
      <c r="C48" s="92"/>
      <c r="D48" s="92"/>
      <c r="L48" s="5"/>
      <c r="M48" s="66"/>
      <c r="N48" s="66"/>
      <c r="O48" s="66"/>
      <c r="Q48" s="66"/>
      <c r="R48" s="66"/>
      <c r="S48" s="68"/>
    </row>
    <row r="49" spans="2:20" ht="15" customHeight="1" x14ac:dyDescent="0.25">
      <c r="B49" s="10"/>
      <c r="C49" s="94"/>
      <c r="D49" s="94"/>
      <c r="E49" s="10"/>
      <c r="F49" s="10"/>
      <c r="G49" s="10"/>
      <c r="H49" s="10"/>
      <c r="I49" s="10"/>
      <c r="J49" s="10"/>
      <c r="K49" s="10"/>
      <c r="L49" s="10"/>
      <c r="M49" s="10"/>
      <c r="N49" s="10"/>
      <c r="O49" s="10"/>
      <c r="P49" s="10"/>
      <c r="Q49" s="10"/>
      <c r="R49" s="10"/>
      <c r="S49" s="28"/>
    </row>
    <row r="50" spans="2:20" ht="15" customHeight="1" x14ac:dyDescent="0.25">
      <c r="Q50" s="58" t="s">
        <v>90</v>
      </c>
      <c r="R50" s="51"/>
      <c r="S50" s="172"/>
    </row>
    <row r="51" spans="2:20" ht="13.15" customHeight="1" x14ac:dyDescent="0.25">
      <c r="B51" s="17" t="s">
        <v>39</v>
      </c>
      <c r="C51" s="96" t="s">
        <v>2</v>
      </c>
      <c r="D51" s="96"/>
      <c r="E51" s="96" t="s">
        <v>34</v>
      </c>
      <c r="F51" s="96" t="s">
        <v>35</v>
      </c>
      <c r="G51" s="120"/>
      <c r="H51" s="120"/>
      <c r="I51" s="114"/>
      <c r="J51" s="96"/>
      <c r="K51" s="96"/>
      <c r="L51" s="96" t="s">
        <v>36</v>
      </c>
      <c r="M51" s="96" t="s">
        <v>37</v>
      </c>
      <c r="N51" s="10"/>
      <c r="O51" s="10"/>
      <c r="P51" s="10"/>
      <c r="Q51" s="54" t="s">
        <v>88</v>
      </c>
      <c r="R51" s="54"/>
      <c r="S51" s="55"/>
    </row>
    <row r="52" spans="2:20" ht="13.15" customHeight="1" x14ac:dyDescent="0.25">
      <c r="B52" s="63"/>
      <c r="C52" s="148"/>
      <c r="D52" s="148"/>
      <c r="E52" s="148"/>
      <c r="F52" s="148"/>
      <c r="G52" s="148"/>
      <c r="H52" s="148"/>
      <c r="I52" s="148"/>
      <c r="J52" s="148"/>
      <c r="K52" s="148"/>
      <c r="L52" s="148"/>
      <c r="M52" s="148"/>
      <c r="N52" s="29"/>
      <c r="O52" s="29"/>
      <c r="P52" s="29"/>
      <c r="Q52" s="56"/>
      <c r="R52" s="56"/>
      <c r="S52" s="56"/>
    </row>
    <row r="53" spans="2:20" ht="13.15" customHeight="1" x14ac:dyDescent="0.25">
      <c r="B53" s="63"/>
      <c r="C53" s="148"/>
      <c r="D53" s="148"/>
      <c r="E53" s="148"/>
      <c r="F53" s="148"/>
      <c r="G53" s="148"/>
      <c r="H53" s="148"/>
      <c r="I53" s="148"/>
      <c r="J53" s="148"/>
      <c r="K53" s="148"/>
      <c r="L53" s="148"/>
      <c r="M53" s="148"/>
      <c r="N53" s="29"/>
      <c r="O53" s="29"/>
      <c r="P53" s="29"/>
      <c r="Q53" s="56"/>
      <c r="R53" s="56"/>
      <c r="S53" s="56"/>
    </row>
    <row r="54" spans="2:20" ht="13.15" customHeight="1" x14ac:dyDescent="0.25">
      <c r="B54" s="63"/>
      <c r="C54" s="148"/>
      <c r="D54" s="148"/>
      <c r="E54" s="148"/>
      <c r="F54" s="148"/>
      <c r="G54" s="148"/>
      <c r="H54" s="148"/>
      <c r="I54" s="148"/>
      <c r="J54" s="148"/>
      <c r="K54" s="148"/>
      <c r="L54" s="148"/>
      <c r="M54" s="148"/>
      <c r="N54" s="29"/>
      <c r="O54" s="29"/>
      <c r="P54" s="29"/>
      <c r="Q54" s="56"/>
      <c r="R54" s="56"/>
      <c r="S54" s="56"/>
    </row>
    <row r="55" spans="2:20" ht="15" customHeight="1" x14ac:dyDescent="0.25">
      <c r="B55" s="12"/>
      <c r="C55" s="13"/>
      <c r="D55" s="13"/>
      <c r="E55" s="41"/>
      <c r="F55" s="15"/>
      <c r="G55" s="15"/>
      <c r="H55" s="15"/>
      <c r="I55" s="15"/>
      <c r="J55" s="15"/>
      <c r="K55" s="15"/>
      <c r="L55" s="16"/>
      <c r="M55" s="20"/>
      <c r="N55" s="46"/>
      <c r="O55" s="46"/>
      <c r="P55" s="46"/>
      <c r="Q55" s="309" t="s">
        <v>316</v>
      </c>
      <c r="R55" s="309"/>
      <c r="S55" s="310">
        <f>S25</f>
        <v>782576.40999999992</v>
      </c>
      <c r="T55" s="51"/>
    </row>
    <row r="56" spans="2:20" x14ac:dyDescent="0.25">
      <c r="B56" s="36"/>
      <c r="C56" s="40"/>
      <c r="D56" s="40"/>
      <c r="E56" s="41"/>
      <c r="F56" s="38"/>
      <c r="G56" s="38"/>
      <c r="H56" s="38"/>
      <c r="I56" s="38"/>
      <c r="J56" s="38"/>
      <c r="K56" s="38"/>
      <c r="L56" s="39"/>
      <c r="M56" s="34"/>
      <c r="N56" s="104"/>
      <c r="O56" s="29"/>
      <c r="P56" s="29"/>
      <c r="Q56" s="14"/>
      <c r="R56" s="14"/>
      <c r="S56" s="313"/>
      <c r="T56" s="51"/>
    </row>
    <row r="57" spans="2:20" x14ac:dyDescent="0.25">
      <c r="C57" s="40"/>
      <c r="D57" s="40"/>
      <c r="E57" s="41"/>
      <c r="F57" s="69"/>
      <c r="G57" s="69"/>
      <c r="H57" s="69"/>
      <c r="I57" s="69"/>
      <c r="J57" s="69"/>
      <c r="K57" s="69"/>
      <c r="L57" s="33"/>
      <c r="M57" s="31"/>
      <c r="N57" s="104"/>
      <c r="Q57" s="14"/>
      <c r="R57" s="14"/>
      <c r="S57" s="313"/>
    </row>
    <row r="58" spans="2:20" x14ac:dyDescent="0.25">
      <c r="C58" s="40"/>
      <c r="D58" s="40"/>
      <c r="E58" s="41"/>
      <c r="F58" s="69"/>
      <c r="G58" s="69"/>
      <c r="H58" s="69"/>
      <c r="I58" s="69"/>
      <c r="J58" s="69"/>
      <c r="K58" s="69"/>
      <c r="L58" s="33"/>
      <c r="M58" s="31"/>
      <c r="N58" s="105"/>
    </row>
    <row r="59" spans="2:20" x14ac:dyDescent="0.25">
      <c r="C59" s="40"/>
      <c r="D59" s="40"/>
      <c r="E59" s="41"/>
      <c r="F59" s="69"/>
      <c r="G59" s="69"/>
      <c r="H59" s="69"/>
      <c r="I59" s="69"/>
      <c r="J59" s="69"/>
      <c r="K59" s="69"/>
      <c r="L59" s="33"/>
      <c r="M59" s="35"/>
      <c r="N59" s="37"/>
      <c r="O59" s="37"/>
      <c r="P59" s="29"/>
    </row>
    <row r="60" spans="2:20" ht="15" customHeight="1" x14ac:dyDescent="0.25">
      <c r="B60" s="36"/>
      <c r="C60" s="40"/>
      <c r="D60" s="40"/>
      <c r="E60" s="41"/>
      <c r="F60" s="38"/>
      <c r="G60" s="38"/>
      <c r="H60" s="38"/>
      <c r="I60" s="38"/>
      <c r="J60" s="38"/>
      <c r="K60" s="38"/>
      <c r="L60" s="33"/>
      <c r="M60" s="31"/>
      <c r="N60" s="99"/>
      <c r="O60" s="99"/>
      <c r="P60" s="29"/>
    </row>
    <row r="61" spans="2:20" x14ac:dyDescent="0.25">
      <c r="B61" s="36"/>
      <c r="C61" s="40"/>
      <c r="D61" s="40"/>
      <c r="E61" s="41"/>
      <c r="F61" s="38"/>
      <c r="G61" s="38"/>
      <c r="H61" s="38"/>
      <c r="I61" s="38"/>
      <c r="J61" s="38"/>
      <c r="K61" s="38"/>
      <c r="L61" s="33"/>
      <c r="M61" s="31"/>
      <c r="N61" s="99"/>
      <c r="O61" s="99"/>
      <c r="P61" s="29"/>
    </row>
    <row r="62" spans="2:20" x14ac:dyDescent="0.25">
      <c r="B62" s="36"/>
      <c r="C62" s="40"/>
      <c r="D62" s="40"/>
      <c r="E62" s="41"/>
      <c r="F62" s="38"/>
      <c r="G62" s="38"/>
      <c r="H62" s="38"/>
      <c r="I62" s="38"/>
      <c r="J62" s="38"/>
      <c r="K62" s="38"/>
      <c r="L62" s="33"/>
      <c r="M62" s="31"/>
      <c r="N62" s="99"/>
      <c r="O62" s="99"/>
      <c r="P62" s="29"/>
    </row>
    <row r="63" spans="2:20" ht="16.5" customHeight="1" x14ac:dyDescent="0.25">
      <c r="B63" s="36"/>
      <c r="C63" s="40"/>
      <c r="D63" s="40"/>
      <c r="E63" s="41"/>
      <c r="F63" s="38"/>
      <c r="G63" s="38"/>
      <c r="H63" s="38"/>
      <c r="I63" s="38"/>
      <c r="J63" s="38"/>
      <c r="K63" s="38"/>
      <c r="L63" s="39"/>
      <c r="M63" s="20"/>
      <c r="N63" s="99"/>
      <c r="O63" s="99"/>
      <c r="P63" s="29"/>
    </row>
    <row r="64" spans="2:20" ht="15" hidden="1" customHeight="1" x14ac:dyDescent="0.25"/>
    <row r="65" spans="5:11" ht="15" customHeight="1" x14ac:dyDescent="0.25">
      <c r="E65" s="21"/>
      <c r="F65" s="102"/>
      <c r="G65" s="102"/>
      <c r="H65" s="102"/>
      <c r="I65" s="102"/>
      <c r="J65" s="102"/>
      <c r="K65" s="102"/>
    </row>
    <row r="68" spans="5:11" ht="15" customHeight="1" x14ac:dyDescent="0.25"/>
  </sheetData>
  <mergeCells count="7">
    <mergeCell ref="B47:H47"/>
    <mergeCell ref="B34:F34"/>
    <mergeCell ref="Q2:S2"/>
    <mergeCell ref="Q1:S1"/>
    <mergeCell ref="B29:F29"/>
    <mergeCell ref="B31:F31"/>
    <mergeCell ref="B33:F33"/>
  </mergeCells>
  <hyperlinks>
    <hyperlink ref="B34" r:id="rId1"/>
  </hyperlinks>
  <printOptions horizontalCentered="1" gridLines="1"/>
  <pageMargins left="0" right="0" top="0.75" bottom="0.75" header="0.3" footer="0.3"/>
  <pageSetup scale="52" orientation="landscape" horizontalDpi="1200" verticalDpi="1200"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0"/>
  <sheetViews>
    <sheetView topLeftCell="B1" zoomScale="90" zoomScaleNormal="90" workbookViewId="0">
      <selection activeCell="C7" sqref="C7"/>
    </sheetView>
  </sheetViews>
  <sheetFormatPr defaultColWidth="9.140625" defaultRowHeight="15" x14ac:dyDescent="0.25"/>
  <cols>
    <col min="1" max="1" width="9.140625" style="2" hidden="1" customWidth="1"/>
    <col min="2" max="2" width="58.42578125" style="2" customWidth="1"/>
    <col min="3" max="3" width="30.85546875" style="2" customWidth="1"/>
    <col min="4" max="4" width="13.7109375" style="2" customWidth="1"/>
    <col min="5" max="5" width="16.85546875" style="2" customWidth="1"/>
    <col min="6" max="6" width="21.5703125" style="2" customWidth="1"/>
    <col min="7" max="7" width="8.5703125" style="2" customWidth="1"/>
    <col min="8" max="8" width="11.5703125" style="2" customWidth="1"/>
    <col min="9" max="9" width="10.85546875" style="2" customWidth="1"/>
    <col min="10" max="10" width="10" style="2" customWidth="1"/>
    <col min="11" max="11" width="8" style="2" customWidth="1"/>
    <col min="12" max="12" width="18.710937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4.5703125" style="2" customWidth="1"/>
    <col min="20" max="16384" width="9.140625" style="2"/>
  </cols>
  <sheetData>
    <row r="1" spans="1:20" ht="15.6" customHeight="1" x14ac:dyDescent="0.25">
      <c r="B1" s="1" t="s">
        <v>170</v>
      </c>
      <c r="Q1" s="338" t="s">
        <v>296</v>
      </c>
      <c r="R1" s="338"/>
      <c r="S1" s="338"/>
    </row>
    <row r="2" spans="1:20" x14ac:dyDescent="0.25">
      <c r="B2" s="88" t="s">
        <v>148</v>
      </c>
      <c r="C2" s="182">
        <v>44742</v>
      </c>
      <c r="M2" s="71"/>
      <c r="N2" s="71"/>
      <c r="P2" s="29"/>
      <c r="Q2" s="337" t="s">
        <v>375</v>
      </c>
      <c r="R2" s="337"/>
      <c r="S2" s="337"/>
    </row>
    <row r="3" spans="1:20" ht="15.75" thickBot="1" x14ac:dyDescent="0.3">
      <c r="A3" s="2" t="s">
        <v>16</v>
      </c>
      <c r="B3" s="44" t="s">
        <v>75</v>
      </c>
      <c r="C3" s="8"/>
      <c r="D3" s="8"/>
      <c r="E3" s="8"/>
      <c r="P3" s="29"/>
      <c r="Q3" s="45"/>
      <c r="R3" s="30"/>
    </row>
    <row r="4" spans="1:20" x14ac:dyDescent="0.25">
      <c r="B4" s="223" t="s">
        <v>177</v>
      </c>
      <c r="M4" s="85" t="s">
        <v>28</v>
      </c>
      <c r="N4" s="85" t="s">
        <v>28</v>
      </c>
      <c r="O4" s="85" t="s">
        <v>28</v>
      </c>
      <c r="P4" s="148"/>
      <c r="Q4" s="89" t="s">
        <v>29</v>
      </c>
      <c r="R4" s="89" t="s">
        <v>31</v>
      </c>
      <c r="S4" s="89" t="s">
        <v>23</v>
      </c>
      <c r="T4" s="7"/>
    </row>
    <row r="5" spans="1:20" ht="15.75" thickBot="1" x14ac:dyDescent="0.3">
      <c r="G5" s="183" t="s">
        <v>295</v>
      </c>
      <c r="H5" s="183" t="s">
        <v>295</v>
      </c>
      <c r="M5" s="86" t="s">
        <v>27</v>
      </c>
      <c r="N5" s="86" t="s">
        <v>26</v>
      </c>
      <c r="O5" s="86" t="s">
        <v>25</v>
      </c>
      <c r="P5" s="148"/>
      <c r="Q5" s="90" t="s">
        <v>30</v>
      </c>
      <c r="R5" s="90" t="s">
        <v>30</v>
      </c>
      <c r="S5" s="90" t="s">
        <v>30</v>
      </c>
      <c r="T5" s="7"/>
    </row>
    <row r="6" spans="1:20" ht="85.5" customHeight="1" thickBot="1" x14ac:dyDescent="0.3">
      <c r="B6" s="84" t="s">
        <v>1</v>
      </c>
      <c r="C6" s="84" t="s">
        <v>389</v>
      </c>
      <c r="D6" s="84" t="s">
        <v>107</v>
      </c>
      <c r="E6" s="84" t="s">
        <v>3</v>
      </c>
      <c r="F6" s="84" t="s">
        <v>4</v>
      </c>
      <c r="G6" s="107" t="s">
        <v>136</v>
      </c>
      <c r="H6" s="107" t="s">
        <v>137</v>
      </c>
      <c r="I6" s="107" t="s">
        <v>133</v>
      </c>
      <c r="J6" s="107" t="s">
        <v>134</v>
      </c>
      <c r="K6" s="107" t="s">
        <v>121</v>
      </c>
      <c r="L6" s="83" t="s">
        <v>5</v>
      </c>
      <c r="M6" s="87" t="s">
        <v>6</v>
      </c>
      <c r="N6" s="87" t="s">
        <v>6</v>
      </c>
      <c r="O6" s="87" t="s">
        <v>6</v>
      </c>
      <c r="P6" s="148"/>
      <c r="Q6" s="91"/>
      <c r="R6" s="97" t="s">
        <v>32</v>
      </c>
      <c r="S6" s="98" t="s">
        <v>33</v>
      </c>
    </row>
    <row r="7" spans="1:20" hidden="1" x14ac:dyDescent="0.25">
      <c r="B7" s="2" t="s">
        <v>8</v>
      </c>
      <c r="C7" s="92" t="s">
        <v>106</v>
      </c>
      <c r="D7" s="92" t="s">
        <v>108</v>
      </c>
      <c r="E7" s="2" t="s">
        <v>155</v>
      </c>
      <c r="F7" s="2" t="s">
        <v>7</v>
      </c>
      <c r="G7" s="186">
        <v>2.7699999999999999E-2</v>
      </c>
      <c r="H7" s="186">
        <v>0.15060000000000001</v>
      </c>
      <c r="I7" s="187">
        <v>43646</v>
      </c>
      <c r="J7" s="187">
        <v>43647</v>
      </c>
      <c r="K7" s="187">
        <v>43282</v>
      </c>
      <c r="L7" s="188" t="s">
        <v>157</v>
      </c>
      <c r="M7" s="70">
        <v>0</v>
      </c>
      <c r="N7" s="70">
        <v>0</v>
      </c>
      <c r="O7" s="67">
        <f>M7+N7</f>
        <v>0</v>
      </c>
      <c r="P7" s="42"/>
      <c r="Q7" s="43">
        <v>0</v>
      </c>
      <c r="R7" s="67"/>
      <c r="S7" s="68">
        <f>Q7+R7</f>
        <v>0</v>
      </c>
    </row>
    <row r="8" spans="1:20" ht="30" hidden="1" customHeight="1" x14ac:dyDescent="0.25">
      <c r="B8" s="2" t="s">
        <v>128</v>
      </c>
      <c r="C8" s="95" t="s">
        <v>122</v>
      </c>
      <c r="D8" s="93" t="s">
        <v>123</v>
      </c>
      <c r="E8" s="2" t="s">
        <v>156</v>
      </c>
      <c r="F8" s="2" t="s">
        <v>7</v>
      </c>
      <c r="G8" s="186">
        <v>3.1399999999999997E-2</v>
      </c>
      <c r="H8" s="186">
        <v>0.16209999999999999</v>
      </c>
      <c r="I8" s="187">
        <v>42916</v>
      </c>
      <c r="J8" s="187">
        <v>42917</v>
      </c>
      <c r="K8" s="187">
        <v>42552</v>
      </c>
      <c r="L8" s="188" t="s">
        <v>139</v>
      </c>
      <c r="M8" s="70">
        <v>0</v>
      </c>
      <c r="N8" s="70"/>
      <c r="O8" s="67">
        <f>M8+N8</f>
        <v>0</v>
      </c>
      <c r="P8" s="42"/>
      <c r="Q8" s="43">
        <v>0</v>
      </c>
      <c r="R8" s="67"/>
      <c r="S8" s="68">
        <f>Q8+R8</f>
        <v>0</v>
      </c>
    </row>
    <row r="9" spans="1:20" ht="30" hidden="1" x14ac:dyDescent="0.25">
      <c r="B9" s="2" t="s">
        <v>22</v>
      </c>
      <c r="C9" s="95" t="s">
        <v>132</v>
      </c>
      <c r="D9" s="92" t="s">
        <v>124</v>
      </c>
      <c r="E9" s="2" t="s">
        <v>140</v>
      </c>
      <c r="F9" s="2" t="s">
        <v>7</v>
      </c>
      <c r="G9" s="186">
        <v>3.1399999999999997E-2</v>
      </c>
      <c r="H9" s="186">
        <v>0.16209999999999999</v>
      </c>
      <c r="I9" s="187">
        <v>42916</v>
      </c>
      <c r="J9" s="187">
        <v>42917</v>
      </c>
      <c r="K9" s="187">
        <v>42552</v>
      </c>
      <c r="L9" s="188" t="s">
        <v>139</v>
      </c>
      <c r="M9" s="70">
        <v>0</v>
      </c>
      <c r="N9" s="70">
        <v>0</v>
      </c>
      <c r="O9" s="67">
        <f>M9+N9</f>
        <v>0</v>
      </c>
      <c r="P9" s="42"/>
      <c r="Q9" s="43">
        <v>0</v>
      </c>
      <c r="R9" s="67">
        <v>0</v>
      </c>
      <c r="S9" s="68">
        <f>Q9+R9</f>
        <v>0</v>
      </c>
    </row>
    <row r="10" spans="1:20" ht="23.25" customHeight="1" x14ac:dyDescent="0.25">
      <c r="C10" s="236"/>
      <c r="D10" s="93"/>
      <c r="G10" s="186"/>
      <c r="H10" s="186"/>
      <c r="I10" s="187"/>
      <c r="J10" s="187"/>
      <c r="K10" s="187"/>
      <c r="L10" s="188"/>
      <c r="M10" s="79"/>
      <c r="N10" s="67"/>
      <c r="O10" s="67"/>
      <c r="P10" s="66"/>
      <c r="Q10" s="67"/>
      <c r="R10" s="67"/>
      <c r="S10" s="68">
        <f t="shared" ref="S10" si="0">Q10+R10</f>
        <v>0</v>
      </c>
    </row>
    <row r="11" spans="1:20" ht="23.25" customHeight="1" x14ac:dyDescent="0.25">
      <c r="C11" s="236"/>
      <c r="D11" s="93"/>
      <c r="G11" s="186"/>
      <c r="H11" s="186"/>
      <c r="I11" s="187"/>
      <c r="J11" s="187"/>
      <c r="K11" s="187"/>
      <c r="L11" s="188"/>
      <c r="M11" s="79"/>
      <c r="N11" s="67"/>
      <c r="O11" s="67"/>
      <c r="P11" s="42"/>
      <c r="Q11" s="43"/>
      <c r="R11" s="67"/>
      <c r="S11" s="68"/>
    </row>
    <row r="12" spans="1:20" x14ac:dyDescent="0.25">
      <c r="B12" s="29"/>
      <c r="C12" s="92"/>
      <c r="D12" s="92"/>
      <c r="L12" s="5" t="s">
        <v>38</v>
      </c>
      <c r="M12" s="273">
        <f>SUM(M7:M11)</f>
        <v>0</v>
      </c>
      <c r="N12" s="273">
        <f>SUM(N7:N11)</f>
        <v>0</v>
      </c>
      <c r="O12" s="273">
        <f>SUM(O7:O11)</f>
        <v>0</v>
      </c>
      <c r="P12" s="273"/>
      <c r="Q12" s="273">
        <f t="shared" ref="Q12:S12" si="1">SUM(Q7:Q11)</f>
        <v>0</v>
      </c>
      <c r="R12" s="273">
        <f t="shared" si="1"/>
        <v>0</v>
      </c>
      <c r="S12" s="23">
        <f t="shared" si="1"/>
        <v>0</v>
      </c>
    </row>
    <row r="13" spans="1:20" x14ac:dyDescent="0.25">
      <c r="B13" s="29"/>
      <c r="C13" s="92"/>
      <c r="D13" s="92"/>
      <c r="L13" s="5"/>
      <c r="M13" s="66"/>
      <c r="N13" s="66"/>
      <c r="O13" s="66"/>
      <c r="P13" s="29"/>
      <c r="Q13" s="66"/>
      <c r="R13" s="66"/>
      <c r="S13" s="68"/>
    </row>
    <row r="14" spans="1:20" x14ac:dyDescent="0.25">
      <c r="B14" s="8" t="s">
        <v>125</v>
      </c>
      <c r="C14" s="92"/>
      <c r="D14" s="92"/>
      <c r="L14" s="5"/>
      <c r="M14" s="66"/>
      <c r="N14" s="66"/>
      <c r="O14" s="66"/>
      <c r="P14" s="29"/>
      <c r="Q14" s="66"/>
      <c r="R14" s="66"/>
      <c r="S14" s="68"/>
    </row>
    <row r="15" spans="1:20" ht="31.5" customHeight="1" x14ac:dyDescent="0.25">
      <c r="B15" s="346" t="s">
        <v>126</v>
      </c>
      <c r="C15" s="346"/>
      <c r="D15" s="346"/>
      <c r="E15" s="346"/>
      <c r="F15" s="346"/>
      <c r="G15" s="212"/>
      <c r="H15" s="212"/>
      <c r="I15" s="212"/>
      <c r="L15" s="5"/>
      <c r="S15" s="27"/>
    </row>
    <row r="16" spans="1:20" x14ac:dyDescent="0.25">
      <c r="C16" s="92"/>
      <c r="D16" s="92"/>
      <c r="L16" s="5"/>
      <c r="M16" s="66"/>
      <c r="N16" s="66"/>
      <c r="O16" s="66"/>
      <c r="Q16" s="66"/>
      <c r="R16" s="66"/>
      <c r="S16" s="68"/>
    </row>
    <row r="17" spans="1:20" ht="44.25" customHeight="1" x14ac:dyDescent="0.25">
      <c r="B17" s="341" t="s">
        <v>129</v>
      </c>
      <c r="C17" s="341"/>
      <c r="D17" s="341"/>
      <c r="E17" s="341"/>
      <c r="F17" s="341"/>
      <c r="G17" s="209"/>
      <c r="H17" s="209"/>
      <c r="I17" s="209"/>
      <c r="L17" s="5"/>
      <c r="M17" s="66"/>
      <c r="N17" s="66"/>
      <c r="O17" s="66"/>
      <c r="Q17" s="66"/>
      <c r="R17" s="66"/>
      <c r="S17" s="68"/>
    </row>
    <row r="18" spans="1:20" x14ac:dyDescent="0.25">
      <c r="B18" s="209"/>
      <c r="C18" s="209"/>
      <c r="D18" s="209"/>
      <c r="E18" s="209"/>
      <c r="F18" s="209"/>
      <c r="G18" s="209"/>
      <c r="H18" s="209"/>
      <c r="I18" s="209"/>
      <c r="L18" s="5"/>
      <c r="M18" s="66"/>
      <c r="N18" s="66"/>
      <c r="O18" s="66"/>
      <c r="Q18" s="66"/>
      <c r="R18" s="66"/>
      <c r="S18" s="68"/>
    </row>
    <row r="19" spans="1:20" ht="30" customHeight="1" x14ac:dyDescent="0.25">
      <c r="B19" s="341" t="s">
        <v>160</v>
      </c>
      <c r="C19" s="341"/>
      <c r="D19" s="341"/>
      <c r="E19" s="341"/>
      <c r="F19" s="341"/>
      <c r="G19" s="209"/>
      <c r="H19" s="209"/>
      <c r="I19" s="209"/>
      <c r="L19" s="5"/>
      <c r="M19" s="66"/>
      <c r="N19" s="66"/>
      <c r="O19" s="66"/>
      <c r="Q19" s="66"/>
      <c r="R19" s="66"/>
      <c r="S19" s="68"/>
    </row>
    <row r="20" spans="1:20" ht="19.5" customHeight="1" x14ac:dyDescent="0.25">
      <c r="B20" s="347" t="s">
        <v>159</v>
      </c>
      <c r="C20" s="347"/>
      <c r="D20" s="347"/>
      <c r="E20" s="347"/>
      <c r="F20" s="347"/>
      <c r="G20" s="209"/>
      <c r="H20" s="209"/>
      <c r="I20" s="209"/>
      <c r="L20" s="5"/>
      <c r="M20" s="66"/>
      <c r="N20" s="66"/>
      <c r="O20" s="66"/>
      <c r="Q20" s="66"/>
      <c r="R20" s="66"/>
      <c r="S20" s="68"/>
    </row>
    <row r="21" spans="1:20" x14ac:dyDescent="0.25">
      <c r="B21" s="209"/>
      <c r="C21" s="209"/>
      <c r="D21" s="209"/>
      <c r="E21" s="209"/>
      <c r="F21" s="209"/>
      <c r="G21" s="209"/>
      <c r="H21" s="209"/>
      <c r="I21" s="209"/>
      <c r="L21" s="5"/>
      <c r="M21" s="66"/>
      <c r="N21" s="66"/>
      <c r="O21" s="66"/>
      <c r="Q21" s="66"/>
      <c r="R21" s="66"/>
      <c r="S21" s="68"/>
    </row>
    <row r="22" spans="1:20" x14ac:dyDescent="0.25">
      <c r="B22" s="7" t="s">
        <v>109</v>
      </c>
      <c r="C22" s="101" t="s">
        <v>112</v>
      </c>
      <c r="D22" s="101" t="s">
        <v>113</v>
      </c>
      <c r="E22" s="209"/>
      <c r="F22" s="209"/>
      <c r="G22" s="209"/>
      <c r="H22" s="209"/>
      <c r="I22" s="209"/>
      <c r="L22" s="5"/>
      <c r="M22" s="66"/>
      <c r="N22" s="66"/>
      <c r="O22" s="66"/>
      <c r="Q22" s="66"/>
      <c r="R22" s="66"/>
      <c r="S22" s="68"/>
    </row>
    <row r="23" spans="1:20" x14ac:dyDescent="0.25">
      <c r="C23" s="92"/>
      <c r="D23" s="92"/>
      <c r="E23" s="299"/>
      <c r="F23" s="299"/>
      <c r="G23" s="299"/>
      <c r="H23" s="299"/>
      <c r="I23" s="299"/>
      <c r="L23" s="5"/>
      <c r="M23" s="66"/>
      <c r="N23" s="66"/>
      <c r="O23" s="66"/>
      <c r="Q23" s="66"/>
      <c r="R23" s="66"/>
      <c r="S23" s="68"/>
    </row>
    <row r="24" spans="1:20" x14ac:dyDescent="0.25">
      <c r="C24" s="92"/>
      <c r="D24" s="92"/>
      <c r="L24" s="5"/>
      <c r="M24" s="66"/>
      <c r="N24" s="66"/>
      <c r="O24" s="66"/>
      <c r="Q24" s="66"/>
      <c r="R24" s="66"/>
      <c r="S24" s="68"/>
    </row>
    <row r="25" spans="1:20" x14ac:dyDescent="0.25">
      <c r="B25" s="290" t="s">
        <v>298</v>
      </c>
      <c r="C25" s="92"/>
      <c r="D25" s="92"/>
      <c r="L25" s="5"/>
      <c r="M25" s="66"/>
      <c r="N25" s="66"/>
      <c r="O25" s="66"/>
      <c r="Q25" s="66"/>
      <c r="R25" s="66"/>
      <c r="S25" s="68"/>
    </row>
    <row r="26" spans="1:20" x14ac:dyDescent="0.25">
      <c r="B26" s="285" t="s">
        <v>299</v>
      </c>
      <c r="C26" s="42"/>
      <c r="D26" s="42"/>
      <c r="E26" s="29"/>
      <c r="F26" s="29"/>
      <c r="G26" s="29"/>
      <c r="H26" s="29"/>
      <c r="L26" s="5"/>
      <c r="M26" s="66"/>
      <c r="N26" s="66"/>
      <c r="O26" s="66"/>
      <c r="Q26" s="66"/>
      <c r="R26" s="66"/>
      <c r="S26" s="68"/>
    </row>
    <row r="27" spans="1:20" x14ac:dyDescent="0.25">
      <c r="C27" s="92"/>
      <c r="D27" s="92"/>
      <c r="L27" s="5"/>
      <c r="M27" s="66"/>
      <c r="N27" s="66"/>
      <c r="O27" s="66"/>
      <c r="Q27" s="66"/>
      <c r="R27" s="66"/>
      <c r="S27" s="68"/>
    </row>
    <row r="28" spans="1:20" x14ac:dyDescent="0.25">
      <c r="B28" s="10"/>
      <c r="C28" s="10"/>
      <c r="D28" s="10"/>
      <c r="E28" s="10"/>
      <c r="F28" s="10"/>
      <c r="G28" s="10"/>
      <c r="H28" s="10"/>
      <c r="I28" s="10"/>
      <c r="J28" s="10"/>
      <c r="K28" s="29"/>
      <c r="L28" s="29"/>
      <c r="M28" s="10"/>
      <c r="N28" s="10"/>
      <c r="O28" s="29"/>
      <c r="P28" s="29"/>
      <c r="Q28" s="56"/>
      <c r="R28" s="56"/>
      <c r="S28" s="167"/>
      <c r="T28" s="51"/>
    </row>
    <row r="29" spans="1:20" x14ac:dyDescent="0.25">
      <c r="K29" s="109"/>
      <c r="L29" s="109"/>
      <c r="O29" s="109"/>
      <c r="P29" s="109"/>
      <c r="Q29" s="166" t="s">
        <v>90</v>
      </c>
      <c r="R29" s="168"/>
      <c r="S29" s="169"/>
    </row>
    <row r="30" spans="1:20" ht="13.9" customHeight="1" x14ac:dyDescent="0.25">
      <c r="B30" s="17" t="s">
        <v>39</v>
      </c>
      <c r="C30" s="211" t="s">
        <v>2</v>
      </c>
      <c r="D30" s="211" t="s">
        <v>34</v>
      </c>
      <c r="E30" s="128" t="s">
        <v>35</v>
      </c>
      <c r="F30" s="211"/>
      <c r="G30" s="343"/>
      <c r="H30" s="343"/>
      <c r="I30" s="343"/>
      <c r="J30" s="211"/>
      <c r="K30" s="211"/>
      <c r="L30" s="211" t="s">
        <v>36</v>
      </c>
      <c r="M30" s="211" t="s">
        <v>37</v>
      </c>
      <c r="N30" s="10"/>
      <c r="O30" s="10"/>
      <c r="P30" s="10"/>
      <c r="Q30" s="54" t="s">
        <v>88</v>
      </c>
      <c r="R30" s="54"/>
      <c r="S30" s="55"/>
    </row>
    <row r="31" spans="1:20" ht="15" customHeight="1" x14ac:dyDescent="0.25">
      <c r="A31" s="29"/>
      <c r="C31" s="132"/>
      <c r="D31" s="153"/>
      <c r="E31" s="133"/>
      <c r="F31" s="136"/>
      <c r="G31" s="345"/>
      <c r="H31" s="345"/>
      <c r="I31" s="345"/>
      <c r="J31" s="345"/>
      <c r="K31" s="137"/>
      <c r="L31" s="138"/>
      <c r="M31" s="139"/>
      <c r="N31" s="139"/>
      <c r="O31" s="18"/>
      <c r="P31" s="18"/>
    </row>
    <row r="32" spans="1:20" x14ac:dyDescent="0.25">
      <c r="B32" s="36"/>
      <c r="C32" s="152"/>
      <c r="D32" s="154"/>
      <c r="E32" s="134"/>
      <c r="F32" s="15"/>
      <c r="G32" s="38"/>
      <c r="H32" s="38"/>
      <c r="I32" s="38"/>
      <c r="J32" s="38"/>
      <c r="K32" s="38"/>
      <c r="L32" s="33"/>
      <c r="M32" s="31"/>
      <c r="N32" s="99"/>
    </row>
    <row r="33" spans="3:16" ht="16.5" customHeight="1" x14ac:dyDescent="0.25">
      <c r="C33" s="151"/>
      <c r="D33" s="154"/>
      <c r="E33" s="134"/>
      <c r="F33" s="155"/>
      <c r="G33" s="38"/>
      <c r="H33" s="38"/>
      <c r="I33" s="38"/>
      <c r="J33" s="38"/>
      <c r="K33" s="38"/>
      <c r="L33" s="39"/>
      <c r="M33" s="20"/>
      <c r="N33" s="99"/>
      <c r="O33" s="99"/>
      <c r="P33" s="29"/>
    </row>
    <row r="34" spans="3:16" ht="15" hidden="1" customHeight="1" x14ac:dyDescent="0.25">
      <c r="D34" s="45"/>
      <c r="E34" s="129"/>
      <c r="F34" s="93"/>
    </row>
    <row r="35" spans="3:16" ht="15" customHeight="1" x14ac:dyDescent="0.25">
      <c r="D35" s="45"/>
      <c r="E35" s="135"/>
      <c r="F35" s="82"/>
      <c r="G35" s="102"/>
      <c r="H35" s="102"/>
      <c r="I35" s="102"/>
      <c r="J35" s="102"/>
      <c r="K35" s="102"/>
    </row>
    <row r="36" spans="3:16" x14ac:dyDescent="0.25">
      <c r="C36" s="151"/>
      <c r="D36" s="45"/>
      <c r="E36" s="129"/>
      <c r="F36" s="150"/>
    </row>
    <row r="37" spans="3:16" x14ac:dyDescent="0.25">
      <c r="D37" s="45"/>
      <c r="E37" s="129"/>
      <c r="F37" s="93"/>
    </row>
    <row r="38" spans="3:16" ht="15" customHeight="1" x14ac:dyDescent="0.25">
      <c r="D38" s="45"/>
      <c r="E38" s="129"/>
      <c r="F38" s="93"/>
    </row>
    <row r="39" spans="3:16" x14ac:dyDescent="0.25">
      <c r="E39" s="156">
        <f>SUM(E31:E38)</f>
        <v>0</v>
      </c>
    </row>
    <row r="40" spans="3:16" x14ac:dyDescent="0.25">
      <c r="E40" s="210"/>
      <c r="F40" s="210"/>
      <c r="G40" s="210"/>
      <c r="H40" s="210"/>
      <c r="I40" s="210"/>
      <c r="J40" s="210"/>
      <c r="K40" s="210"/>
      <c r="L40" s="210"/>
      <c r="M40" s="210"/>
      <c r="N40" s="210"/>
      <c r="O40" s="210"/>
    </row>
    <row r="41" spans="3:16" x14ac:dyDescent="0.25">
      <c r="E41" s="210"/>
      <c r="F41" s="210"/>
      <c r="G41" s="210"/>
      <c r="H41" s="210"/>
      <c r="I41" s="210"/>
      <c r="J41" s="210"/>
      <c r="K41" s="210"/>
      <c r="L41" s="210"/>
      <c r="M41" s="210"/>
      <c r="N41" s="210"/>
      <c r="O41" s="210"/>
    </row>
    <row r="50" spans="17:19" x14ac:dyDescent="0.25">
      <c r="Q50" s="309" t="s">
        <v>316</v>
      </c>
      <c r="R50" s="309"/>
      <c r="S50" s="310">
        <f>S12</f>
        <v>0</v>
      </c>
    </row>
  </sheetData>
  <mergeCells count="8">
    <mergeCell ref="G30:I30"/>
    <mergeCell ref="G31:J31"/>
    <mergeCell ref="Q1:S1"/>
    <mergeCell ref="Q2:S2"/>
    <mergeCell ref="B15:F15"/>
    <mergeCell ref="B17:F17"/>
    <mergeCell ref="B19:F19"/>
    <mergeCell ref="B20:F20"/>
  </mergeCells>
  <hyperlinks>
    <hyperlink ref="B20" r:id="rId1"/>
  </hyperlinks>
  <printOptions horizontalCentered="1" gridLines="1"/>
  <pageMargins left="0" right="0" top="0.75" bottom="0.75" header="0.3" footer="0.3"/>
  <pageSetup scale="45" orientation="landscape" horizontalDpi="1200" verticalDpi="1200"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3"/>
  <sheetViews>
    <sheetView topLeftCell="B1" zoomScale="90" zoomScaleNormal="90" workbookViewId="0">
      <selection activeCell="Q7" sqref="Q7:Q9"/>
    </sheetView>
  </sheetViews>
  <sheetFormatPr defaultColWidth="9.140625" defaultRowHeight="15" x14ac:dyDescent="0.25"/>
  <cols>
    <col min="1" max="1" width="9.140625" style="2" hidden="1" customWidth="1"/>
    <col min="2" max="2" width="59.140625" style="2" customWidth="1"/>
    <col min="3" max="3" width="26.42578125" style="2" customWidth="1"/>
    <col min="4" max="4" width="13.7109375" style="2" customWidth="1"/>
    <col min="5" max="5" width="17" style="2" customWidth="1"/>
    <col min="6" max="6" width="21.28515625" style="2" customWidth="1"/>
    <col min="7" max="7" width="10.28515625" style="2" customWidth="1"/>
    <col min="8" max="8" width="12.85546875" style="2" customWidth="1"/>
    <col min="9" max="9" width="13.42578125" style="2" customWidth="1"/>
    <col min="10" max="10" width="15.7109375" style="2" customWidth="1"/>
    <col min="11" max="11" width="8.85546875" style="2" customWidth="1"/>
    <col min="12" max="12" width="17.8554687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6.7109375" style="2" customWidth="1"/>
    <col min="20" max="16384" width="9.140625" style="2"/>
  </cols>
  <sheetData>
    <row r="1" spans="1:20" ht="18" customHeight="1" x14ac:dyDescent="0.25">
      <c r="B1" s="1" t="s">
        <v>96</v>
      </c>
      <c r="Q1" s="338" t="s">
        <v>296</v>
      </c>
      <c r="R1" s="338"/>
      <c r="S1" s="338"/>
    </row>
    <row r="2" spans="1:20" ht="18" customHeight="1" x14ac:dyDescent="0.25">
      <c r="B2" s="88" t="s">
        <v>148</v>
      </c>
      <c r="C2" s="182">
        <v>44742</v>
      </c>
      <c r="M2" s="71"/>
      <c r="N2" s="71"/>
      <c r="P2" s="29"/>
      <c r="Q2" s="337" t="s">
        <v>375</v>
      </c>
      <c r="R2" s="337"/>
      <c r="S2" s="337"/>
    </row>
    <row r="3" spans="1:20" ht="18" customHeight="1" thickBot="1" x14ac:dyDescent="0.3">
      <c r="A3" s="2" t="s">
        <v>16</v>
      </c>
      <c r="B3" s="44" t="s">
        <v>97</v>
      </c>
      <c r="C3" s="8"/>
      <c r="D3" s="8"/>
      <c r="E3" s="8"/>
      <c r="P3" s="29"/>
      <c r="Q3" s="45"/>
      <c r="R3" s="30"/>
    </row>
    <row r="4" spans="1:20" ht="18.75" customHeight="1" x14ac:dyDescent="0.25">
      <c r="B4" s="8" t="s">
        <v>174</v>
      </c>
      <c r="M4" s="85" t="s">
        <v>28</v>
      </c>
      <c r="N4" s="85" t="s">
        <v>28</v>
      </c>
      <c r="O4" s="85" t="s">
        <v>28</v>
      </c>
      <c r="P4" s="9"/>
      <c r="Q4" s="89" t="s">
        <v>29</v>
      </c>
      <c r="R4" s="89" t="s">
        <v>31</v>
      </c>
      <c r="S4" s="89" t="s">
        <v>23</v>
      </c>
      <c r="T4" s="7"/>
    </row>
    <row r="5" spans="1:20" ht="15.75" thickBot="1" x14ac:dyDescent="0.3">
      <c r="G5" s="183" t="s">
        <v>295</v>
      </c>
      <c r="H5" s="183" t="s">
        <v>295</v>
      </c>
      <c r="M5" s="86" t="s">
        <v>27</v>
      </c>
      <c r="N5" s="86" t="s">
        <v>26</v>
      </c>
      <c r="O5" s="86" t="s">
        <v>25</v>
      </c>
      <c r="P5" s="9"/>
      <c r="Q5" s="90" t="s">
        <v>30</v>
      </c>
      <c r="R5" s="90" t="s">
        <v>30</v>
      </c>
      <c r="S5" s="90" t="s">
        <v>30</v>
      </c>
      <c r="T5" s="7"/>
    </row>
    <row r="6" spans="1:20" ht="85.5" customHeight="1" thickBot="1" x14ac:dyDescent="0.3">
      <c r="B6" s="84" t="s">
        <v>1</v>
      </c>
      <c r="C6" s="84" t="s">
        <v>389</v>
      </c>
      <c r="D6" s="84" t="s">
        <v>107</v>
      </c>
      <c r="E6" s="84" t="s">
        <v>3</v>
      </c>
      <c r="F6" s="84" t="s">
        <v>4</v>
      </c>
      <c r="G6" s="107" t="s">
        <v>136</v>
      </c>
      <c r="H6" s="107" t="s">
        <v>137</v>
      </c>
      <c r="I6" s="107" t="s">
        <v>133</v>
      </c>
      <c r="J6" s="107" t="s">
        <v>134</v>
      </c>
      <c r="K6" s="107" t="s">
        <v>121</v>
      </c>
      <c r="L6" s="83" t="s">
        <v>5</v>
      </c>
      <c r="M6" s="87" t="s">
        <v>6</v>
      </c>
      <c r="N6" s="87" t="s">
        <v>6</v>
      </c>
      <c r="O6" s="87" t="s">
        <v>6</v>
      </c>
      <c r="P6" s="9"/>
      <c r="Q6" s="91"/>
      <c r="R6" s="97" t="s">
        <v>32</v>
      </c>
      <c r="S6" s="98" t="s">
        <v>33</v>
      </c>
    </row>
    <row r="7" spans="1:20" ht="27.75" customHeight="1" x14ac:dyDescent="0.25">
      <c r="B7" s="2" t="s">
        <v>8</v>
      </c>
      <c r="C7" s="92" t="s">
        <v>106</v>
      </c>
      <c r="D7" s="92" t="s">
        <v>306</v>
      </c>
      <c r="E7" s="2" t="s">
        <v>307</v>
      </c>
      <c r="F7" s="2" t="s">
        <v>7</v>
      </c>
      <c r="G7" s="186">
        <v>2.63E-2</v>
      </c>
      <c r="H7" s="186">
        <v>0.1845</v>
      </c>
      <c r="I7" s="187">
        <v>44742</v>
      </c>
      <c r="J7" s="187">
        <v>44743</v>
      </c>
      <c r="K7" s="187">
        <v>44378</v>
      </c>
      <c r="L7" s="188" t="s">
        <v>297</v>
      </c>
      <c r="M7" s="65">
        <v>57266</v>
      </c>
      <c r="N7" s="67"/>
      <c r="O7" s="67">
        <f>M7+N7</f>
        <v>57266</v>
      </c>
      <c r="P7" s="67"/>
      <c r="Q7" s="67">
        <f>8235.28+17157.8+17413.79+11763.56+2233.48</f>
        <v>56803.91</v>
      </c>
      <c r="R7" s="67"/>
      <c r="S7" s="68">
        <f>Q7+R7</f>
        <v>56803.91</v>
      </c>
    </row>
    <row r="8" spans="1:20" ht="29.25" customHeight="1" x14ac:dyDescent="0.25">
      <c r="B8" s="2" t="s">
        <v>128</v>
      </c>
      <c r="C8" s="236" t="s">
        <v>122</v>
      </c>
      <c r="D8" s="93" t="s">
        <v>310</v>
      </c>
      <c r="E8" s="2" t="s">
        <v>309</v>
      </c>
      <c r="F8" s="2" t="s">
        <v>7</v>
      </c>
      <c r="G8" s="186">
        <v>2.63E-2</v>
      </c>
      <c r="H8" s="186">
        <v>0.1845</v>
      </c>
      <c r="I8" s="187">
        <v>44742</v>
      </c>
      <c r="J8" s="187">
        <v>44743</v>
      </c>
      <c r="K8" s="187">
        <v>44378</v>
      </c>
      <c r="L8" s="204" t="s">
        <v>297</v>
      </c>
      <c r="M8" s="65">
        <v>2388.75</v>
      </c>
      <c r="N8" s="67">
        <f>4042.5+4210.24</f>
        <v>8252.74</v>
      </c>
      <c r="O8" s="67">
        <f>M8+N8</f>
        <v>10641.49</v>
      </c>
      <c r="P8" s="67"/>
      <c r="Q8" s="67">
        <f>2388.75+4042.5+4210.24</f>
        <v>10641.49</v>
      </c>
      <c r="R8" s="67"/>
      <c r="S8" s="68">
        <f>Q8+R8</f>
        <v>10641.49</v>
      </c>
    </row>
    <row r="9" spans="1:20" ht="29.25" customHeight="1" x14ac:dyDescent="0.25">
      <c r="B9" s="330" t="s">
        <v>371</v>
      </c>
      <c r="C9" s="236" t="s">
        <v>373</v>
      </c>
      <c r="D9" s="331" t="s">
        <v>372</v>
      </c>
      <c r="E9" s="29" t="s">
        <v>374</v>
      </c>
      <c r="F9" s="2" t="s">
        <v>7</v>
      </c>
      <c r="G9" s="186">
        <v>2.63E-2</v>
      </c>
      <c r="H9" s="186">
        <v>0.1845</v>
      </c>
      <c r="I9" s="187">
        <v>45199</v>
      </c>
      <c r="J9" s="187">
        <v>45214</v>
      </c>
      <c r="K9" s="187">
        <v>44378</v>
      </c>
      <c r="L9" s="188" t="s">
        <v>325</v>
      </c>
      <c r="M9" s="70">
        <v>3185.59</v>
      </c>
      <c r="N9" s="70"/>
      <c r="O9" s="67">
        <f>M9+N9</f>
        <v>3185.59</v>
      </c>
      <c r="P9" s="67"/>
      <c r="Q9" s="67">
        <v>3185.59</v>
      </c>
      <c r="R9" s="67"/>
      <c r="S9" s="68">
        <f>Q9+R9</f>
        <v>3185.59</v>
      </c>
    </row>
    <row r="10" spans="1:20" ht="30" customHeight="1" x14ac:dyDescent="0.25">
      <c r="B10" s="2" t="s">
        <v>223</v>
      </c>
      <c r="C10" s="236" t="s">
        <v>333</v>
      </c>
      <c r="D10" s="93" t="s">
        <v>224</v>
      </c>
      <c r="E10" s="2" t="s">
        <v>225</v>
      </c>
      <c r="F10" s="2" t="s">
        <v>7</v>
      </c>
      <c r="G10" s="186">
        <v>2.63E-2</v>
      </c>
      <c r="H10" s="186">
        <v>0.1845</v>
      </c>
      <c r="I10" s="187">
        <v>44834</v>
      </c>
      <c r="J10" s="187">
        <v>44849</v>
      </c>
      <c r="K10" s="187">
        <v>43614</v>
      </c>
      <c r="L10" s="188" t="s">
        <v>274</v>
      </c>
      <c r="M10" s="65">
        <v>35583.51</v>
      </c>
      <c r="N10" s="67"/>
      <c r="O10" s="67">
        <f>M10+N10</f>
        <v>35583.51</v>
      </c>
      <c r="P10" s="67"/>
      <c r="Q10" s="67">
        <v>28171</v>
      </c>
      <c r="R10" s="67"/>
      <c r="S10" s="68">
        <f>Q10+R10</f>
        <v>28171</v>
      </c>
    </row>
    <row r="11" spans="1:20" ht="30" customHeight="1" x14ac:dyDescent="0.25">
      <c r="B11" s="2" t="s">
        <v>241</v>
      </c>
      <c r="C11" s="236" t="s">
        <v>242</v>
      </c>
      <c r="D11" s="93" t="s">
        <v>164</v>
      </c>
      <c r="E11" s="2" t="s">
        <v>243</v>
      </c>
      <c r="F11" s="2" t="s">
        <v>7</v>
      </c>
      <c r="G11" s="186">
        <v>2.63E-2</v>
      </c>
      <c r="H11" s="186">
        <v>0.1845</v>
      </c>
      <c r="I11" s="187">
        <v>44393</v>
      </c>
      <c r="J11" s="187">
        <v>44408</v>
      </c>
      <c r="K11" s="187">
        <v>42644</v>
      </c>
      <c r="L11" s="188" t="s">
        <v>273</v>
      </c>
      <c r="M11" s="79">
        <v>64604</v>
      </c>
      <c r="N11" s="67"/>
      <c r="O11" s="67">
        <f>M11+N11</f>
        <v>64604</v>
      </c>
      <c r="P11" s="67"/>
      <c r="Q11" s="67">
        <v>0</v>
      </c>
      <c r="R11" s="67"/>
      <c r="S11" s="68">
        <f>Q11+R11</f>
        <v>0</v>
      </c>
    </row>
    <row r="12" spans="1:20" ht="30" customHeight="1" x14ac:dyDescent="0.25">
      <c r="B12" s="2" t="s">
        <v>279</v>
      </c>
      <c r="C12" s="236" t="s">
        <v>333</v>
      </c>
      <c r="D12" s="93" t="s">
        <v>224</v>
      </c>
      <c r="E12" s="2" t="s">
        <v>280</v>
      </c>
      <c r="F12" s="2" t="s">
        <v>7</v>
      </c>
      <c r="G12" s="186">
        <v>2.63E-2</v>
      </c>
      <c r="H12" s="186">
        <v>0.1845</v>
      </c>
      <c r="I12" s="187">
        <v>44592</v>
      </c>
      <c r="J12" s="187">
        <v>44592</v>
      </c>
      <c r="K12" s="187">
        <v>43980</v>
      </c>
      <c r="L12" s="188" t="s">
        <v>332</v>
      </c>
      <c r="M12" s="79">
        <v>3000</v>
      </c>
      <c r="N12" s="67"/>
      <c r="O12" s="67">
        <f t="shared" ref="O12:O21" si="0">M12+N12</f>
        <v>3000</v>
      </c>
      <c r="P12" s="66"/>
      <c r="Q12" s="67"/>
      <c r="R12" s="67"/>
      <c r="S12" s="68">
        <f t="shared" ref="S12:S20" si="1">Q12+R12</f>
        <v>0</v>
      </c>
    </row>
    <row r="13" spans="1:20" ht="30" customHeight="1" x14ac:dyDescent="0.25">
      <c r="B13" s="2" t="s">
        <v>281</v>
      </c>
      <c r="C13" s="236" t="s">
        <v>334</v>
      </c>
      <c r="D13" s="93" t="s">
        <v>231</v>
      </c>
      <c r="E13" s="2" t="s">
        <v>282</v>
      </c>
      <c r="F13" s="2" t="s">
        <v>7</v>
      </c>
      <c r="G13" s="186">
        <v>2.63E-2</v>
      </c>
      <c r="H13" s="186">
        <v>0.1845</v>
      </c>
      <c r="I13" s="187">
        <v>44742</v>
      </c>
      <c r="J13" s="187">
        <v>44757</v>
      </c>
      <c r="K13" s="187">
        <v>43979</v>
      </c>
      <c r="L13" s="188" t="s">
        <v>291</v>
      </c>
      <c r="M13" s="79">
        <v>1027</v>
      </c>
      <c r="N13" s="67"/>
      <c r="O13" s="67">
        <f t="shared" si="0"/>
        <v>1027</v>
      </c>
      <c r="P13" s="66"/>
      <c r="Q13" s="67"/>
      <c r="R13" s="67"/>
      <c r="S13" s="68">
        <f t="shared" si="1"/>
        <v>0</v>
      </c>
    </row>
    <row r="14" spans="1:20" ht="30" customHeight="1" x14ac:dyDescent="0.25">
      <c r="B14" s="2" t="s">
        <v>321</v>
      </c>
      <c r="C14" s="236" t="s">
        <v>333</v>
      </c>
      <c r="D14" s="93" t="s">
        <v>288</v>
      </c>
      <c r="E14" s="2" t="s">
        <v>322</v>
      </c>
      <c r="F14" s="2" t="s">
        <v>7</v>
      </c>
      <c r="G14" s="186">
        <f>G13:H13</f>
        <v>2.63E-2</v>
      </c>
      <c r="H14" s="186">
        <f>H13</f>
        <v>0.1845</v>
      </c>
      <c r="I14" s="187">
        <v>45199</v>
      </c>
      <c r="J14" s="187">
        <v>45214</v>
      </c>
      <c r="K14" s="187">
        <v>44201</v>
      </c>
      <c r="L14" s="188" t="s">
        <v>323</v>
      </c>
      <c r="M14" s="79">
        <v>35647.550000000003</v>
      </c>
      <c r="N14" s="67"/>
      <c r="O14" s="67">
        <f t="shared" si="0"/>
        <v>35647.550000000003</v>
      </c>
      <c r="P14" s="66"/>
      <c r="Q14" s="67"/>
      <c r="R14" s="67"/>
      <c r="S14" s="68">
        <f t="shared" si="1"/>
        <v>0</v>
      </c>
    </row>
    <row r="15" spans="1:20" ht="30" customHeight="1" x14ac:dyDescent="0.25">
      <c r="B15" s="2" t="s">
        <v>324</v>
      </c>
      <c r="C15" s="236" t="s">
        <v>333</v>
      </c>
      <c r="D15" s="93" t="s">
        <v>288</v>
      </c>
      <c r="E15" s="2" t="s">
        <v>329</v>
      </c>
      <c r="F15" s="2" t="s">
        <v>7</v>
      </c>
      <c r="G15" s="186">
        <f>G14:H14</f>
        <v>2.63E-2</v>
      </c>
      <c r="H15" s="186">
        <f>H14</f>
        <v>0.1845</v>
      </c>
      <c r="I15" s="187">
        <v>45199</v>
      </c>
      <c r="J15" s="187">
        <v>45214</v>
      </c>
      <c r="K15" s="187">
        <v>44201</v>
      </c>
      <c r="L15" s="188" t="s">
        <v>325</v>
      </c>
      <c r="M15" s="79">
        <v>8733</v>
      </c>
      <c r="N15" s="67"/>
      <c r="O15" s="67">
        <f t="shared" si="0"/>
        <v>8733</v>
      </c>
      <c r="P15" s="66"/>
      <c r="Q15" s="67"/>
      <c r="R15" s="67"/>
      <c r="S15" s="68">
        <f t="shared" si="1"/>
        <v>0</v>
      </c>
    </row>
    <row r="16" spans="1:20" ht="30" customHeight="1" x14ac:dyDescent="0.25">
      <c r="B16" s="2" t="s">
        <v>326</v>
      </c>
      <c r="C16" s="236" t="s">
        <v>333</v>
      </c>
      <c r="D16" s="93" t="s">
        <v>288</v>
      </c>
      <c r="E16" s="2" t="s">
        <v>330</v>
      </c>
      <c r="F16" s="2" t="s">
        <v>7</v>
      </c>
      <c r="G16" s="186">
        <f>G15:H15</f>
        <v>2.63E-2</v>
      </c>
      <c r="H16" s="186">
        <f>H15</f>
        <v>0.1845</v>
      </c>
      <c r="I16" s="187">
        <v>45199</v>
      </c>
      <c r="J16" s="187">
        <v>45214</v>
      </c>
      <c r="K16" s="187">
        <v>44201</v>
      </c>
      <c r="L16" s="188" t="s">
        <v>323</v>
      </c>
      <c r="M16" s="79">
        <v>9357.48</v>
      </c>
      <c r="N16" s="67"/>
      <c r="O16" s="67">
        <f t="shared" si="0"/>
        <v>9357.48</v>
      </c>
      <c r="P16" s="66"/>
      <c r="Q16" s="67"/>
      <c r="R16" s="67"/>
      <c r="S16" s="68">
        <f t="shared" si="1"/>
        <v>0</v>
      </c>
    </row>
    <row r="17" spans="2:19" ht="30" customHeight="1" x14ac:dyDescent="0.25">
      <c r="B17" s="2" t="s">
        <v>370</v>
      </c>
      <c r="C17" s="236" t="s">
        <v>333</v>
      </c>
      <c r="D17" s="93" t="s">
        <v>288</v>
      </c>
      <c r="E17" s="2" t="s">
        <v>331</v>
      </c>
      <c r="F17" s="2" t="s">
        <v>7</v>
      </c>
      <c r="G17" s="186">
        <f t="shared" ref="G17" si="2">G16:H16</f>
        <v>2.63E-2</v>
      </c>
      <c r="H17" s="186">
        <f t="shared" ref="H17" si="3">H16</f>
        <v>0.1845</v>
      </c>
      <c r="I17" s="187">
        <v>45199</v>
      </c>
      <c r="J17" s="187">
        <v>45214</v>
      </c>
      <c r="K17" s="187">
        <v>44201</v>
      </c>
      <c r="L17" s="188" t="s">
        <v>325</v>
      </c>
      <c r="M17" s="79">
        <v>44292.08</v>
      </c>
      <c r="N17" s="67"/>
      <c r="O17" s="67">
        <f t="shared" si="0"/>
        <v>44292.08</v>
      </c>
      <c r="P17" s="66"/>
      <c r="Q17" s="67"/>
      <c r="R17" s="67"/>
      <c r="S17" s="68">
        <f t="shared" si="1"/>
        <v>0</v>
      </c>
    </row>
    <row r="18" spans="2:19" ht="30" customHeight="1" x14ac:dyDescent="0.25">
      <c r="B18" s="2" t="s">
        <v>287</v>
      </c>
      <c r="C18" s="236" t="s">
        <v>333</v>
      </c>
      <c r="D18" s="93" t="s">
        <v>288</v>
      </c>
      <c r="E18" s="2" t="s">
        <v>289</v>
      </c>
      <c r="F18" s="2" t="s">
        <v>7</v>
      </c>
      <c r="G18" s="186">
        <v>2.63E-2</v>
      </c>
      <c r="H18" s="186">
        <v>0.1845</v>
      </c>
      <c r="I18" s="187">
        <v>45199</v>
      </c>
      <c r="J18" s="187">
        <v>45199</v>
      </c>
      <c r="K18" s="187">
        <v>44201</v>
      </c>
      <c r="L18" s="188" t="s">
        <v>320</v>
      </c>
      <c r="M18" s="79">
        <v>81989.36</v>
      </c>
      <c r="N18" s="67"/>
      <c r="O18" s="67">
        <f t="shared" si="0"/>
        <v>81989.36</v>
      </c>
      <c r="P18" s="66"/>
      <c r="Q18" s="67">
        <f>66465.38+8696</f>
        <v>75161.38</v>
      </c>
      <c r="R18" s="67"/>
      <c r="S18" s="68">
        <f t="shared" si="1"/>
        <v>75161.38</v>
      </c>
    </row>
    <row r="19" spans="2:19" ht="30" customHeight="1" x14ac:dyDescent="0.25">
      <c r="B19" s="2" t="s">
        <v>352</v>
      </c>
      <c r="C19" s="236" t="s">
        <v>353</v>
      </c>
      <c r="D19" s="93" t="s">
        <v>354</v>
      </c>
      <c r="E19" s="2" t="s">
        <v>355</v>
      </c>
      <c r="F19" s="2" t="s">
        <v>7</v>
      </c>
      <c r="G19" s="186">
        <v>2.63E-2</v>
      </c>
      <c r="H19" s="186">
        <v>0.1845</v>
      </c>
      <c r="I19" s="187">
        <v>45565</v>
      </c>
      <c r="J19" s="187">
        <v>45580</v>
      </c>
      <c r="K19" s="187">
        <v>44279</v>
      </c>
      <c r="L19" s="188" t="s">
        <v>356</v>
      </c>
      <c r="M19" s="79">
        <v>320567.3</v>
      </c>
      <c r="N19" s="67"/>
      <c r="O19" s="67">
        <f t="shared" si="0"/>
        <v>320567.3</v>
      </c>
      <c r="P19" s="66"/>
      <c r="Q19" s="67"/>
      <c r="R19" s="67"/>
      <c r="S19" s="68">
        <f t="shared" si="1"/>
        <v>0</v>
      </c>
    </row>
    <row r="20" spans="2:19" ht="30" customHeight="1" x14ac:dyDescent="0.25">
      <c r="B20" s="2" t="s">
        <v>357</v>
      </c>
      <c r="C20" s="236" t="s">
        <v>353</v>
      </c>
      <c r="D20" s="93" t="s">
        <v>354</v>
      </c>
      <c r="E20" s="2" t="s">
        <v>358</v>
      </c>
      <c r="F20" s="2" t="s">
        <v>7</v>
      </c>
      <c r="G20" s="186">
        <v>2.63E-2</v>
      </c>
      <c r="H20" s="186">
        <v>0.1845</v>
      </c>
      <c r="I20" s="187">
        <v>45565</v>
      </c>
      <c r="J20" s="187">
        <v>45580</v>
      </c>
      <c r="K20" s="187">
        <v>44279</v>
      </c>
      <c r="L20" s="188" t="s">
        <v>356</v>
      </c>
      <c r="M20" s="79">
        <v>80141.820000000007</v>
      </c>
      <c r="N20" s="67"/>
      <c r="O20" s="67">
        <f t="shared" si="0"/>
        <v>80141.820000000007</v>
      </c>
      <c r="P20" s="66"/>
      <c r="Q20" s="67"/>
      <c r="R20" s="67"/>
      <c r="S20" s="68">
        <f t="shared" si="1"/>
        <v>0</v>
      </c>
    </row>
    <row r="21" spans="2:19" ht="30" customHeight="1" x14ac:dyDescent="0.25">
      <c r="B21" s="2" t="s">
        <v>363</v>
      </c>
      <c r="C21" s="236" t="s">
        <v>333</v>
      </c>
      <c r="D21" s="93" t="s">
        <v>288</v>
      </c>
      <c r="E21" s="2" t="s">
        <v>364</v>
      </c>
      <c r="F21" s="2" t="s">
        <v>7</v>
      </c>
      <c r="G21" s="186">
        <v>2.63E-2</v>
      </c>
      <c r="H21" s="186">
        <v>0.1845</v>
      </c>
      <c r="I21" s="187">
        <v>45199</v>
      </c>
      <c r="J21" s="187">
        <v>45214</v>
      </c>
      <c r="K21" s="187">
        <v>44201</v>
      </c>
      <c r="L21" s="188" t="s">
        <v>365</v>
      </c>
      <c r="M21" s="79">
        <v>754.52</v>
      </c>
      <c r="N21" s="67"/>
      <c r="O21" s="67">
        <f t="shared" si="0"/>
        <v>754.52</v>
      </c>
      <c r="P21" s="66"/>
      <c r="Q21" s="67"/>
      <c r="R21" s="67"/>
      <c r="S21" s="68"/>
    </row>
    <row r="22" spans="2:19" x14ac:dyDescent="0.25">
      <c r="C22" s="93"/>
      <c r="D22" s="93"/>
      <c r="G22" s="202"/>
      <c r="H22" s="186"/>
      <c r="I22" s="187"/>
      <c r="J22" s="187"/>
      <c r="K22" s="187"/>
      <c r="L22" s="188"/>
      <c r="M22" s="25"/>
      <c r="N22" s="25"/>
      <c r="O22" s="25"/>
      <c r="P22" s="29"/>
      <c r="Q22" s="25"/>
      <c r="R22" s="25"/>
      <c r="S22" s="26"/>
    </row>
    <row r="23" spans="2:19" ht="23.25" customHeight="1" x14ac:dyDescent="0.25">
      <c r="C23" s="92"/>
      <c r="D23" s="92"/>
      <c r="I23" s="116"/>
      <c r="J23" s="116"/>
      <c r="K23" s="116"/>
      <c r="L23" s="5" t="s">
        <v>38</v>
      </c>
      <c r="M23" s="66">
        <f>SUM(M7:M22)</f>
        <v>748537.96</v>
      </c>
      <c r="N23" s="66">
        <f>SUM(N7:N22)</f>
        <v>8252.74</v>
      </c>
      <c r="O23" s="66">
        <f>SUM(O7:O22)</f>
        <v>756790.7</v>
      </c>
      <c r="Q23" s="66">
        <f>SUM(Q7:Q22)</f>
        <v>173963.37</v>
      </c>
      <c r="R23" s="66">
        <f>SUM(R7:R22)</f>
        <v>0</v>
      </c>
      <c r="S23" s="68">
        <f>SUM(S7:S22)</f>
        <v>173963.37</v>
      </c>
    </row>
    <row r="24" spans="2:19" x14ac:dyDescent="0.25">
      <c r="C24" s="92"/>
      <c r="D24" s="92"/>
      <c r="I24" s="116"/>
      <c r="J24" s="116"/>
      <c r="K24" s="116"/>
      <c r="L24" s="5"/>
      <c r="M24" s="66"/>
      <c r="N24" s="66"/>
      <c r="O24" s="66"/>
      <c r="Q24" s="66"/>
      <c r="R24" s="66"/>
      <c r="S24" s="68"/>
    </row>
    <row r="25" spans="2:19" x14ac:dyDescent="0.25">
      <c r="C25" s="92"/>
      <c r="D25" s="92"/>
      <c r="I25" s="116"/>
      <c r="J25" s="116"/>
      <c r="K25" s="116"/>
      <c r="L25" s="5"/>
      <c r="M25" s="66"/>
      <c r="N25" s="66"/>
      <c r="O25" s="66"/>
      <c r="Q25" s="66"/>
      <c r="R25" s="66"/>
      <c r="S25" s="68"/>
    </row>
    <row r="26" spans="2:19" x14ac:dyDescent="0.25">
      <c r="B26" s="8" t="s">
        <v>125</v>
      </c>
      <c r="C26" s="92"/>
      <c r="D26" s="92"/>
      <c r="L26" s="5"/>
      <c r="M26" s="66"/>
      <c r="N26" s="66"/>
      <c r="O26" s="66"/>
      <c r="Q26" s="66"/>
      <c r="R26" s="66"/>
      <c r="S26" s="68"/>
    </row>
    <row r="27" spans="2:19" ht="30" customHeight="1" x14ac:dyDescent="0.25">
      <c r="B27" s="341" t="s">
        <v>126</v>
      </c>
      <c r="C27" s="341"/>
      <c r="D27" s="341"/>
      <c r="E27" s="341"/>
      <c r="F27" s="341"/>
      <c r="G27" s="117"/>
      <c r="H27" s="117"/>
      <c r="I27" s="111"/>
      <c r="L27" s="5"/>
      <c r="M27" s="66"/>
      <c r="N27" s="66"/>
      <c r="O27" s="66"/>
      <c r="Q27" s="66"/>
      <c r="R27" s="66"/>
      <c r="S27" s="68"/>
    </row>
    <row r="28" spans="2:19" x14ac:dyDescent="0.25">
      <c r="C28" s="92"/>
      <c r="D28" s="92"/>
      <c r="L28" s="5"/>
      <c r="M28" s="66"/>
      <c r="N28" s="66"/>
      <c r="O28" s="66"/>
      <c r="Q28" s="66"/>
      <c r="R28" s="66"/>
      <c r="S28" s="68"/>
    </row>
    <row r="29" spans="2:19" ht="48.75" customHeight="1" x14ac:dyDescent="0.25">
      <c r="B29" s="341" t="s">
        <v>129</v>
      </c>
      <c r="C29" s="341"/>
      <c r="D29" s="341"/>
      <c r="E29" s="341"/>
      <c r="F29" s="341"/>
      <c r="G29" s="117"/>
      <c r="H29" s="117"/>
      <c r="I29" s="111"/>
      <c r="L29" s="5"/>
      <c r="M29" s="66"/>
      <c r="N29" s="66"/>
      <c r="O29" s="66"/>
      <c r="Q29" s="66"/>
      <c r="R29" s="66"/>
      <c r="S29" s="68"/>
    </row>
    <row r="30" spans="2:19" x14ac:dyDescent="0.25">
      <c r="B30" s="108"/>
      <c r="C30" s="108"/>
      <c r="D30" s="108"/>
      <c r="E30" s="108"/>
      <c r="F30" s="108"/>
      <c r="G30" s="117"/>
      <c r="H30" s="117"/>
      <c r="I30" s="111"/>
      <c r="L30" s="5"/>
      <c r="M30" s="66"/>
      <c r="N30" s="66"/>
      <c r="O30" s="66"/>
      <c r="Q30" s="66"/>
      <c r="R30" s="66"/>
      <c r="S30" s="68"/>
    </row>
    <row r="31" spans="2:19" ht="30" customHeight="1" x14ac:dyDescent="0.25">
      <c r="B31" s="341" t="s">
        <v>160</v>
      </c>
      <c r="C31" s="341"/>
      <c r="D31" s="341"/>
      <c r="E31" s="341"/>
      <c r="F31" s="341"/>
      <c r="G31" s="193"/>
      <c r="H31" s="193"/>
      <c r="I31" s="193"/>
      <c r="L31" s="5"/>
      <c r="M31" s="66"/>
      <c r="N31" s="66"/>
      <c r="O31" s="66"/>
      <c r="Q31" s="66"/>
      <c r="R31" s="66"/>
      <c r="S31" s="68"/>
    </row>
    <row r="32" spans="2:19" ht="15" customHeight="1" x14ac:dyDescent="0.25">
      <c r="B32" s="347" t="s">
        <v>159</v>
      </c>
      <c r="C32" s="341"/>
      <c r="D32" s="341"/>
      <c r="E32" s="341"/>
      <c r="F32" s="341"/>
      <c r="G32" s="193"/>
      <c r="H32" s="193"/>
      <c r="I32" s="193"/>
      <c r="L32" s="5"/>
      <c r="M32" s="66"/>
      <c r="N32" s="66"/>
      <c r="O32" s="66"/>
      <c r="Q32" s="66"/>
      <c r="R32" s="66"/>
      <c r="S32" s="68"/>
    </row>
    <row r="33" spans="2:20" ht="15" customHeight="1" x14ac:dyDescent="0.25">
      <c r="B33" s="195"/>
      <c r="C33" s="195"/>
      <c r="D33" s="195"/>
      <c r="E33" s="195"/>
      <c r="F33" s="195"/>
      <c r="G33" s="195"/>
      <c r="H33" s="195"/>
      <c r="I33" s="195"/>
      <c r="L33" s="5"/>
      <c r="M33" s="66"/>
      <c r="N33" s="66"/>
      <c r="O33" s="66"/>
      <c r="Q33" s="66"/>
      <c r="R33" s="66"/>
      <c r="S33" s="68"/>
    </row>
    <row r="34" spans="2:20" x14ac:dyDescent="0.25">
      <c r="B34" s="7" t="s">
        <v>109</v>
      </c>
      <c r="C34" s="101" t="s">
        <v>112</v>
      </c>
      <c r="D34" s="101" t="s">
        <v>113</v>
      </c>
      <c r="E34" s="108"/>
      <c r="F34" s="108"/>
      <c r="G34" s="117"/>
      <c r="H34" s="117"/>
      <c r="I34" s="111"/>
      <c r="L34" s="5"/>
      <c r="M34" s="66"/>
      <c r="N34" s="66"/>
      <c r="O34" s="66"/>
      <c r="Q34" s="66"/>
      <c r="R34" s="66"/>
      <c r="S34" s="68"/>
    </row>
    <row r="35" spans="2:20" x14ac:dyDescent="0.25">
      <c r="B35" s="2" t="s">
        <v>110</v>
      </c>
      <c r="C35" s="92" t="s">
        <v>327</v>
      </c>
      <c r="D35" s="92" t="s">
        <v>118</v>
      </c>
      <c r="E35" s="108"/>
      <c r="F35" s="108"/>
      <c r="G35" s="117"/>
      <c r="H35" s="117"/>
      <c r="I35" s="111"/>
      <c r="L35" s="5"/>
      <c r="M35" s="66"/>
      <c r="N35" s="66"/>
      <c r="O35" s="66"/>
      <c r="Q35" s="66"/>
      <c r="R35" s="66"/>
      <c r="S35" s="68"/>
    </row>
    <row r="36" spans="2:20" x14ac:dyDescent="0.25">
      <c r="B36" s="2" t="s">
        <v>230</v>
      </c>
      <c r="C36" s="92" t="s">
        <v>135</v>
      </c>
      <c r="D36" s="92" t="s">
        <v>147</v>
      </c>
      <c r="L36" s="5"/>
      <c r="M36" s="66"/>
      <c r="N36" s="66"/>
      <c r="O36" s="66"/>
      <c r="Q36" s="66"/>
      <c r="R36" s="66"/>
      <c r="S36" s="68"/>
    </row>
    <row r="37" spans="2:20" x14ac:dyDescent="0.25">
      <c r="B37" s="2" t="s">
        <v>240</v>
      </c>
      <c r="C37" s="92" t="s">
        <v>135</v>
      </c>
      <c r="D37" s="92" t="s">
        <v>147</v>
      </c>
      <c r="L37" s="5"/>
      <c r="M37" s="66"/>
      <c r="N37" s="66"/>
      <c r="O37" s="66"/>
      <c r="Q37" s="66"/>
      <c r="R37" s="66"/>
      <c r="S37" s="68"/>
    </row>
    <row r="38" spans="2:20" x14ac:dyDescent="0.25">
      <c r="B38" s="2" t="s">
        <v>279</v>
      </c>
      <c r="C38" s="92" t="s">
        <v>135</v>
      </c>
      <c r="D38" s="92" t="s">
        <v>147</v>
      </c>
      <c r="L38" s="5"/>
      <c r="M38" s="66"/>
      <c r="N38" s="66"/>
      <c r="O38" s="66"/>
      <c r="Q38" s="66"/>
      <c r="R38" s="66"/>
      <c r="S38" s="68"/>
    </row>
    <row r="39" spans="2:20" x14ac:dyDescent="0.25">
      <c r="B39" s="2" t="s">
        <v>281</v>
      </c>
      <c r="C39" s="92" t="s">
        <v>135</v>
      </c>
      <c r="D39" s="92" t="s">
        <v>147</v>
      </c>
      <c r="L39" s="5"/>
      <c r="M39" s="66"/>
      <c r="N39" s="66"/>
      <c r="O39" s="66"/>
      <c r="Q39" s="66"/>
      <c r="R39" s="66"/>
      <c r="S39" s="68"/>
    </row>
    <row r="40" spans="2:20" x14ac:dyDescent="0.25">
      <c r="B40" s="2" t="s">
        <v>286</v>
      </c>
      <c r="C40" s="92" t="s">
        <v>135</v>
      </c>
      <c r="D40" s="92" t="s">
        <v>147</v>
      </c>
      <c r="L40" s="5"/>
      <c r="M40" s="66"/>
      <c r="N40" s="66"/>
      <c r="O40" s="66"/>
      <c r="Q40" s="66"/>
      <c r="R40" s="66"/>
      <c r="S40" s="68"/>
    </row>
    <row r="41" spans="2:20" x14ac:dyDescent="0.25">
      <c r="C41" s="92"/>
      <c r="D41" s="92"/>
      <c r="L41" s="5"/>
      <c r="M41" s="66"/>
      <c r="N41" s="66"/>
      <c r="O41" s="66"/>
      <c r="Q41" s="66"/>
      <c r="R41" s="66"/>
      <c r="S41" s="68"/>
    </row>
    <row r="42" spans="2:20" x14ac:dyDescent="0.25">
      <c r="B42" s="259" t="s">
        <v>298</v>
      </c>
      <c r="C42" s="92"/>
      <c r="D42" s="92"/>
      <c r="L42" s="5"/>
      <c r="M42" s="66"/>
      <c r="N42" s="66"/>
      <c r="O42" s="66"/>
      <c r="Q42" s="66"/>
      <c r="R42" s="66"/>
      <c r="S42" s="68"/>
    </row>
    <row r="43" spans="2:20" x14ac:dyDescent="0.25">
      <c r="B43" s="255" t="s">
        <v>299</v>
      </c>
      <c r="C43" s="42"/>
      <c r="D43" s="42"/>
      <c r="E43" s="29"/>
      <c r="F43" s="29"/>
      <c r="G43" s="29"/>
      <c r="H43" s="29"/>
      <c r="I43" s="29"/>
      <c r="J43" s="29"/>
      <c r="K43" s="29"/>
      <c r="L43" s="29"/>
      <c r="M43" s="29"/>
      <c r="N43" s="29"/>
      <c r="O43" s="29"/>
      <c r="P43" s="29"/>
      <c r="Q43" s="29"/>
      <c r="R43" s="29"/>
      <c r="S43" s="27"/>
    </row>
    <row r="44" spans="2:20" x14ac:dyDescent="0.25">
      <c r="B44" s="29"/>
      <c r="C44" s="42"/>
      <c r="D44" s="42"/>
      <c r="E44" s="29"/>
      <c r="F44" s="29"/>
      <c r="G44" s="29"/>
      <c r="H44" s="29"/>
      <c r="I44" s="29"/>
      <c r="J44" s="29"/>
      <c r="K44" s="29"/>
      <c r="L44" s="29"/>
      <c r="M44" s="29"/>
      <c r="N44" s="29"/>
      <c r="O44" s="29"/>
      <c r="P44" s="29"/>
      <c r="Q44" s="29"/>
      <c r="R44" s="29"/>
      <c r="S44" s="27"/>
    </row>
    <row r="45" spans="2:20" x14ac:dyDescent="0.25">
      <c r="B45" s="109"/>
      <c r="C45" s="109"/>
      <c r="D45" s="109"/>
      <c r="E45" s="109"/>
      <c r="F45" s="109"/>
      <c r="G45" s="109"/>
      <c r="H45" s="109"/>
      <c r="I45" s="109"/>
      <c r="J45" s="109"/>
      <c r="K45" s="109"/>
      <c r="L45" s="109"/>
      <c r="M45" s="109"/>
      <c r="N45" s="109"/>
      <c r="O45" s="109"/>
      <c r="P45" s="109"/>
      <c r="Q45" s="166" t="s">
        <v>90</v>
      </c>
      <c r="R45" s="163"/>
      <c r="S45" s="164"/>
    </row>
    <row r="46" spans="2:20" ht="15" customHeight="1" x14ac:dyDescent="0.25">
      <c r="B46" s="17" t="s">
        <v>39</v>
      </c>
      <c r="C46" s="96" t="s">
        <v>2</v>
      </c>
      <c r="D46" s="96"/>
      <c r="E46" s="96" t="s">
        <v>34</v>
      </c>
      <c r="F46" s="96" t="s">
        <v>35</v>
      </c>
      <c r="G46" s="120"/>
      <c r="H46" s="120"/>
      <c r="I46" s="114"/>
      <c r="J46" s="96"/>
      <c r="K46" s="96"/>
      <c r="L46" s="96" t="s">
        <v>36</v>
      </c>
      <c r="M46" s="96" t="s">
        <v>37</v>
      </c>
      <c r="N46" s="47"/>
      <c r="O46" s="47"/>
      <c r="P46" s="47"/>
      <c r="Q46" s="54" t="s">
        <v>88</v>
      </c>
      <c r="R46" s="52"/>
      <c r="S46" s="53"/>
      <c r="T46" s="51"/>
    </row>
    <row r="47" spans="2:20" ht="15" customHeight="1" x14ac:dyDescent="0.25">
      <c r="B47" s="63"/>
      <c r="C47" s="9"/>
      <c r="D47" s="9"/>
      <c r="E47" s="9"/>
      <c r="F47" s="9"/>
      <c r="G47" s="9"/>
      <c r="H47" s="9"/>
      <c r="I47" s="9"/>
      <c r="J47" s="9"/>
      <c r="K47" s="9"/>
      <c r="L47" s="9"/>
      <c r="M47" s="9"/>
      <c r="N47" s="45"/>
      <c r="O47" s="45"/>
      <c r="P47" s="45"/>
      <c r="Q47" s="59"/>
      <c r="R47" s="50"/>
      <c r="S47" s="50"/>
      <c r="T47" s="51"/>
    </row>
    <row r="48" spans="2:20" ht="15" customHeight="1" x14ac:dyDescent="0.25">
      <c r="B48" s="63"/>
      <c r="C48" s="9"/>
      <c r="D48" s="9"/>
      <c r="E48" s="9"/>
      <c r="F48" s="9"/>
      <c r="G48" s="9"/>
      <c r="H48" s="9"/>
      <c r="I48" s="9"/>
      <c r="J48" s="9"/>
      <c r="K48" s="9"/>
      <c r="L48" s="9"/>
      <c r="M48" s="9"/>
      <c r="N48" s="45"/>
      <c r="O48" s="45"/>
      <c r="P48" s="45"/>
      <c r="R48" s="51"/>
      <c r="S48" s="51"/>
      <c r="T48" s="51"/>
    </row>
    <row r="49" spans="2:20" ht="15" customHeight="1" x14ac:dyDescent="0.25">
      <c r="B49" s="63"/>
      <c r="C49" s="148"/>
      <c r="D49" s="148"/>
      <c r="E49" s="148"/>
      <c r="F49" s="148"/>
      <c r="G49" s="148"/>
      <c r="H49" s="148"/>
      <c r="I49" s="148"/>
      <c r="J49" s="148"/>
      <c r="K49" s="148"/>
      <c r="L49" s="148"/>
      <c r="M49" s="148"/>
      <c r="N49" s="45"/>
      <c r="O49" s="45"/>
      <c r="P49" s="45"/>
      <c r="R49" s="51"/>
      <c r="S49" s="51"/>
      <c r="T49" s="51"/>
    </row>
    <row r="50" spans="2:20" x14ac:dyDescent="0.25">
      <c r="B50" s="12"/>
      <c r="C50" s="13"/>
      <c r="D50" s="13"/>
      <c r="E50" s="41"/>
      <c r="F50" s="15"/>
      <c r="G50" s="15"/>
      <c r="H50" s="15"/>
      <c r="I50" s="15"/>
      <c r="J50" s="15"/>
      <c r="K50" s="15"/>
      <c r="L50" s="16"/>
      <c r="M50" s="31"/>
      <c r="Q50" s="51"/>
      <c r="R50" s="51"/>
      <c r="S50" s="51"/>
      <c r="T50" s="51"/>
    </row>
    <row r="51" spans="2:20" x14ac:dyDescent="0.25">
      <c r="B51" s="12"/>
      <c r="C51" s="13"/>
      <c r="D51" s="13"/>
      <c r="E51" s="41"/>
      <c r="F51" s="15"/>
      <c r="G51" s="15"/>
      <c r="H51" s="15"/>
      <c r="I51" s="15"/>
      <c r="J51" s="15"/>
      <c r="K51" s="15"/>
      <c r="L51" s="16"/>
      <c r="M51" s="31"/>
      <c r="Q51" s="51"/>
      <c r="R51" s="51"/>
      <c r="S51" s="51"/>
      <c r="T51" s="51"/>
    </row>
    <row r="52" spans="2:20" x14ac:dyDescent="0.25">
      <c r="B52" s="12"/>
      <c r="C52" s="13"/>
      <c r="D52" s="13"/>
      <c r="E52" s="41"/>
      <c r="F52" s="15"/>
      <c r="G52" s="15"/>
      <c r="H52" s="15"/>
      <c r="I52" s="15"/>
      <c r="J52" s="15"/>
      <c r="K52" s="15"/>
      <c r="L52" s="16"/>
      <c r="M52" s="31"/>
      <c r="Q52" s="51"/>
      <c r="R52" s="51"/>
      <c r="S52" s="51"/>
      <c r="T52" s="51"/>
    </row>
    <row r="53" spans="2:20" x14ac:dyDescent="0.25">
      <c r="B53" s="12"/>
      <c r="C53" s="13"/>
      <c r="D53" s="13"/>
      <c r="E53" s="41"/>
      <c r="F53" s="15"/>
      <c r="G53" s="15"/>
      <c r="H53" s="15"/>
      <c r="I53" s="15"/>
      <c r="J53" s="15"/>
      <c r="K53" s="15"/>
      <c r="L53" s="16"/>
      <c r="M53" s="31"/>
      <c r="Q53" s="51"/>
      <c r="R53" s="51"/>
      <c r="S53" s="51"/>
      <c r="T53" s="51"/>
    </row>
    <row r="54" spans="2:20" x14ac:dyDescent="0.25">
      <c r="B54" s="12"/>
      <c r="C54" s="13"/>
      <c r="D54" s="13"/>
      <c r="E54" s="41"/>
      <c r="F54" s="15"/>
      <c r="G54" s="15"/>
      <c r="H54" s="15"/>
      <c r="I54" s="15"/>
      <c r="J54" s="15"/>
      <c r="K54" s="15"/>
      <c r="L54" s="16"/>
      <c r="M54" s="31"/>
      <c r="T54" s="51"/>
    </row>
    <row r="55" spans="2:20" ht="15" customHeight="1" x14ac:dyDescent="0.25">
      <c r="B55" s="36"/>
      <c r="C55" s="40"/>
      <c r="D55" s="40"/>
      <c r="E55" s="41"/>
      <c r="F55" s="38"/>
      <c r="G55" s="38"/>
      <c r="H55" s="38"/>
      <c r="I55" s="38"/>
      <c r="J55" s="38"/>
      <c r="K55" s="38"/>
      <c r="L55" s="33"/>
      <c r="M55" s="31"/>
      <c r="N55" s="99"/>
      <c r="O55" s="99"/>
      <c r="P55" s="29"/>
      <c r="Q55" s="309" t="s">
        <v>316</v>
      </c>
      <c r="R55" s="309"/>
      <c r="S55" s="310">
        <f>S23</f>
        <v>173963.37</v>
      </c>
    </row>
    <row r="56" spans="2:20" x14ac:dyDescent="0.25">
      <c r="B56" s="36"/>
      <c r="C56" s="40"/>
      <c r="D56" s="40"/>
      <c r="E56" s="41"/>
      <c r="F56" s="38"/>
      <c r="G56" s="38"/>
      <c r="H56" s="38"/>
      <c r="I56" s="38"/>
      <c r="J56" s="38"/>
      <c r="K56" s="38"/>
      <c r="L56" s="33"/>
      <c r="M56" s="31"/>
      <c r="N56" s="99"/>
      <c r="O56" s="99"/>
      <c r="P56" s="29"/>
    </row>
    <row r="57" spans="2:20" x14ac:dyDescent="0.25">
      <c r="B57" s="36"/>
      <c r="C57" s="40"/>
      <c r="D57" s="40"/>
      <c r="E57" s="41"/>
      <c r="F57" s="38"/>
      <c r="G57" s="38"/>
      <c r="H57" s="38"/>
      <c r="I57" s="38"/>
      <c r="J57" s="38"/>
      <c r="K57" s="38"/>
      <c r="L57" s="33"/>
      <c r="M57" s="31"/>
      <c r="N57" s="99"/>
      <c r="O57" s="99"/>
      <c r="P57" s="29"/>
    </row>
    <row r="58" spans="2:20" ht="16.5" customHeight="1" x14ac:dyDescent="0.25">
      <c r="B58" s="36"/>
      <c r="C58" s="40"/>
      <c r="D58" s="40"/>
      <c r="E58" s="41"/>
      <c r="F58" s="38"/>
      <c r="G58" s="38"/>
      <c r="H58" s="38"/>
      <c r="I58" s="38"/>
      <c r="J58" s="38"/>
      <c r="K58" s="38"/>
      <c r="L58" s="39"/>
      <c r="M58" s="20"/>
      <c r="N58" s="99"/>
      <c r="O58" s="99"/>
      <c r="P58" s="29"/>
    </row>
    <row r="59" spans="2:20" ht="15" hidden="1" customHeight="1" x14ac:dyDescent="0.25"/>
    <row r="60" spans="2:20" ht="15" customHeight="1" x14ac:dyDescent="0.25">
      <c r="E60" s="21"/>
      <c r="F60" s="102"/>
      <c r="G60" s="102"/>
      <c r="H60" s="102"/>
      <c r="I60" s="102"/>
      <c r="J60" s="102"/>
      <c r="K60" s="102"/>
    </row>
    <row r="63" spans="2:20" ht="15" customHeight="1" x14ac:dyDescent="0.25"/>
  </sheetData>
  <mergeCells count="6">
    <mergeCell ref="B32:F32"/>
    <mergeCell ref="Q1:S1"/>
    <mergeCell ref="Q2:S2"/>
    <mergeCell ref="B27:F27"/>
    <mergeCell ref="B29:F29"/>
    <mergeCell ref="B31:F31"/>
  </mergeCells>
  <hyperlinks>
    <hyperlink ref="B32" r:id="rId1"/>
  </hyperlinks>
  <printOptions horizontalCentered="1" gridLines="1"/>
  <pageMargins left="0" right="0" top="0.75" bottom="0.75" header="0.3" footer="0.3"/>
  <pageSetup scale="51" orientation="landscape" horizontalDpi="1200" verticalDpi="12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5"/>
  <sheetViews>
    <sheetView topLeftCell="C7" zoomScale="90" zoomScaleNormal="90" workbookViewId="0">
      <selection activeCell="Q22" sqref="Q22"/>
    </sheetView>
  </sheetViews>
  <sheetFormatPr defaultColWidth="9.140625" defaultRowHeight="15" x14ac:dyDescent="0.25"/>
  <cols>
    <col min="1" max="1" width="15.42578125" style="2" hidden="1" customWidth="1"/>
    <col min="2" max="2" width="61.42578125" style="2" customWidth="1"/>
    <col min="3" max="3" width="29.85546875" style="2" customWidth="1"/>
    <col min="4" max="4" width="13.7109375" style="2" customWidth="1"/>
    <col min="5" max="5" width="17" style="2" customWidth="1"/>
    <col min="6" max="6" width="20.85546875" style="2" customWidth="1"/>
    <col min="7" max="7" width="10.7109375" style="2" customWidth="1"/>
    <col min="8" max="8" width="12.5703125" style="2" customWidth="1"/>
    <col min="9" max="9" width="13.28515625" style="2" customWidth="1"/>
    <col min="10" max="10" width="14.7109375" style="2" customWidth="1"/>
    <col min="11" max="11" width="11.5703125" style="2" customWidth="1"/>
    <col min="12" max="12" width="20.28515625" style="2" customWidth="1"/>
    <col min="13" max="13" width="13.28515625" style="2" customWidth="1"/>
    <col min="14" max="14" width="13.7109375" style="2" customWidth="1"/>
    <col min="15" max="15" width="14.42578125" style="2" customWidth="1"/>
    <col min="16" max="16" width="3.140625" style="2" customWidth="1"/>
    <col min="17" max="17" width="19.140625" style="2" customWidth="1"/>
    <col min="18" max="18" width="14.140625" style="2" customWidth="1"/>
    <col min="19" max="19" width="16.7109375" style="2" customWidth="1"/>
    <col min="20" max="16384" width="9.140625" style="2"/>
  </cols>
  <sheetData>
    <row r="1" spans="1:20" ht="18" customHeight="1" x14ac:dyDescent="0.25">
      <c r="B1" s="1" t="s">
        <v>42</v>
      </c>
      <c r="Q1" s="338" t="s">
        <v>296</v>
      </c>
      <c r="R1" s="338"/>
      <c r="S1" s="338"/>
    </row>
    <row r="2" spans="1:20" ht="18" customHeight="1" x14ac:dyDescent="0.25">
      <c r="B2" s="88" t="s">
        <v>148</v>
      </c>
      <c r="C2" s="182">
        <v>44742</v>
      </c>
      <c r="M2" s="71"/>
      <c r="N2" s="71"/>
      <c r="P2" s="29"/>
      <c r="Q2" s="337" t="s">
        <v>375</v>
      </c>
      <c r="R2" s="337"/>
      <c r="S2" s="337"/>
    </row>
    <row r="3" spans="1:20" ht="18" customHeight="1" thickBot="1" x14ac:dyDescent="0.3">
      <c r="A3" s="2" t="s">
        <v>16</v>
      </c>
      <c r="B3" s="44" t="s">
        <v>60</v>
      </c>
      <c r="C3" s="8"/>
      <c r="D3" s="8"/>
      <c r="E3" s="8"/>
      <c r="P3" s="29"/>
      <c r="Q3" s="45"/>
      <c r="R3" s="30"/>
    </row>
    <row r="4" spans="1:20" ht="18.75" customHeight="1" x14ac:dyDescent="0.25">
      <c r="B4" s="8" t="s">
        <v>174</v>
      </c>
      <c r="M4" s="85" t="s">
        <v>28</v>
      </c>
      <c r="N4" s="85" t="s">
        <v>28</v>
      </c>
      <c r="O4" s="85" t="s">
        <v>28</v>
      </c>
      <c r="P4" s="9"/>
      <c r="Q4" s="89" t="s">
        <v>29</v>
      </c>
      <c r="R4" s="89" t="s">
        <v>31</v>
      </c>
      <c r="S4" s="89" t="s">
        <v>23</v>
      </c>
      <c r="T4" s="7"/>
    </row>
    <row r="5" spans="1:20" ht="15.75" thickBot="1" x14ac:dyDescent="0.3">
      <c r="G5" s="183" t="s">
        <v>295</v>
      </c>
      <c r="H5" s="183" t="s">
        <v>295</v>
      </c>
      <c r="M5" s="86" t="s">
        <v>27</v>
      </c>
      <c r="N5" s="86" t="s">
        <v>26</v>
      </c>
      <c r="O5" s="86" t="s">
        <v>25</v>
      </c>
      <c r="P5" s="9"/>
      <c r="Q5" s="90" t="s">
        <v>30</v>
      </c>
      <c r="R5" s="90" t="s">
        <v>30</v>
      </c>
      <c r="S5" s="90" t="s">
        <v>30</v>
      </c>
      <c r="T5" s="7"/>
    </row>
    <row r="6" spans="1:20" ht="85.5" customHeight="1" thickBot="1" x14ac:dyDescent="0.3">
      <c r="B6" s="84" t="s">
        <v>105</v>
      </c>
      <c r="C6" s="84" t="s">
        <v>389</v>
      </c>
      <c r="D6" s="84" t="s">
        <v>107</v>
      </c>
      <c r="E6" s="84" t="s">
        <v>3</v>
      </c>
      <c r="F6" s="84" t="s">
        <v>4</v>
      </c>
      <c r="G6" s="107" t="s">
        <v>136</v>
      </c>
      <c r="H6" s="107" t="s">
        <v>137</v>
      </c>
      <c r="I6" s="107" t="s">
        <v>133</v>
      </c>
      <c r="J6" s="107" t="s">
        <v>134</v>
      </c>
      <c r="K6" s="107" t="s">
        <v>121</v>
      </c>
      <c r="L6" s="83" t="s">
        <v>5</v>
      </c>
      <c r="M6" s="87" t="s">
        <v>6</v>
      </c>
      <c r="N6" s="87" t="s">
        <v>6</v>
      </c>
      <c r="O6" s="87" t="s">
        <v>6</v>
      </c>
      <c r="P6" s="9"/>
      <c r="Q6" s="91"/>
      <c r="R6" s="97" t="s">
        <v>32</v>
      </c>
      <c r="S6" s="98" t="s">
        <v>33</v>
      </c>
    </row>
    <row r="7" spans="1:20" ht="24" customHeight="1" x14ac:dyDescent="0.25">
      <c r="A7" s="2">
        <v>4201</v>
      </c>
      <c r="B7" s="2" t="s">
        <v>8</v>
      </c>
      <c r="C7" s="92" t="s">
        <v>106</v>
      </c>
      <c r="D7" s="92" t="s">
        <v>306</v>
      </c>
      <c r="E7" s="2" t="s">
        <v>307</v>
      </c>
      <c r="F7" s="2" t="s">
        <v>7</v>
      </c>
      <c r="G7" s="186">
        <v>2.63E-2</v>
      </c>
      <c r="H7" s="186">
        <v>0.1845</v>
      </c>
      <c r="I7" s="187">
        <v>44742</v>
      </c>
      <c r="J7" s="187">
        <v>44743</v>
      </c>
      <c r="K7" s="187">
        <v>44378</v>
      </c>
      <c r="L7" s="188" t="s">
        <v>297</v>
      </c>
      <c r="M7" s="65">
        <v>379062.5</v>
      </c>
      <c r="N7" s="67"/>
      <c r="O7" s="67">
        <f>M7+N7</f>
        <v>379062.5</v>
      </c>
      <c r="P7" s="67"/>
      <c r="Q7" s="67">
        <f>28489.18+28596.25+29092.39+29184.34+74047.18+28688.7+28723.48+28910.73+29321.15+28930.92+4999+23001.17</f>
        <v>361984.49</v>
      </c>
      <c r="R7" s="67"/>
      <c r="S7" s="68">
        <f t="shared" ref="S7:S24" si="0">Q7+R7</f>
        <v>361984.49</v>
      </c>
    </row>
    <row r="8" spans="1:20" ht="36.75" customHeight="1" x14ac:dyDescent="0.25">
      <c r="B8" s="2" t="s">
        <v>257</v>
      </c>
      <c r="C8" s="236" t="s">
        <v>260</v>
      </c>
      <c r="D8" s="93" t="s">
        <v>258</v>
      </c>
      <c r="E8" s="2" t="s">
        <v>259</v>
      </c>
      <c r="F8" s="2" t="s">
        <v>7</v>
      </c>
      <c r="G8" s="186">
        <v>2.63E-2</v>
      </c>
      <c r="H8" s="186">
        <v>0.1845</v>
      </c>
      <c r="I8" s="187">
        <v>44439</v>
      </c>
      <c r="J8" s="187">
        <v>44454</v>
      </c>
      <c r="K8" s="187">
        <v>44013</v>
      </c>
      <c r="L8" s="188" t="s">
        <v>290</v>
      </c>
      <c r="M8" s="65">
        <v>192</v>
      </c>
      <c r="N8" s="67"/>
      <c r="O8" s="67">
        <f>M8+N8</f>
        <v>192</v>
      </c>
      <c r="P8" s="67"/>
      <c r="Q8" s="67">
        <v>192</v>
      </c>
      <c r="R8" s="67"/>
      <c r="S8" s="68">
        <f>Q8+R8</f>
        <v>192</v>
      </c>
    </row>
    <row r="9" spans="1:20" ht="36.75" customHeight="1" x14ac:dyDescent="0.25">
      <c r="A9" s="2">
        <v>4253</v>
      </c>
      <c r="B9" s="2" t="s">
        <v>128</v>
      </c>
      <c r="C9" s="236" t="s">
        <v>122</v>
      </c>
      <c r="D9" s="93" t="s">
        <v>308</v>
      </c>
      <c r="E9" s="2" t="s">
        <v>309</v>
      </c>
      <c r="F9" s="2" t="s">
        <v>7</v>
      </c>
      <c r="G9" s="186">
        <v>2.63E-2</v>
      </c>
      <c r="H9" s="186">
        <v>0.1845</v>
      </c>
      <c r="I9" s="187">
        <v>44742</v>
      </c>
      <c r="J9" s="187">
        <v>44743</v>
      </c>
      <c r="K9" s="187">
        <v>44378</v>
      </c>
      <c r="L9" s="188" t="s">
        <v>297</v>
      </c>
      <c r="M9" s="65">
        <v>16193.57</v>
      </c>
      <c r="N9" s="67"/>
      <c r="O9" s="67">
        <f>M9+N9</f>
        <v>16193.57</v>
      </c>
      <c r="P9" s="67"/>
      <c r="Q9" s="67">
        <v>16193.57</v>
      </c>
      <c r="R9" s="67"/>
      <c r="S9" s="68">
        <f t="shared" si="0"/>
        <v>16193.57</v>
      </c>
    </row>
    <row r="10" spans="1:20" ht="36.75" customHeight="1" x14ac:dyDescent="0.25">
      <c r="B10" s="2" t="s">
        <v>22</v>
      </c>
      <c r="C10" s="236" t="s">
        <v>186</v>
      </c>
      <c r="D10" s="92" t="s">
        <v>229</v>
      </c>
      <c r="E10" s="2" t="s">
        <v>383</v>
      </c>
      <c r="F10" s="2" t="s">
        <v>7</v>
      </c>
      <c r="G10" s="186">
        <f>+G9</f>
        <v>2.63E-2</v>
      </c>
      <c r="H10" s="186">
        <f>+H9</f>
        <v>0.1845</v>
      </c>
      <c r="I10" s="187">
        <v>44439</v>
      </c>
      <c r="J10" s="187">
        <v>44438</v>
      </c>
      <c r="K10" s="275">
        <f>+K9</f>
        <v>44378</v>
      </c>
      <c r="L10" s="189" t="s">
        <v>302</v>
      </c>
      <c r="M10" s="65">
        <v>9495</v>
      </c>
      <c r="N10" s="233"/>
      <c r="O10" s="67">
        <f t="shared" ref="O10" si="1">M10+N10</f>
        <v>9495</v>
      </c>
      <c r="P10" s="67"/>
      <c r="Q10" s="67">
        <v>9495</v>
      </c>
      <c r="R10" s="67"/>
      <c r="S10" s="68">
        <f t="shared" si="0"/>
        <v>9495</v>
      </c>
    </row>
    <row r="11" spans="1:20" ht="31.5" customHeight="1" x14ac:dyDescent="0.25">
      <c r="A11" s="2">
        <v>4451</v>
      </c>
      <c r="B11" s="2" t="s">
        <v>22</v>
      </c>
      <c r="C11" s="236" t="s">
        <v>186</v>
      </c>
      <c r="D11" s="92" t="s">
        <v>377</v>
      </c>
      <c r="E11" s="2" t="s">
        <v>376</v>
      </c>
      <c r="F11" s="2" t="s">
        <v>7</v>
      </c>
      <c r="G11" s="186">
        <v>2.63E-2</v>
      </c>
      <c r="H11" s="186">
        <v>0.1845</v>
      </c>
      <c r="I11" s="187">
        <f>+I9</f>
        <v>44742</v>
      </c>
      <c r="J11" s="187">
        <f>+J9</f>
        <v>44743</v>
      </c>
      <c r="K11" s="275">
        <f>+K9</f>
        <v>44378</v>
      </c>
      <c r="L11" s="189" t="str">
        <f>+L9</f>
        <v>07/01/21 - 06/30/22</v>
      </c>
      <c r="M11" s="65">
        <v>5700</v>
      </c>
      <c r="N11" s="233"/>
      <c r="O11" s="67">
        <f t="shared" ref="O11" si="2">M11+N11</f>
        <v>5700</v>
      </c>
      <c r="P11" s="67"/>
      <c r="Q11" s="67">
        <v>5700</v>
      </c>
      <c r="R11" s="67"/>
      <c r="S11" s="68">
        <f t="shared" si="0"/>
        <v>5700</v>
      </c>
    </row>
    <row r="12" spans="1:20" ht="34.5" customHeight="1" x14ac:dyDescent="0.25">
      <c r="B12" s="2" t="s">
        <v>223</v>
      </c>
      <c r="C12" s="236" t="s">
        <v>333</v>
      </c>
      <c r="D12" s="93" t="s">
        <v>224</v>
      </c>
      <c r="E12" s="2" t="s">
        <v>225</v>
      </c>
      <c r="F12" s="2" t="s">
        <v>7</v>
      </c>
      <c r="G12" s="186">
        <v>2.63E-2</v>
      </c>
      <c r="H12" s="186">
        <v>0.1845</v>
      </c>
      <c r="I12" s="187">
        <v>44834</v>
      </c>
      <c r="J12" s="187">
        <v>44849</v>
      </c>
      <c r="K12" s="187">
        <v>43614</v>
      </c>
      <c r="L12" s="188" t="s">
        <v>274</v>
      </c>
      <c r="M12" s="65">
        <v>147217.76999999999</v>
      </c>
      <c r="N12" s="233"/>
      <c r="O12" s="67">
        <f>M12+N12</f>
        <v>147217.76999999999</v>
      </c>
      <c r="P12" s="67"/>
      <c r="Q12" s="67">
        <v>0</v>
      </c>
      <c r="R12" s="67"/>
      <c r="S12" s="68">
        <f t="shared" si="0"/>
        <v>0</v>
      </c>
    </row>
    <row r="13" spans="1:20" ht="34.5" customHeight="1" x14ac:dyDescent="0.25">
      <c r="B13" s="344" t="s">
        <v>237</v>
      </c>
      <c r="C13" s="236" t="s">
        <v>334</v>
      </c>
      <c r="D13" s="93" t="s">
        <v>231</v>
      </c>
      <c r="E13" s="2" t="s">
        <v>238</v>
      </c>
      <c r="F13" s="2" t="s">
        <v>7</v>
      </c>
      <c r="G13" s="186">
        <v>2.63E-2</v>
      </c>
      <c r="H13" s="186">
        <v>0.1845</v>
      </c>
      <c r="I13" s="187">
        <v>44834</v>
      </c>
      <c r="J13" s="187">
        <v>44849</v>
      </c>
      <c r="K13" s="187">
        <v>43613</v>
      </c>
      <c r="L13" s="188" t="s">
        <v>263</v>
      </c>
      <c r="M13" s="65">
        <v>10000</v>
      </c>
      <c r="N13" s="233"/>
      <c r="O13" s="67">
        <f>M13+N13</f>
        <v>10000</v>
      </c>
      <c r="P13" s="67"/>
      <c r="Q13" s="67">
        <v>6096</v>
      </c>
      <c r="R13" s="67"/>
      <c r="S13" s="68">
        <f t="shared" si="0"/>
        <v>6096</v>
      </c>
    </row>
    <row r="14" spans="1:20" x14ac:dyDescent="0.25">
      <c r="B14" s="344"/>
      <c r="C14" s="92"/>
      <c r="D14" s="92"/>
      <c r="E14" s="75"/>
      <c r="G14" s="186"/>
      <c r="H14" s="186"/>
      <c r="I14" s="187"/>
      <c r="J14" s="187"/>
      <c r="K14" s="189"/>
      <c r="L14" s="188"/>
      <c r="M14" s="67"/>
      <c r="N14" s="67"/>
      <c r="O14" s="67"/>
      <c r="P14" s="29"/>
      <c r="Q14" s="67"/>
      <c r="R14" s="67"/>
      <c r="S14" s="68"/>
    </row>
    <row r="15" spans="1:20" ht="29.25" customHeight="1" x14ac:dyDescent="0.25">
      <c r="B15" s="2" t="s">
        <v>241</v>
      </c>
      <c r="C15" s="236" t="s">
        <v>242</v>
      </c>
      <c r="D15" s="93" t="s">
        <v>164</v>
      </c>
      <c r="E15" s="2" t="s">
        <v>246</v>
      </c>
      <c r="F15" s="2" t="s">
        <v>7</v>
      </c>
      <c r="G15" s="186">
        <v>2.63E-2</v>
      </c>
      <c r="H15" s="186">
        <v>0.1845</v>
      </c>
      <c r="I15" s="187">
        <v>44393</v>
      </c>
      <c r="J15" s="187">
        <v>44408</v>
      </c>
      <c r="K15" s="187">
        <v>42644</v>
      </c>
      <c r="L15" s="188" t="s">
        <v>273</v>
      </c>
      <c r="M15" s="79">
        <v>581340</v>
      </c>
      <c r="N15" s="67"/>
      <c r="O15" s="67">
        <f>M15+N15</f>
        <v>581340</v>
      </c>
      <c r="P15" s="29"/>
      <c r="Q15" s="67">
        <v>36409.75</v>
      </c>
      <c r="R15" s="67"/>
      <c r="S15" s="68">
        <f t="shared" si="0"/>
        <v>36409.75</v>
      </c>
    </row>
    <row r="16" spans="1:20" ht="29.25" customHeight="1" x14ac:dyDescent="0.25">
      <c r="B16" s="2" t="s">
        <v>279</v>
      </c>
      <c r="C16" s="236" t="s">
        <v>333</v>
      </c>
      <c r="D16" s="93" t="s">
        <v>224</v>
      </c>
      <c r="E16" s="2" t="s">
        <v>280</v>
      </c>
      <c r="F16" s="2" t="s">
        <v>7</v>
      </c>
      <c r="G16" s="186">
        <v>2.63E-2</v>
      </c>
      <c r="H16" s="186">
        <v>0.1845</v>
      </c>
      <c r="I16" s="187">
        <v>44592</v>
      </c>
      <c r="J16" s="187">
        <v>44592</v>
      </c>
      <c r="K16" s="187">
        <v>43980</v>
      </c>
      <c r="L16" s="188" t="s">
        <v>332</v>
      </c>
      <c r="M16" s="79">
        <v>3000</v>
      </c>
      <c r="N16" s="67"/>
      <c r="O16" s="67">
        <f t="shared" ref="O16:O25" si="3">M16+N16</f>
        <v>3000</v>
      </c>
      <c r="P16" s="66"/>
      <c r="Q16" s="67"/>
      <c r="R16" s="67"/>
      <c r="S16" s="68">
        <f t="shared" si="0"/>
        <v>0</v>
      </c>
    </row>
    <row r="17" spans="2:19" ht="29.25" customHeight="1" x14ac:dyDescent="0.25">
      <c r="B17" s="2" t="s">
        <v>281</v>
      </c>
      <c r="C17" s="236" t="s">
        <v>334</v>
      </c>
      <c r="D17" s="93" t="s">
        <v>231</v>
      </c>
      <c r="E17" s="2" t="s">
        <v>282</v>
      </c>
      <c r="F17" s="2" t="s">
        <v>7</v>
      </c>
      <c r="G17" s="186">
        <v>2.63E-2</v>
      </c>
      <c r="H17" s="186">
        <v>0.1845</v>
      </c>
      <c r="I17" s="187">
        <v>44742</v>
      </c>
      <c r="J17" s="187">
        <v>44757</v>
      </c>
      <c r="K17" s="187">
        <v>43979</v>
      </c>
      <c r="L17" s="188" t="s">
        <v>283</v>
      </c>
      <c r="M17" s="79">
        <v>1027</v>
      </c>
      <c r="N17" s="67"/>
      <c r="O17" s="67">
        <f t="shared" si="3"/>
        <v>1027</v>
      </c>
      <c r="P17" s="66"/>
      <c r="Q17" s="67"/>
      <c r="R17" s="67"/>
      <c r="S17" s="68">
        <f t="shared" si="0"/>
        <v>0</v>
      </c>
    </row>
    <row r="18" spans="2:19" ht="29.25" customHeight="1" x14ac:dyDescent="0.25">
      <c r="B18" s="2" t="s">
        <v>321</v>
      </c>
      <c r="C18" s="236" t="s">
        <v>333</v>
      </c>
      <c r="D18" s="93" t="s">
        <v>288</v>
      </c>
      <c r="E18" s="2" t="s">
        <v>322</v>
      </c>
      <c r="F18" s="2" t="s">
        <v>7</v>
      </c>
      <c r="G18" s="186">
        <f>G17:H17</f>
        <v>2.63E-2</v>
      </c>
      <c r="H18" s="186">
        <f>H17</f>
        <v>0.1845</v>
      </c>
      <c r="I18" s="187">
        <v>45199</v>
      </c>
      <c r="J18" s="187">
        <v>45214</v>
      </c>
      <c r="K18" s="187">
        <v>44201</v>
      </c>
      <c r="L18" s="188" t="s">
        <v>323</v>
      </c>
      <c r="M18" s="79">
        <v>138067.16</v>
      </c>
      <c r="N18" s="67"/>
      <c r="O18" s="67">
        <f t="shared" si="3"/>
        <v>138067.16</v>
      </c>
      <c r="P18" s="66"/>
      <c r="Q18" s="67"/>
      <c r="R18" s="67"/>
      <c r="S18" s="68">
        <f t="shared" si="0"/>
        <v>0</v>
      </c>
    </row>
    <row r="19" spans="2:19" ht="29.25" customHeight="1" x14ac:dyDescent="0.25">
      <c r="B19" s="2" t="s">
        <v>324</v>
      </c>
      <c r="C19" s="236" t="s">
        <v>333</v>
      </c>
      <c r="D19" s="93" t="s">
        <v>288</v>
      </c>
      <c r="E19" s="2" t="s">
        <v>329</v>
      </c>
      <c r="F19" s="2" t="s">
        <v>7</v>
      </c>
      <c r="G19" s="186">
        <f>G18:H18</f>
        <v>2.63E-2</v>
      </c>
      <c r="H19" s="186">
        <f>H18</f>
        <v>0.1845</v>
      </c>
      <c r="I19" s="187">
        <v>45199</v>
      </c>
      <c r="J19" s="187">
        <v>45214</v>
      </c>
      <c r="K19" s="187">
        <v>44201</v>
      </c>
      <c r="L19" s="188" t="s">
        <v>325</v>
      </c>
      <c r="M19" s="79">
        <v>34932</v>
      </c>
      <c r="N19" s="67"/>
      <c r="O19" s="67">
        <f t="shared" si="3"/>
        <v>34932</v>
      </c>
      <c r="P19" s="66"/>
      <c r="Q19" s="67"/>
      <c r="R19" s="67"/>
      <c r="S19" s="68">
        <f t="shared" si="0"/>
        <v>0</v>
      </c>
    </row>
    <row r="20" spans="2:19" ht="29.25" customHeight="1" x14ac:dyDescent="0.25">
      <c r="B20" s="2" t="s">
        <v>326</v>
      </c>
      <c r="C20" s="236" t="s">
        <v>333</v>
      </c>
      <c r="D20" s="93" t="s">
        <v>288</v>
      </c>
      <c r="E20" s="2" t="s">
        <v>330</v>
      </c>
      <c r="F20" s="2" t="s">
        <v>7</v>
      </c>
      <c r="G20" s="186">
        <f>G19:H19</f>
        <v>2.63E-2</v>
      </c>
      <c r="H20" s="186">
        <f>H19</f>
        <v>0.1845</v>
      </c>
      <c r="I20" s="187">
        <v>45199</v>
      </c>
      <c r="J20" s="187">
        <v>45214</v>
      </c>
      <c r="K20" s="187">
        <v>44201</v>
      </c>
      <c r="L20" s="188" t="s">
        <v>323</v>
      </c>
      <c r="M20" s="79">
        <v>36242.629999999997</v>
      </c>
      <c r="N20" s="67"/>
      <c r="O20" s="67">
        <f t="shared" si="3"/>
        <v>36242.629999999997</v>
      </c>
      <c r="P20" s="66"/>
      <c r="Q20" s="67">
        <v>36242.629999999997</v>
      </c>
      <c r="R20" s="67"/>
      <c r="S20" s="68">
        <f t="shared" si="0"/>
        <v>36242.629999999997</v>
      </c>
    </row>
    <row r="21" spans="2:19" ht="29.25" customHeight="1" x14ac:dyDescent="0.25">
      <c r="B21" s="2" t="s">
        <v>370</v>
      </c>
      <c r="C21" s="236" t="s">
        <v>333</v>
      </c>
      <c r="D21" s="93" t="s">
        <v>288</v>
      </c>
      <c r="E21" s="2" t="s">
        <v>331</v>
      </c>
      <c r="F21" s="2" t="s">
        <v>7</v>
      </c>
      <c r="G21" s="186">
        <f>G20:H20</f>
        <v>2.63E-2</v>
      </c>
      <c r="H21" s="186">
        <f>H20</f>
        <v>0.1845</v>
      </c>
      <c r="I21" s="187">
        <v>45199</v>
      </c>
      <c r="J21" s="187">
        <v>45214</v>
      </c>
      <c r="K21" s="187">
        <v>44201</v>
      </c>
      <c r="L21" s="188" t="s">
        <v>325</v>
      </c>
      <c r="M21" s="79">
        <v>171548.45</v>
      </c>
      <c r="N21" s="67"/>
      <c r="O21" s="67">
        <f t="shared" si="3"/>
        <v>171548.45</v>
      </c>
      <c r="P21" s="66"/>
      <c r="Q21" s="67">
        <f>81863.69+42674.77+14082.77</f>
        <v>138621.22999999998</v>
      </c>
      <c r="R21" s="67"/>
      <c r="S21" s="68">
        <f t="shared" si="0"/>
        <v>138621.22999999998</v>
      </c>
    </row>
    <row r="22" spans="2:19" ht="29.25" customHeight="1" x14ac:dyDescent="0.25">
      <c r="B22" s="2" t="s">
        <v>287</v>
      </c>
      <c r="C22" s="236" t="s">
        <v>333</v>
      </c>
      <c r="D22" s="93" t="s">
        <v>288</v>
      </c>
      <c r="E22" s="2" t="s">
        <v>289</v>
      </c>
      <c r="F22" s="2" t="s">
        <v>7</v>
      </c>
      <c r="G22" s="186">
        <v>2.63E-2</v>
      </c>
      <c r="H22" s="186">
        <v>0.1845</v>
      </c>
      <c r="I22" s="187">
        <v>45199</v>
      </c>
      <c r="J22" s="187">
        <v>45199</v>
      </c>
      <c r="K22" s="187">
        <v>44201</v>
      </c>
      <c r="L22" s="188" t="s">
        <v>320</v>
      </c>
      <c r="M22" s="79">
        <v>317554.48</v>
      </c>
      <c r="N22" s="67"/>
      <c r="O22" s="67">
        <f t="shared" si="3"/>
        <v>317554.48</v>
      </c>
      <c r="P22" s="66"/>
      <c r="Q22" s="67">
        <v>317554.48</v>
      </c>
      <c r="R22" s="67"/>
      <c r="S22" s="68">
        <f t="shared" si="0"/>
        <v>317554.48</v>
      </c>
    </row>
    <row r="23" spans="2:19" ht="29.25" customHeight="1" x14ac:dyDescent="0.25">
      <c r="B23" s="2" t="s">
        <v>352</v>
      </c>
      <c r="C23" s="236" t="s">
        <v>353</v>
      </c>
      <c r="D23" s="93" t="s">
        <v>354</v>
      </c>
      <c r="E23" s="2" t="s">
        <v>355</v>
      </c>
      <c r="F23" s="2" t="s">
        <v>7</v>
      </c>
      <c r="G23" s="186">
        <v>2.63E-2</v>
      </c>
      <c r="H23" s="186">
        <v>0.1845</v>
      </c>
      <c r="I23" s="187">
        <v>45565</v>
      </c>
      <c r="J23" s="187">
        <v>45580</v>
      </c>
      <c r="K23" s="187">
        <v>44279</v>
      </c>
      <c r="L23" s="188" t="s">
        <v>356</v>
      </c>
      <c r="M23" s="79">
        <v>1241594.99</v>
      </c>
      <c r="N23" s="67"/>
      <c r="O23" s="67">
        <f t="shared" si="3"/>
        <v>1241594.99</v>
      </c>
      <c r="P23" s="66"/>
      <c r="Q23" s="67"/>
      <c r="R23" s="67"/>
      <c r="S23" s="68">
        <f t="shared" si="0"/>
        <v>0</v>
      </c>
    </row>
    <row r="24" spans="2:19" ht="29.25" customHeight="1" x14ac:dyDescent="0.25">
      <c r="B24" s="2" t="s">
        <v>357</v>
      </c>
      <c r="C24" s="236" t="s">
        <v>353</v>
      </c>
      <c r="D24" s="93" t="s">
        <v>354</v>
      </c>
      <c r="E24" s="2" t="s">
        <v>358</v>
      </c>
      <c r="F24" s="2" t="s">
        <v>7</v>
      </c>
      <c r="G24" s="186">
        <v>2.63E-2</v>
      </c>
      <c r="H24" s="186">
        <v>0.1845</v>
      </c>
      <c r="I24" s="187">
        <v>45565</v>
      </c>
      <c r="J24" s="187">
        <v>45580</v>
      </c>
      <c r="K24" s="187">
        <v>44279</v>
      </c>
      <c r="L24" s="188" t="s">
        <v>356</v>
      </c>
      <c r="M24" s="79">
        <v>310398.75</v>
      </c>
      <c r="N24" s="67"/>
      <c r="O24" s="67">
        <f t="shared" si="3"/>
        <v>310398.75</v>
      </c>
      <c r="P24" s="66"/>
      <c r="Q24" s="67"/>
      <c r="R24" s="67"/>
      <c r="S24" s="68">
        <f t="shared" si="0"/>
        <v>0</v>
      </c>
    </row>
    <row r="25" spans="2:19" ht="29.25" customHeight="1" x14ac:dyDescent="0.25">
      <c r="B25" s="2" t="s">
        <v>363</v>
      </c>
      <c r="C25" s="236" t="s">
        <v>333</v>
      </c>
      <c r="D25" s="93" t="s">
        <v>288</v>
      </c>
      <c r="E25" s="2" t="s">
        <v>364</v>
      </c>
      <c r="F25" s="2" t="s">
        <v>7</v>
      </c>
      <c r="G25" s="186">
        <v>2.63E-2</v>
      </c>
      <c r="H25" s="186">
        <v>0.1845</v>
      </c>
      <c r="I25" s="187">
        <v>45199</v>
      </c>
      <c r="J25" s="187">
        <v>45214</v>
      </c>
      <c r="K25" s="187">
        <v>44201</v>
      </c>
      <c r="L25" s="188" t="s">
        <v>365</v>
      </c>
      <c r="M25" s="79">
        <v>2922.34</v>
      </c>
      <c r="N25" s="67"/>
      <c r="O25" s="67">
        <f t="shared" si="3"/>
        <v>2922.34</v>
      </c>
      <c r="P25" s="66"/>
      <c r="Q25" s="67"/>
      <c r="R25" s="67"/>
      <c r="S25" s="68"/>
    </row>
    <row r="26" spans="2:19" x14ac:dyDescent="0.25">
      <c r="B26" s="279"/>
      <c r="C26" s="92"/>
      <c r="D26" s="92"/>
      <c r="E26" s="75"/>
      <c r="G26" s="186"/>
      <c r="H26" s="186"/>
      <c r="I26" s="187"/>
      <c r="J26" s="187"/>
      <c r="K26" s="189"/>
      <c r="L26" s="188"/>
      <c r="M26" s="67"/>
      <c r="N26" s="67"/>
      <c r="O26" s="67"/>
      <c r="P26" s="29"/>
      <c r="Q26" s="67"/>
      <c r="R26" s="67"/>
      <c r="S26" s="26"/>
    </row>
    <row r="27" spans="2:19" ht="24" customHeight="1" x14ac:dyDescent="0.25">
      <c r="B27" s="29"/>
      <c r="C27" s="92"/>
      <c r="D27" s="92"/>
      <c r="K27" s="93"/>
      <c r="L27" s="5" t="s">
        <v>38</v>
      </c>
      <c r="M27" s="273">
        <f>SUM(M7:M26)</f>
        <v>3406488.6399999997</v>
      </c>
      <c r="N27" s="273">
        <f>SUM(N7:N26)</f>
        <v>0</v>
      </c>
      <c r="O27" s="273">
        <f>SUM(O7:O26)</f>
        <v>3406488.6399999997</v>
      </c>
      <c r="P27" s="66"/>
      <c r="Q27" s="273">
        <f>SUM(Q7:Q26)</f>
        <v>928489.14999999991</v>
      </c>
      <c r="R27" s="273">
        <f>SUM(R7:R26)</f>
        <v>0</v>
      </c>
      <c r="S27" s="23">
        <f>SUM(S7:S26)</f>
        <v>928489.14999999991</v>
      </c>
    </row>
    <row r="28" spans="2:19" x14ac:dyDescent="0.25">
      <c r="B28" s="29"/>
      <c r="C28" s="92"/>
      <c r="D28" s="92"/>
      <c r="K28" s="93"/>
      <c r="L28" s="5"/>
      <c r="M28" s="66"/>
      <c r="N28" s="66"/>
      <c r="O28" s="66"/>
      <c r="P28" s="66"/>
      <c r="Q28" s="66"/>
      <c r="R28" s="66"/>
      <c r="S28" s="68"/>
    </row>
    <row r="29" spans="2:19" x14ac:dyDescent="0.25">
      <c r="B29" s="8" t="s">
        <v>125</v>
      </c>
      <c r="C29" s="92"/>
      <c r="D29" s="92"/>
      <c r="K29" s="93"/>
      <c r="L29" s="5"/>
      <c r="S29" s="68"/>
    </row>
    <row r="30" spans="2:19" ht="33" customHeight="1" x14ac:dyDescent="0.25">
      <c r="B30" s="342" t="s">
        <v>126</v>
      </c>
      <c r="C30" s="342"/>
      <c r="D30" s="342"/>
      <c r="E30" s="342"/>
      <c r="F30" s="342"/>
      <c r="G30" s="119"/>
      <c r="H30" s="119"/>
      <c r="I30" s="113"/>
      <c r="K30" s="93"/>
      <c r="L30" s="5"/>
      <c r="M30" s="66"/>
      <c r="N30" s="66"/>
      <c r="O30" s="66"/>
      <c r="P30" s="29"/>
      <c r="Q30" s="66"/>
      <c r="R30" s="66"/>
      <c r="S30" s="68"/>
    </row>
    <row r="31" spans="2:19" ht="42.75" customHeight="1" x14ac:dyDescent="0.25">
      <c r="B31" s="341" t="s">
        <v>129</v>
      </c>
      <c r="C31" s="341"/>
      <c r="D31" s="341"/>
      <c r="E31" s="341"/>
      <c r="F31" s="341"/>
      <c r="G31" s="117"/>
      <c r="H31" s="117"/>
      <c r="I31" s="111"/>
      <c r="K31" s="93"/>
      <c r="L31" s="5"/>
      <c r="M31" s="66"/>
      <c r="N31" s="66"/>
      <c r="O31" s="66"/>
      <c r="Q31" s="66"/>
      <c r="R31" s="66"/>
      <c r="S31" s="68"/>
    </row>
    <row r="32" spans="2:19" x14ac:dyDescent="0.25">
      <c r="C32" s="92"/>
      <c r="D32" s="92"/>
      <c r="K32" s="93"/>
      <c r="L32" s="5"/>
      <c r="M32" s="66"/>
      <c r="N32" s="66"/>
      <c r="O32" s="66"/>
      <c r="Q32" s="66"/>
      <c r="R32" s="66"/>
      <c r="S32" s="68"/>
    </row>
    <row r="33" spans="2:19" ht="29.25" customHeight="1" x14ac:dyDescent="0.25">
      <c r="B33" s="344" t="s">
        <v>160</v>
      </c>
      <c r="C33" s="344"/>
      <c r="D33" s="344"/>
      <c r="E33" s="344"/>
      <c r="F33" s="344"/>
      <c r="K33" s="93"/>
      <c r="L33" s="5"/>
      <c r="M33" s="66"/>
      <c r="N33" s="66"/>
      <c r="O33" s="66"/>
      <c r="Q33" s="66"/>
      <c r="R33" s="66"/>
      <c r="S33" s="68"/>
    </row>
    <row r="34" spans="2:19" x14ac:dyDescent="0.25">
      <c r="B34" s="192" t="s">
        <v>159</v>
      </c>
      <c r="C34" s="92"/>
      <c r="D34" s="92"/>
      <c r="K34" s="93"/>
      <c r="L34" s="5"/>
      <c r="M34" s="66"/>
      <c r="N34" s="66"/>
      <c r="O34" s="66"/>
      <c r="Q34" s="66"/>
      <c r="R34" s="66"/>
      <c r="S34" s="68"/>
    </row>
    <row r="35" spans="2:19" x14ac:dyDescent="0.25">
      <c r="B35" s="7" t="s">
        <v>109</v>
      </c>
      <c r="C35" s="101" t="s">
        <v>112</v>
      </c>
      <c r="D35" s="101" t="s">
        <v>113</v>
      </c>
      <c r="K35" s="93"/>
      <c r="L35" s="5"/>
      <c r="M35" s="66"/>
      <c r="N35" s="66"/>
      <c r="O35" s="66"/>
      <c r="Q35" s="66"/>
      <c r="R35" s="66"/>
      <c r="S35" s="68"/>
    </row>
    <row r="36" spans="2:19" x14ac:dyDescent="0.25">
      <c r="B36" s="2" t="s">
        <v>110</v>
      </c>
      <c r="C36" s="92" t="s">
        <v>327</v>
      </c>
      <c r="D36" s="92" t="s">
        <v>118</v>
      </c>
      <c r="K36" s="93"/>
      <c r="L36" s="5"/>
      <c r="M36" s="66"/>
      <c r="N36" s="66"/>
      <c r="O36" s="66"/>
      <c r="Q36" s="66"/>
      <c r="R36" s="66"/>
      <c r="S36" s="68"/>
    </row>
    <row r="37" spans="2:19" x14ac:dyDescent="0.25">
      <c r="B37" s="2" t="s">
        <v>262</v>
      </c>
      <c r="C37" s="92" t="s">
        <v>180</v>
      </c>
      <c r="D37" s="92" t="s">
        <v>181</v>
      </c>
      <c r="K37" s="93"/>
      <c r="L37" s="5"/>
      <c r="M37" s="66"/>
      <c r="N37" s="66"/>
      <c r="O37" s="66"/>
      <c r="Q37" s="66"/>
      <c r="R37" s="66"/>
      <c r="S37" s="68"/>
    </row>
    <row r="38" spans="2:19" x14ac:dyDescent="0.25">
      <c r="B38" s="2" t="s">
        <v>111</v>
      </c>
      <c r="C38" s="92" t="s">
        <v>300</v>
      </c>
      <c r="D38" s="92" t="s">
        <v>303</v>
      </c>
      <c r="K38" s="93"/>
      <c r="L38" s="5"/>
      <c r="M38" s="66"/>
      <c r="N38" s="66"/>
      <c r="O38" s="66"/>
      <c r="Q38" s="66"/>
      <c r="R38" s="66"/>
      <c r="S38" s="68"/>
    </row>
    <row r="39" spans="2:19" hidden="1" x14ac:dyDescent="0.25">
      <c r="B39" s="258" t="s">
        <v>220</v>
      </c>
      <c r="C39" s="92" t="s">
        <v>117</v>
      </c>
      <c r="D39" s="92" t="s">
        <v>120</v>
      </c>
      <c r="L39" s="5"/>
      <c r="M39" s="66"/>
      <c r="N39" s="66"/>
      <c r="O39" s="66"/>
      <c r="Q39" s="66"/>
      <c r="R39" s="66"/>
      <c r="S39" s="68"/>
    </row>
    <row r="40" spans="2:19" x14ac:dyDescent="0.25">
      <c r="B40" s="2" t="s">
        <v>230</v>
      </c>
      <c r="C40" s="92" t="s">
        <v>135</v>
      </c>
      <c r="D40" s="92" t="s">
        <v>147</v>
      </c>
      <c r="L40" s="5"/>
      <c r="M40" s="66"/>
      <c r="N40" s="66"/>
      <c r="O40" s="66"/>
      <c r="Q40" s="66"/>
      <c r="R40" s="66"/>
      <c r="S40" s="68"/>
    </row>
    <row r="41" spans="2:19" x14ac:dyDescent="0.25">
      <c r="B41" s="2" t="s">
        <v>235</v>
      </c>
      <c r="C41" s="92" t="s">
        <v>179</v>
      </c>
      <c r="D41" s="92" t="s">
        <v>236</v>
      </c>
      <c r="L41" s="5"/>
      <c r="M41" s="66"/>
      <c r="N41" s="66"/>
      <c r="O41" s="66"/>
      <c r="Q41" s="66"/>
      <c r="R41" s="66"/>
      <c r="S41" s="68"/>
    </row>
    <row r="42" spans="2:19" x14ac:dyDescent="0.25">
      <c r="B42" s="2" t="s">
        <v>240</v>
      </c>
      <c r="C42" s="92" t="s">
        <v>135</v>
      </c>
      <c r="D42" s="92" t="s">
        <v>147</v>
      </c>
      <c r="L42" s="5"/>
      <c r="M42" s="66"/>
      <c r="N42" s="66"/>
      <c r="O42" s="66"/>
      <c r="Q42" s="66"/>
      <c r="R42" s="66"/>
      <c r="S42" s="68"/>
    </row>
    <row r="43" spans="2:19" x14ac:dyDescent="0.25">
      <c r="B43" s="2" t="s">
        <v>232</v>
      </c>
      <c r="C43" s="92" t="s">
        <v>135</v>
      </c>
      <c r="D43" s="92" t="s">
        <v>147</v>
      </c>
      <c r="L43" s="5"/>
      <c r="M43" s="66"/>
      <c r="N43" s="66"/>
      <c r="O43" s="66"/>
      <c r="Q43" s="66"/>
      <c r="R43" s="66"/>
      <c r="S43" s="68"/>
    </row>
    <row r="44" spans="2:19" x14ac:dyDescent="0.25">
      <c r="B44" s="2" t="s">
        <v>279</v>
      </c>
      <c r="C44" s="92" t="s">
        <v>135</v>
      </c>
      <c r="D44" s="92" t="s">
        <v>147</v>
      </c>
      <c r="L44" s="5"/>
      <c r="M44" s="66"/>
      <c r="N44" s="66"/>
      <c r="O44" s="66"/>
      <c r="Q44" s="66"/>
      <c r="R44" s="66"/>
      <c r="S44" s="68"/>
    </row>
    <row r="45" spans="2:19" x14ac:dyDescent="0.25">
      <c r="B45" s="2" t="s">
        <v>281</v>
      </c>
      <c r="C45" s="92" t="s">
        <v>135</v>
      </c>
      <c r="D45" s="92" t="s">
        <v>147</v>
      </c>
      <c r="L45" s="5"/>
      <c r="M45" s="66"/>
      <c r="N45" s="66"/>
      <c r="O45" s="66"/>
      <c r="Q45" s="66"/>
      <c r="R45" s="66"/>
      <c r="S45" s="68"/>
    </row>
    <row r="46" spans="2:19" x14ac:dyDescent="0.25">
      <c r="B46" s="2" t="s">
        <v>286</v>
      </c>
      <c r="C46" s="92" t="s">
        <v>135</v>
      </c>
      <c r="D46" s="92" t="s">
        <v>147</v>
      </c>
      <c r="L46" s="5"/>
      <c r="M46" s="66"/>
      <c r="N46" s="66"/>
      <c r="O46" s="66"/>
      <c r="Q46" s="66"/>
      <c r="R46" s="66"/>
      <c r="S46" s="68"/>
    </row>
    <row r="47" spans="2:19" x14ac:dyDescent="0.25">
      <c r="C47" s="92"/>
      <c r="D47" s="92"/>
      <c r="L47" s="5"/>
      <c r="M47" s="66"/>
      <c r="N47" s="66"/>
      <c r="O47" s="66"/>
      <c r="Q47" s="66"/>
      <c r="R47" s="66"/>
      <c r="S47" s="68"/>
    </row>
    <row r="48" spans="2:19" ht="15" customHeight="1" x14ac:dyDescent="0.25">
      <c r="B48" s="336" t="s">
        <v>298</v>
      </c>
      <c r="C48" s="336"/>
      <c r="D48" s="336"/>
      <c r="E48" s="336"/>
      <c r="F48" s="336"/>
      <c r="G48" s="336"/>
      <c r="H48" s="336"/>
      <c r="L48" s="5"/>
      <c r="M48" s="66"/>
      <c r="N48" s="66"/>
      <c r="O48" s="66"/>
      <c r="Q48" s="66"/>
      <c r="R48" s="66"/>
      <c r="S48" s="68"/>
    </row>
    <row r="49" spans="2:20" ht="15" customHeight="1" x14ac:dyDescent="0.25">
      <c r="B49" s="242" t="s">
        <v>299</v>
      </c>
      <c r="C49" s="92"/>
      <c r="D49" s="92"/>
      <c r="L49" s="5"/>
      <c r="M49" s="66"/>
      <c r="N49" s="66"/>
      <c r="O49" s="66"/>
      <c r="Q49" s="66"/>
      <c r="R49" s="66"/>
      <c r="S49" s="68"/>
    </row>
    <row r="50" spans="2:20" ht="15" customHeight="1" x14ac:dyDescent="0.25">
      <c r="B50" s="320"/>
      <c r="C50" s="92"/>
      <c r="D50" s="92"/>
      <c r="L50" s="5"/>
      <c r="M50" s="66"/>
      <c r="N50" s="66"/>
      <c r="O50" s="66"/>
      <c r="Q50" s="66"/>
      <c r="R50" s="66"/>
      <c r="S50" s="68"/>
    </row>
    <row r="51" spans="2:20" ht="15" customHeight="1" x14ac:dyDescent="0.25">
      <c r="B51" s="325"/>
      <c r="C51" s="92"/>
      <c r="D51" s="92"/>
      <c r="L51" s="5"/>
      <c r="M51" s="66"/>
      <c r="N51" s="66"/>
      <c r="O51" s="66"/>
      <c r="Q51" s="66"/>
      <c r="R51" s="66"/>
      <c r="S51" s="68"/>
    </row>
    <row r="52" spans="2:20" ht="15" customHeight="1" x14ac:dyDescent="0.25">
      <c r="B52" s="325"/>
      <c r="C52" s="92"/>
      <c r="D52" s="92"/>
      <c r="L52" s="5"/>
      <c r="M52" s="66"/>
      <c r="N52" s="66"/>
      <c r="O52" s="66"/>
      <c r="Q52" s="66"/>
      <c r="R52" s="66"/>
      <c r="S52" s="68"/>
    </row>
    <row r="53" spans="2:20" ht="15" customHeight="1" x14ac:dyDescent="0.25">
      <c r="B53" s="325"/>
      <c r="C53" s="92"/>
      <c r="D53" s="92"/>
      <c r="L53" s="5"/>
      <c r="M53" s="66"/>
      <c r="N53" s="66"/>
      <c r="O53" s="66"/>
      <c r="Q53" s="66"/>
      <c r="R53" s="66"/>
      <c r="S53" s="68"/>
    </row>
    <row r="54" spans="2:20" ht="15" customHeight="1" x14ac:dyDescent="0.25">
      <c r="B54" s="320"/>
      <c r="C54" s="92"/>
      <c r="D54" s="92"/>
      <c r="L54" s="5"/>
      <c r="M54" s="66"/>
      <c r="N54" s="66"/>
      <c r="O54" s="66"/>
      <c r="Q54" s="66"/>
      <c r="R54" s="66"/>
      <c r="S54" s="68"/>
    </row>
    <row r="55" spans="2:20" ht="15" customHeight="1" x14ac:dyDescent="0.25">
      <c r="B55" s="320"/>
      <c r="C55" s="92"/>
      <c r="D55" s="92"/>
      <c r="L55" s="5"/>
      <c r="M55" s="66"/>
      <c r="N55" s="66"/>
      <c r="O55" s="66"/>
      <c r="Q55" s="309" t="s">
        <v>316</v>
      </c>
      <c r="R55" s="309"/>
      <c r="S55" s="321">
        <f>S27</f>
        <v>928489.14999999991</v>
      </c>
    </row>
    <row r="56" spans="2:20" ht="15" customHeight="1" x14ac:dyDescent="0.25">
      <c r="B56" s="320"/>
      <c r="C56" s="92"/>
      <c r="D56" s="92"/>
      <c r="L56" s="5"/>
      <c r="M56" s="66"/>
      <c r="N56" s="66"/>
      <c r="O56" s="66"/>
      <c r="Q56" s="66"/>
      <c r="R56" s="66"/>
      <c r="S56" s="68"/>
    </row>
    <row r="57" spans="2:20" ht="15" customHeight="1" x14ac:dyDescent="0.25">
      <c r="B57" s="320"/>
      <c r="C57" s="92"/>
      <c r="D57" s="92"/>
      <c r="L57" s="5"/>
      <c r="M57" s="66"/>
      <c r="N57" s="66"/>
      <c r="O57" s="66"/>
      <c r="Q57" s="66"/>
      <c r="R57" s="66"/>
      <c r="S57" s="68"/>
    </row>
    <row r="58" spans="2:20" ht="15" customHeight="1" x14ac:dyDescent="0.25">
      <c r="L58" s="109"/>
      <c r="M58" s="109"/>
      <c r="N58" s="109"/>
      <c r="O58" s="109"/>
      <c r="P58" s="109"/>
      <c r="Q58" s="166" t="s">
        <v>90</v>
      </c>
      <c r="R58" s="163"/>
      <c r="S58" s="164"/>
      <c r="T58" s="51"/>
    </row>
    <row r="59" spans="2:20" ht="15" customHeight="1" x14ac:dyDescent="0.25">
      <c r="B59" s="17" t="s">
        <v>39</v>
      </c>
      <c r="C59" s="96" t="s">
        <v>2</v>
      </c>
      <c r="D59" s="96" t="s">
        <v>34</v>
      </c>
      <c r="E59" s="128" t="s">
        <v>35</v>
      </c>
      <c r="F59" s="96" t="s">
        <v>36</v>
      </c>
      <c r="G59" s="343" t="s">
        <v>37</v>
      </c>
      <c r="H59" s="343"/>
      <c r="I59" s="343"/>
      <c r="J59" s="96"/>
      <c r="K59" s="96"/>
      <c r="L59" s="10"/>
      <c r="M59" s="10"/>
      <c r="N59" s="10"/>
      <c r="O59" s="10"/>
      <c r="P59" s="10"/>
      <c r="Q59" s="54" t="s">
        <v>88</v>
      </c>
      <c r="R59" s="10"/>
      <c r="S59" s="28"/>
    </row>
    <row r="60" spans="2:20" x14ac:dyDescent="0.25">
      <c r="C60" s="93"/>
      <c r="D60" s="93"/>
      <c r="E60" s="129"/>
      <c r="F60" s="130"/>
      <c r="G60" s="62"/>
      <c r="H60" s="62"/>
      <c r="I60" s="62"/>
      <c r="J60" s="62"/>
      <c r="K60" s="62"/>
      <c r="L60" s="100"/>
    </row>
    <row r="61" spans="2:20" x14ac:dyDescent="0.25">
      <c r="C61" s="93"/>
      <c r="D61" s="93"/>
      <c r="E61" s="129"/>
      <c r="F61" s="150"/>
      <c r="Q61" s="14"/>
      <c r="R61" s="14"/>
      <c r="S61" s="313"/>
    </row>
    <row r="62" spans="2:20" x14ac:dyDescent="0.25">
      <c r="C62" s="93"/>
      <c r="D62" s="93"/>
      <c r="E62" s="129"/>
      <c r="F62" s="150"/>
      <c r="Q62" s="14"/>
      <c r="R62" s="14"/>
      <c r="S62" s="313"/>
    </row>
    <row r="63" spans="2:20" x14ac:dyDescent="0.25">
      <c r="C63" s="93"/>
      <c r="D63" s="93"/>
      <c r="E63" s="129"/>
      <c r="F63" s="150"/>
    </row>
    <row r="64" spans="2:20" x14ac:dyDescent="0.25">
      <c r="C64" s="93"/>
      <c r="D64" s="93"/>
      <c r="E64" s="129"/>
      <c r="F64" s="93"/>
    </row>
    <row r="65" spans="3:6" x14ac:dyDescent="0.25">
      <c r="C65" s="93"/>
      <c r="D65" s="93"/>
      <c r="E65" s="129"/>
      <c r="F65" s="93"/>
    </row>
    <row r="66" spans="3:6" x14ac:dyDescent="0.25">
      <c r="C66" s="93"/>
      <c r="D66" s="8"/>
      <c r="E66" s="131"/>
      <c r="F66" s="93"/>
    </row>
    <row r="67" spans="3:6" x14ac:dyDescent="0.25">
      <c r="E67" s="129"/>
      <c r="F67" s="93"/>
    </row>
    <row r="68" spans="3:6" x14ac:dyDescent="0.25">
      <c r="E68" s="129"/>
      <c r="F68" s="93"/>
    </row>
    <row r="69" spans="3:6" x14ac:dyDescent="0.25">
      <c r="E69" s="129"/>
    </row>
    <row r="70" spans="3:6" x14ac:dyDescent="0.25">
      <c r="E70" s="129"/>
    </row>
    <row r="71" spans="3:6" x14ac:dyDescent="0.25">
      <c r="E71" s="129"/>
    </row>
    <row r="72" spans="3:6" x14ac:dyDescent="0.25">
      <c r="E72" s="129"/>
    </row>
    <row r="73" spans="3:6" x14ac:dyDescent="0.25">
      <c r="E73" s="129"/>
    </row>
    <row r="74" spans="3:6" x14ac:dyDescent="0.25">
      <c r="E74" s="129"/>
    </row>
    <row r="75" spans="3:6" x14ac:dyDescent="0.25">
      <c r="E75" s="129"/>
    </row>
  </sheetData>
  <mergeCells count="8">
    <mergeCell ref="Q1:S1"/>
    <mergeCell ref="Q2:S2"/>
    <mergeCell ref="B31:F31"/>
    <mergeCell ref="B30:F30"/>
    <mergeCell ref="G59:I59"/>
    <mergeCell ref="B33:F33"/>
    <mergeCell ref="B48:H48"/>
    <mergeCell ref="B13:B14"/>
  </mergeCells>
  <hyperlinks>
    <hyperlink ref="B34" r:id="rId1"/>
  </hyperlinks>
  <printOptions horizontalCentered="1" gridLines="1"/>
  <pageMargins left="0" right="0" top="0.75" bottom="0.75" header="0.3" footer="0.3"/>
  <pageSetup scale="45" orientation="landscape" horizontalDpi="1200" verticalDpi="1200"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5"/>
  <sheetViews>
    <sheetView topLeftCell="B5" zoomScale="90" zoomScaleNormal="90" workbookViewId="0">
      <selection activeCell="Q23" activeCellId="1" sqref="Q15:Q19 Q23"/>
    </sheetView>
  </sheetViews>
  <sheetFormatPr defaultColWidth="9.140625" defaultRowHeight="15" x14ac:dyDescent="0.25"/>
  <cols>
    <col min="1" max="1" width="9.140625" style="2" hidden="1" customWidth="1"/>
    <col min="2" max="2" width="63.140625" style="2" customWidth="1"/>
    <col min="3" max="3" width="26" style="2" customWidth="1"/>
    <col min="4" max="4" width="13.7109375" style="2" customWidth="1"/>
    <col min="5" max="5" width="18.28515625" style="2" customWidth="1"/>
    <col min="6" max="6" width="21.28515625" style="2" customWidth="1"/>
    <col min="7" max="7" width="10.28515625" style="2" customWidth="1"/>
    <col min="8" max="8" width="12.85546875" style="2" customWidth="1"/>
    <col min="9" max="9" width="13.42578125" style="2" customWidth="1"/>
    <col min="10" max="10" width="15.7109375" style="2" customWidth="1"/>
    <col min="11" max="11" width="8.85546875" style="2" customWidth="1"/>
    <col min="12" max="12" width="18.1406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6.7109375" style="2" customWidth="1"/>
    <col min="20" max="16384" width="9.140625" style="2"/>
  </cols>
  <sheetData>
    <row r="1" spans="1:20" ht="14.45" customHeight="1" x14ac:dyDescent="0.25">
      <c r="B1" s="8" t="s">
        <v>17</v>
      </c>
      <c r="Q1" s="338" t="s">
        <v>296</v>
      </c>
      <c r="R1" s="338"/>
      <c r="S1" s="338"/>
    </row>
    <row r="2" spans="1:20" x14ac:dyDescent="0.25">
      <c r="B2" s="88" t="s">
        <v>148</v>
      </c>
      <c r="C2" s="182">
        <v>44742</v>
      </c>
      <c r="M2" s="71"/>
      <c r="N2" s="71"/>
      <c r="P2" s="29"/>
      <c r="Q2" s="337" t="s">
        <v>375</v>
      </c>
      <c r="R2" s="337"/>
      <c r="S2" s="337"/>
    </row>
    <row r="3" spans="1:20" ht="15.75" thickBot="1" x14ac:dyDescent="0.3">
      <c r="A3" s="2" t="s">
        <v>16</v>
      </c>
      <c r="B3" s="44" t="s">
        <v>50</v>
      </c>
      <c r="C3" s="8"/>
      <c r="D3" s="8"/>
      <c r="E3" s="8"/>
      <c r="P3" s="29"/>
      <c r="Q3" s="45"/>
      <c r="R3" s="30"/>
    </row>
    <row r="4" spans="1:20" x14ac:dyDescent="0.25">
      <c r="B4" s="8" t="s">
        <v>174</v>
      </c>
      <c r="M4" s="85" t="s">
        <v>28</v>
      </c>
      <c r="N4" s="85" t="s">
        <v>28</v>
      </c>
      <c r="O4" s="85" t="s">
        <v>28</v>
      </c>
      <c r="P4" s="9"/>
      <c r="Q4" s="89" t="s">
        <v>29</v>
      </c>
      <c r="R4" s="89" t="s">
        <v>31</v>
      </c>
      <c r="S4" s="89" t="s">
        <v>23</v>
      </c>
      <c r="T4" s="7"/>
    </row>
    <row r="5" spans="1:20" ht="15.75" thickBot="1" x14ac:dyDescent="0.3">
      <c r="G5" s="183" t="s">
        <v>295</v>
      </c>
      <c r="H5" s="183" t="s">
        <v>295</v>
      </c>
      <c r="M5" s="86" t="s">
        <v>27</v>
      </c>
      <c r="N5" s="86" t="s">
        <v>26</v>
      </c>
      <c r="O5" s="86" t="s">
        <v>25</v>
      </c>
      <c r="P5" s="9"/>
      <c r="Q5" s="90" t="s">
        <v>30</v>
      </c>
      <c r="R5" s="90" t="s">
        <v>30</v>
      </c>
      <c r="S5" s="90" t="s">
        <v>30</v>
      </c>
      <c r="T5" s="7"/>
    </row>
    <row r="6" spans="1:20" ht="85.5" customHeight="1" thickBot="1" x14ac:dyDescent="0.3">
      <c r="B6" s="84" t="s">
        <v>1</v>
      </c>
      <c r="C6" s="84" t="s">
        <v>389</v>
      </c>
      <c r="D6" s="84" t="s">
        <v>107</v>
      </c>
      <c r="E6" s="84" t="s">
        <v>3</v>
      </c>
      <c r="F6" s="84" t="s">
        <v>4</v>
      </c>
      <c r="G6" s="107" t="s">
        <v>136</v>
      </c>
      <c r="H6" s="107" t="s">
        <v>137</v>
      </c>
      <c r="I6" s="107" t="s">
        <v>133</v>
      </c>
      <c r="J6" s="107" t="s">
        <v>134</v>
      </c>
      <c r="K6" s="107" t="s">
        <v>121</v>
      </c>
      <c r="L6" s="83" t="s">
        <v>5</v>
      </c>
      <c r="M6" s="87" t="s">
        <v>6</v>
      </c>
      <c r="N6" s="87" t="s">
        <v>6</v>
      </c>
      <c r="O6" s="87" t="s">
        <v>6</v>
      </c>
      <c r="P6" s="9"/>
      <c r="Q6" s="91"/>
      <c r="R6" s="97" t="s">
        <v>32</v>
      </c>
      <c r="S6" s="98" t="s">
        <v>33</v>
      </c>
    </row>
    <row r="7" spans="1:20" ht="31.5" customHeight="1" x14ac:dyDescent="0.25">
      <c r="B7" s="2" t="s">
        <v>257</v>
      </c>
      <c r="C7" s="236" t="s">
        <v>260</v>
      </c>
      <c r="D7" s="93" t="s">
        <v>258</v>
      </c>
      <c r="E7" s="2" t="s">
        <v>259</v>
      </c>
      <c r="F7" s="2" t="s">
        <v>7</v>
      </c>
      <c r="G7" s="186">
        <v>2.63E-2</v>
      </c>
      <c r="H7" s="186">
        <v>0.1845</v>
      </c>
      <c r="I7" s="187">
        <v>44439</v>
      </c>
      <c r="J7" s="187">
        <v>44454</v>
      </c>
      <c r="K7" s="187">
        <v>44013</v>
      </c>
      <c r="L7" s="188" t="s">
        <v>290</v>
      </c>
      <c r="M7" s="272">
        <v>4872.68</v>
      </c>
      <c r="N7" s="78">
        <v>619.82000000000005</v>
      </c>
      <c r="O7" s="61">
        <f>M7+N7</f>
        <v>5492.5</v>
      </c>
      <c r="P7" s="67"/>
      <c r="Q7" s="67">
        <v>5492.5</v>
      </c>
      <c r="R7" s="67"/>
      <c r="S7" s="81">
        <f>Q7+R7</f>
        <v>5492.5</v>
      </c>
    </row>
    <row r="8" spans="1:20" ht="31.5" customHeight="1" x14ac:dyDescent="0.25">
      <c r="B8" s="2" t="s">
        <v>350</v>
      </c>
      <c r="C8" s="236" t="s">
        <v>351</v>
      </c>
      <c r="D8" s="93" t="s">
        <v>311</v>
      </c>
      <c r="E8" s="2" t="s">
        <v>313</v>
      </c>
      <c r="F8" s="2" t="s">
        <v>7</v>
      </c>
      <c r="G8" s="186">
        <v>2.63E-2</v>
      </c>
      <c r="H8" s="186">
        <v>0.1845</v>
      </c>
      <c r="I8" s="187">
        <v>44793</v>
      </c>
      <c r="J8" s="187">
        <v>44808</v>
      </c>
      <c r="K8" s="187">
        <v>44378</v>
      </c>
      <c r="L8" s="204" t="s">
        <v>349</v>
      </c>
      <c r="M8" s="272">
        <v>9707.5</v>
      </c>
      <c r="N8" s="78">
        <v>695</v>
      </c>
      <c r="O8" s="61">
        <f>M8+N8</f>
        <v>10402.5</v>
      </c>
      <c r="P8" s="67"/>
      <c r="Q8" s="67">
        <f>5510+4892.5</f>
        <v>10402.5</v>
      </c>
      <c r="R8" s="67"/>
      <c r="S8" s="81">
        <f>Q8+R8</f>
        <v>10402.5</v>
      </c>
    </row>
    <row r="9" spans="1:20" ht="33" customHeight="1" x14ac:dyDescent="0.25">
      <c r="B9" s="2" t="s">
        <v>128</v>
      </c>
      <c r="C9" s="225" t="s">
        <v>122</v>
      </c>
      <c r="D9" s="93" t="s">
        <v>310</v>
      </c>
      <c r="E9" s="2" t="s">
        <v>309</v>
      </c>
      <c r="F9" s="2" t="s">
        <v>7</v>
      </c>
      <c r="G9" s="186">
        <v>2.63E-2</v>
      </c>
      <c r="H9" s="186">
        <v>0.1845</v>
      </c>
      <c r="I9" s="187">
        <v>44742</v>
      </c>
      <c r="J9" s="187">
        <v>44743</v>
      </c>
      <c r="K9" s="187">
        <v>44378</v>
      </c>
      <c r="L9" s="204" t="s">
        <v>297</v>
      </c>
      <c r="M9" s="61">
        <v>10641.49</v>
      </c>
      <c r="N9" s="70"/>
      <c r="O9" s="61">
        <f t="shared" ref="O9:O23" si="0">M9+N9</f>
        <v>10641.49</v>
      </c>
      <c r="P9" s="82"/>
      <c r="Q9" s="70">
        <v>10641.49</v>
      </c>
      <c r="R9" s="106"/>
      <c r="S9" s="81">
        <f t="shared" ref="S9:S23" si="1">Q9+R9</f>
        <v>10641.49</v>
      </c>
    </row>
    <row r="10" spans="1:20" ht="33" customHeight="1" x14ac:dyDescent="0.25">
      <c r="B10" s="330" t="s">
        <v>371</v>
      </c>
      <c r="C10" s="236" t="s">
        <v>373</v>
      </c>
      <c r="D10" s="331" t="s">
        <v>372</v>
      </c>
      <c r="E10" s="29" t="s">
        <v>374</v>
      </c>
      <c r="F10" s="2" t="s">
        <v>7</v>
      </c>
      <c r="G10" s="186">
        <v>2.63E-2</v>
      </c>
      <c r="H10" s="186">
        <v>0.1845</v>
      </c>
      <c r="I10" s="187">
        <v>45199</v>
      </c>
      <c r="J10" s="187">
        <v>45214</v>
      </c>
      <c r="K10" s="187">
        <v>44378</v>
      </c>
      <c r="L10" s="188" t="s">
        <v>325</v>
      </c>
      <c r="M10" s="70">
        <v>3185.59</v>
      </c>
      <c r="N10" s="70"/>
      <c r="O10" s="67">
        <f>M10+N10</f>
        <v>3185.59</v>
      </c>
      <c r="P10" s="42"/>
      <c r="Q10" s="43">
        <v>3185.59</v>
      </c>
      <c r="R10" s="67"/>
      <c r="S10" s="68">
        <f>SUM(Q10:R10)</f>
        <v>3185.59</v>
      </c>
    </row>
    <row r="11" spans="1:20" ht="30" customHeight="1" x14ac:dyDescent="0.25">
      <c r="B11" s="2" t="s">
        <v>223</v>
      </c>
      <c r="C11" s="236" t="s">
        <v>333</v>
      </c>
      <c r="D11" s="93" t="s">
        <v>224</v>
      </c>
      <c r="E11" s="2" t="s">
        <v>225</v>
      </c>
      <c r="F11" s="2" t="s">
        <v>7</v>
      </c>
      <c r="G11" s="186">
        <v>2.63E-2</v>
      </c>
      <c r="H11" s="186">
        <v>0.1845</v>
      </c>
      <c r="I11" s="187">
        <v>44834</v>
      </c>
      <c r="J11" s="187">
        <v>44849</v>
      </c>
      <c r="K11" s="187">
        <v>43614</v>
      </c>
      <c r="L11" s="188" t="s">
        <v>274</v>
      </c>
      <c r="M11" s="67">
        <v>46311.73</v>
      </c>
      <c r="N11" s="78"/>
      <c r="O11" s="61">
        <f t="shared" si="0"/>
        <v>46311.73</v>
      </c>
      <c r="P11" s="67"/>
      <c r="Q11" s="67">
        <v>0</v>
      </c>
      <c r="R11" s="67"/>
      <c r="S11" s="81">
        <f t="shared" si="1"/>
        <v>0</v>
      </c>
    </row>
    <row r="12" spans="1:20" ht="27" customHeight="1" x14ac:dyDescent="0.25">
      <c r="B12" s="2" t="s">
        <v>275</v>
      </c>
      <c r="C12" s="236" t="s">
        <v>333</v>
      </c>
      <c r="D12" s="93" t="s">
        <v>224</v>
      </c>
      <c r="E12" s="2" t="s">
        <v>276</v>
      </c>
      <c r="F12" s="2" t="s">
        <v>7</v>
      </c>
      <c r="G12" s="186">
        <v>2.63E-2</v>
      </c>
      <c r="H12" s="186">
        <v>0.1845</v>
      </c>
      <c r="I12" s="297">
        <v>44773</v>
      </c>
      <c r="J12" s="297">
        <v>44788</v>
      </c>
      <c r="K12" s="187">
        <v>43980</v>
      </c>
      <c r="L12" s="188" t="s">
        <v>277</v>
      </c>
      <c r="M12" s="79">
        <v>3330.7</v>
      </c>
      <c r="N12" s="70"/>
      <c r="O12" s="67">
        <f t="shared" si="0"/>
        <v>3330.7</v>
      </c>
      <c r="P12" s="67"/>
      <c r="Q12" s="67">
        <v>3316.69</v>
      </c>
      <c r="R12" s="67"/>
      <c r="S12" s="68">
        <f t="shared" si="1"/>
        <v>3316.69</v>
      </c>
    </row>
    <row r="13" spans="1:20" ht="27" customHeight="1" x14ac:dyDescent="0.25">
      <c r="B13" s="2" t="s">
        <v>279</v>
      </c>
      <c r="C13" s="236" t="s">
        <v>333</v>
      </c>
      <c r="D13" s="93" t="s">
        <v>224</v>
      </c>
      <c r="E13" s="2" t="s">
        <v>280</v>
      </c>
      <c r="F13" s="2" t="s">
        <v>7</v>
      </c>
      <c r="G13" s="186">
        <v>2.63E-2</v>
      </c>
      <c r="H13" s="186">
        <v>0.1845</v>
      </c>
      <c r="I13" s="187">
        <v>44592</v>
      </c>
      <c r="J13" s="187">
        <v>44592</v>
      </c>
      <c r="K13" s="187">
        <v>43980</v>
      </c>
      <c r="L13" s="188" t="s">
        <v>332</v>
      </c>
      <c r="M13" s="79">
        <v>3000</v>
      </c>
      <c r="N13" s="67"/>
      <c r="O13" s="67">
        <f t="shared" si="0"/>
        <v>3000</v>
      </c>
      <c r="P13" s="66"/>
      <c r="Q13" s="67">
        <v>2985</v>
      </c>
      <c r="R13" s="67"/>
      <c r="S13" s="68">
        <f t="shared" si="1"/>
        <v>2985</v>
      </c>
    </row>
    <row r="14" spans="1:20" ht="27" customHeight="1" x14ac:dyDescent="0.25">
      <c r="B14" s="2" t="s">
        <v>281</v>
      </c>
      <c r="C14" s="236" t="s">
        <v>334</v>
      </c>
      <c r="D14" s="93" t="s">
        <v>231</v>
      </c>
      <c r="E14" s="2" t="s">
        <v>282</v>
      </c>
      <c r="F14" s="2" t="s">
        <v>7</v>
      </c>
      <c r="G14" s="186">
        <v>2.63E-2</v>
      </c>
      <c r="H14" s="186">
        <v>0.1845</v>
      </c>
      <c r="I14" s="187">
        <v>44742</v>
      </c>
      <c r="J14" s="187">
        <v>44757</v>
      </c>
      <c r="K14" s="187">
        <v>43979</v>
      </c>
      <c r="L14" s="188" t="s">
        <v>291</v>
      </c>
      <c r="M14" s="79">
        <v>1027</v>
      </c>
      <c r="N14" s="67"/>
      <c r="O14" s="67">
        <f t="shared" si="0"/>
        <v>1027</v>
      </c>
      <c r="P14" s="66"/>
      <c r="Q14" s="67">
        <v>735.85</v>
      </c>
      <c r="R14" s="67"/>
      <c r="S14" s="68">
        <f t="shared" si="1"/>
        <v>735.85</v>
      </c>
    </row>
    <row r="15" spans="1:20" ht="27" customHeight="1" x14ac:dyDescent="0.25">
      <c r="B15" s="2" t="s">
        <v>321</v>
      </c>
      <c r="C15" s="236" t="s">
        <v>333</v>
      </c>
      <c r="D15" s="93" t="s">
        <v>288</v>
      </c>
      <c r="E15" s="2" t="s">
        <v>322</v>
      </c>
      <c r="F15" s="2" t="s">
        <v>7</v>
      </c>
      <c r="G15" s="186">
        <f>G14:H14</f>
        <v>2.63E-2</v>
      </c>
      <c r="H15" s="186">
        <f>H14</f>
        <v>0.1845</v>
      </c>
      <c r="I15" s="187">
        <v>45199</v>
      </c>
      <c r="J15" s="187">
        <v>45214</v>
      </c>
      <c r="K15" s="187">
        <v>44201</v>
      </c>
      <c r="L15" s="188" t="s">
        <v>323</v>
      </c>
      <c r="M15" s="79">
        <v>44149.86</v>
      </c>
      <c r="N15" s="67"/>
      <c r="O15" s="67">
        <f t="shared" si="0"/>
        <v>44149.86</v>
      </c>
      <c r="P15" s="66"/>
      <c r="Q15" s="67">
        <v>44149.86</v>
      </c>
      <c r="R15" s="67"/>
      <c r="S15" s="68">
        <f t="shared" si="1"/>
        <v>44149.86</v>
      </c>
    </row>
    <row r="16" spans="1:20" ht="27" customHeight="1" x14ac:dyDescent="0.25">
      <c r="B16" s="2" t="s">
        <v>324</v>
      </c>
      <c r="C16" s="236" t="s">
        <v>333</v>
      </c>
      <c r="D16" s="93" t="s">
        <v>288</v>
      </c>
      <c r="E16" s="2" t="s">
        <v>329</v>
      </c>
      <c r="F16" s="2" t="s">
        <v>7</v>
      </c>
      <c r="G16" s="186">
        <f>G15:H15</f>
        <v>2.63E-2</v>
      </c>
      <c r="H16" s="186">
        <f>H15</f>
        <v>0.1845</v>
      </c>
      <c r="I16" s="187">
        <v>45199</v>
      </c>
      <c r="J16" s="187">
        <v>45214</v>
      </c>
      <c r="K16" s="187">
        <v>44201</v>
      </c>
      <c r="L16" s="188" t="s">
        <v>325</v>
      </c>
      <c r="M16" s="79">
        <v>8733</v>
      </c>
      <c r="N16" s="67"/>
      <c r="O16" s="67">
        <f t="shared" si="0"/>
        <v>8733</v>
      </c>
      <c r="P16" s="66"/>
      <c r="Q16" s="67"/>
      <c r="R16" s="67"/>
      <c r="S16" s="68">
        <f t="shared" si="1"/>
        <v>0</v>
      </c>
    </row>
    <row r="17" spans="2:19" ht="27" customHeight="1" x14ac:dyDescent="0.25">
      <c r="B17" s="2" t="s">
        <v>326</v>
      </c>
      <c r="C17" s="236" t="s">
        <v>333</v>
      </c>
      <c r="D17" s="93" t="s">
        <v>288</v>
      </c>
      <c r="E17" s="2" t="s">
        <v>330</v>
      </c>
      <c r="F17" s="2" t="s">
        <v>7</v>
      </c>
      <c r="G17" s="186">
        <f>G16:H16</f>
        <v>2.63E-2</v>
      </c>
      <c r="H17" s="186">
        <f>H16</f>
        <v>0.1845</v>
      </c>
      <c r="I17" s="187">
        <v>45199</v>
      </c>
      <c r="J17" s="187">
        <v>45214</v>
      </c>
      <c r="K17" s="187">
        <v>44201</v>
      </c>
      <c r="L17" s="188" t="s">
        <v>323</v>
      </c>
      <c r="M17" s="79">
        <v>11589.34</v>
      </c>
      <c r="N17" s="67"/>
      <c r="O17" s="67">
        <f t="shared" si="0"/>
        <v>11589.34</v>
      </c>
      <c r="P17" s="66"/>
      <c r="Q17" s="67">
        <v>11589.34</v>
      </c>
      <c r="R17" s="67"/>
      <c r="S17" s="68">
        <f t="shared" si="1"/>
        <v>11589.34</v>
      </c>
    </row>
    <row r="18" spans="2:19" ht="27" customHeight="1" x14ac:dyDescent="0.25">
      <c r="B18" s="2" t="s">
        <v>370</v>
      </c>
      <c r="C18" s="236" t="s">
        <v>333</v>
      </c>
      <c r="D18" s="93" t="s">
        <v>288</v>
      </c>
      <c r="E18" s="2" t="s">
        <v>331</v>
      </c>
      <c r="F18" s="2" t="s">
        <v>7</v>
      </c>
      <c r="G18" s="186">
        <f t="shared" ref="G18" si="2">G17:H17</f>
        <v>2.63E-2</v>
      </c>
      <c r="H18" s="186">
        <f t="shared" ref="H18" si="3">H17</f>
        <v>0.1845</v>
      </c>
      <c r="I18" s="187">
        <v>45199</v>
      </c>
      <c r="J18" s="187">
        <v>45214</v>
      </c>
      <c r="K18" s="187">
        <v>44201</v>
      </c>
      <c r="L18" s="188" t="s">
        <v>325</v>
      </c>
      <c r="M18" s="79">
        <v>54856.2</v>
      </c>
      <c r="N18" s="67"/>
      <c r="O18" s="67">
        <f t="shared" si="0"/>
        <v>54856.2</v>
      </c>
      <c r="P18" s="66"/>
      <c r="Q18" s="67">
        <v>26501.39</v>
      </c>
      <c r="R18" s="67"/>
      <c r="S18" s="68">
        <f t="shared" si="1"/>
        <v>26501.39</v>
      </c>
    </row>
    <row r="19" spans="2:19" ht="27" customHeight="1" x14ac:dyDescent="0.25">
      <c r="B19" s="2" t="s">
        <v>287</v>
      </c>
      <c r="C19" s="236" t="s">
        <v>333</v>
      </c>
      <c r="D19" s="93" t="s">
        <v>288</v>
      </c>
      <c r="E19" s="2" t="s">
        <v>289</v>
      </c>
      <c r="F19" s="2" t="s">
        <v>7</v>
      </c>
      <c r="G19" s="186">
        <v>2.63E-2</v>
      </c>
      <c r="H19" s="186">
        <v>0.1845</v>
      </c>
      <c r="I19" s="187">
        <v>45199</v>
      </c>
      <c r="J19" s="187">
        <v>45199</v>
      </c>
      <c r="K19" s="187">
        <v>44201</v>
      </c>
      <c r="L19" s="188" t="s">
        <v>320</v>
      </c>
      <c r="M19" s="79">
        <v>101544.67</v>
      </c>
      <c r="N19" s="67"/>
      <c r="O19" s="67">
        <f t="shared" si="0"/>
        <v>101544.67</v>
      </c>
      <c r="P19" s="66"/>
      <c r="Q19" s="67">
        <v>100877.78</v>
      </c>
      <c r="R19" s="67"/>
      <c r="S19" s="68">
        <f t="shared" si="1"/>
        <v>100877.78</v>
      </c>
    </row>
    <row r="20" spans="2:19" ht="27" customHeight="1" x14ac:dyDescent="0.25">
      <c r="B20" s="2" t="s">
        <v>352</v>
      </c>
      <c r="C20" s="236" t="s">
        <v>353</v>
      </c>
      <c r="D20" s="93" t="s">
        <v>354</v>
      </c>
      <c r="E20" s="2" t="s">
        <v>355</v>
      </c>
      <c r="F20" s="2" t="s">
        <v>7</v>
      </c>
      <c r="G20" s="186">
        <v>2.63E-2</v>
      </c>
      <c r="H20" s="186">
        <v>0.1845</v>
      </c>
      <c r="I20" s="187">
        <v>45565</v>
      </c>
      <c r="J20" s="187">
        <v>45580</v>
      </c>
      <c r="K20" s="187">
        <v>44279</v>
      </c>
      <c r="L20" s="188" t="s">
        <v>356</v>
      </c>
      <c r="M20" s="79">
        <v>397025.9</v>
      </c>
      <c r="N20" s="67"/>
      <c r="O20" s="67">
        <f t="shared" si="0"/>
        <v>397025.9</v>
      </c>
      <c r="P20" s="66"/>
      <c r="Q20" s="67"/>
      <c r="R20" s="67"/>
      <c r="S20" s="68">
        <f t="shared" si="1"/>
        <v>0</v>
      </c>
    </row>
    <row r="21" spans="2:19" ht="27" customHeight="1" x14ac:dyDescent="0.25">
      <c r="B21" s="2" t="s">
        <v>357</v>
      </c>
      <c r="C21" s="236" t="s">
        <v>353</v>
      </c>
      <c r="D21" s="93" t="s">
        <v>354</v>
      </c>
      <c r="E21" s="2" t="s">
        <v>358</v>
      </c>
      <c r="F21" s="2" t="s">
        <v>7</v>
      </c>
      <c r="G21" s="186">
        <v>2.63E-2</v>
      </c>
      <c r="H21" s="186">
        <v>0.1845</v>
      </c>
      <c r="I21" s="187">
        <v>45565</v>
      </c>
      <c r="J21" s="187">
        <v>45580</v>
      </c>
      <c r="K21" s="187">
        <v>44279</v>
      </c>
      <c r="L21" s="188" t="s">
        <v>356</v>
      </c>
      <c r="M21" s="79">
        <v>99256.47</v>
      </c>
      <c r="N21" s="67"/>
      <c r="O21" s="67">
        <f t="shared" si="0"/>
        <v>99256.47</v>
      </c>
      <c r="P21" s="66"/>
      <c r="Q21" s="67"/>
      <c r="R21" s="67"/>
      <c r="S21" s="68">
        <f t="shared" si="1"/>
        <v>0</v>
      </c>
    </row>
    <row r="22" spans="2:19" ht="27" customHeight="1" x14ac:dyDescent="0.25">
      <c r="B22" s="2" t="s">
        <v>363</v>
      </c>
      <c r="C22" s="236" t="s">
        <v>333</v>
      </c>
      <c r="D22" s="93" t="s">
        <v>288</v>
      </c>
      <c r="E22" s="2" t="s">
        <v>364</v>
      </c>
      <c r="F22" s="2" t="s">
        <v>7</v>
      </c>
      <c r="G22" s="186">
        <v>2.63E-2</v>
      </c>
      <c r="H22" s="186">
        <v>0.1845</v>
      </c>
      <c r="I22" s="187">
        <v>45199</v>
      </c>
      <c r="J22" s="187">
        <v>45214</v>
      </c>
      <c r="K22" s="187">
        <v>44201</v>
      </c>
      <c r="L22" s="188" t="s">
        <v>365</v>
      </c>
      <c r="M22" s="79">
        <v>934.48</v>
      </c>
      <c r="N22" s="67"/>
      <c r="O22" s="67">
        <f t="shared" si="0"/>
        <v>934.48</v>
      </c>
      <c r="P22" s="66"/>
      <c r="Q22" s="67"/>
      <c r="R22" s="67"/>
      <c r="S22" s="68">
        <f t="shared" si="1"/>
        <v>0</v>
      </c>
    </row>
    <row r="23" spans="2:19" ht="27" customHeight="1" x14ac:dyDescent="0.25">
      <c r="B23" s="2" t="s">
        <v>366</v>
      </c>
      <c r="C23" s="236" t="s">
        <v>333</v>
      </c>
      <c r="D23" s="93" t="s">
        <v>367</v>
      </c>
      <c r="E23" s="2" t="s">
        <v>368</v>
      </c>
      <c r="F23" s="2" t="s">
        <v>7</v>
      </c>
      <c r="G23" s="186">
        <v>2.63E-2</v>
      </c>
      <c r="H23" s="186">
        <v>0.1845</v>
      </c>
      <c r="I23" s="187">
        <v>45199</v>
      </c>
      <c r="J23" s="187">
        <v>45214</v>
      </c>
      <c r="K23" s="187">
        <v>44201</v>
      </c>
      <c r="L23" s="188" t="s">
        <v>369</v>
      </c>
      <c r="M23" s="79">
        <v>11800.76</v>
      </c>
      <c r="N23" s="67"/>
      <c r="O23" s="67">
        <f t="shared" si="0"/>
        <v>11800.76</v>
      </c>
      <c r="P23" s="66"/>
      <c r="Q23" s="67">
        <v>1200</v>
      </c>
      <c r="R23" s="67"/>
      <c r="S23" s="68">
        <f t="shared" si="1"/>
        <v>1200</v>
      </c>
    </row>
    <row r="24" spans="2:19" x14ac:dyDescent="0.25">
      <c r="D24" s="93"/>
      <c r="G24" s="186"/>
      <c r="H24" s="186"/>
      <c r="I24" s="187"/>
      <c r="J24" s="187"/>
      <c r="K24" s="187"/>
      <c r="L24" s="188"/>
      <c r="M24" s="10"/>
      <c r="N24" s="24"/>
      <c r="O24" s="147"/>
      <c r="P24" s="25"/>
      <c r="Q24" s="25"/>
      <c r="R24" s="25"/>
      <c r="S24" s="146"/>
    </row>
    <row r="25" spans="2:19" ht="22.5" customHeight="1" x14ac:dyDescent="0.25">
      <c r="C25" s="93"/>
      <c r="D25" s="93"/>
      <c r="G25" s="123"/>
      <c r="H25" s="124" t="s">
        <v>100</v>
      </c>
      <c r="I25" s="116"/>
      <c r="J25" s="116"/>
      <c r="K25" s="116"/>
      <c r="L25" s="21" t="s">
        <v>38</v>
      </c>
      <c r="M25" s="66">
        <f>SUM(M7:M24)</f>
        <v>811967.36999999988</v>
      </c>
      <c r="N25" s="66">
        <f>SUM(N7:N24)</f>
        <v>1314.8200000000002</v>
      </c>
      <c r="O25" s="66">
        <f>SUM(O7:O24)</f>
        <v>813282.19</v>
      </c>
      <c r="P25" s="66"/>
      <c r="Q25" s="66">
        <f>SUM(Q7:Q24)</f>
        <v>221077.99</v>
      </c>
      <c r="R25" s="66">
        <f>SUM(R7:R24)</f>
        <v>0</v>
      </c>
      <c r="S25" s="23">
        <f>SUM(S7:S24)</f>
        <v>221077.99</v>
      </c>
    </row>
    <row r="26" spans="2:19" x14ac:dyDescent="0.25">
      <c r="C26" s="93"/>
      <c r="D26" s="93"/>
      <c r="I26" s="116"/>
      <c r="J26" s="116"/>
      <c r="K26" s="116"/>
      <c r="S26" s="27"/>
    </row>
    <row r="27" spans="2:19" x14ac:dyDescent="0.25">
      <c r="C27" s="93"/>
      <c r="D27" s="93"/>
      <c r="I27" s="116"/>
      <c r="J27" s="116"/>
      <c r="K27" s="116"/>
      <c r="S27" s="27"/>
    </row>
    <row r="28" spans="2:19" x14ac:dyDescent="0.25">
      <c r="B28" s="8" t="s">
        <v>125</v>
      </c>
      <c r="C28" s="92"/>
      <c r="D28" s="92"/>
      <c r="S28" s="27"/>
    </row>
    <row r="29" spans="2:19" ht="28.5" customHeight="1" x14ac:dyDescent="0.25">
      <c r="B29" s="341" t="s">
        <v>126</v>
      </c>
      <c r="C29" s="341"/>
      <c r="D29" s="341"/>
      <c r="E29" s="341"/>
      <c r="F29" s="341"/>
      <c r="G29" s="117"/>
      <c r="H29" s="117"/>
      <c r="I29" s="111"/>
      <c r="S29" s="27"/>
    </row>
    <row r="30" spans="2:19" x14ac:dyDescent="0.25">
      <c r="C30" s="92"/>
      <c r="D30" s="92"/>
      <c r="S30" s="27"/>
    </row>
    <row r="31" spans="2:19" ht="49.5" customHeight="1" x14ac:dyDescent="0.25">
      <c r="B31" s="341" t="s">
        <v>129</v>
      </c>
      <c r="C31" s="341"/>
      <c r="D31" s="341"/>
      <c r="E31" s="341"/>
      <c r="F31" s="341"/>
      <c r="G31" s="117"/>
      <c r="H31" s="117"/>
      <c r="I31" s="111"/>
      <c r="M31" s="278"/>
      <c r="S31" s="27"/>
    </row>
    <row r="32" spans="2:19" x14ac:dyDescent="0.25">
      <c r="B32" s="108"/>
      <c r="C32" s="108"/>
      <c r="D32" s="108"/>
      <c r="E32" s="108"/>
      <c r="F32" s="108"/>
      <c r="G32" s="117"/>
      <c r="H32" s="117"/>
      <c r="I32" s="111"/>
      <c r="S32" s="27"/>
    </row>
    <row r="33" spans="2:19" ht="30.75" customHeight="1" x14ac:dyDescent="0.25">
      <c r="B33" s="341" t="s">
        <v>160</v>
      </c>
      <c r="C33" s="341"/>
      <c r="D33" s="341"/>
      <c r="E33" s="341"/>
      <c r="F33" s="341"/>
      <c r="G33" s="193"/>
      <c r="H33" s="193"/>
      <c r="I33" s="193"/>
      <c r="S33" s="27"/>
    </row>
    <row r="34" spans="2:19" ht="15" customHeight="1" x14ac:dyDescent="0.25">
      <c r="B34" s="347" t="s">
        <v>159</v>
      </c>
      <c r="C34" s="341"/>
      <c r="D34" s="341"/>
      <c r="E34" s="341"/>
      <c r="F34" s="341"/>
      <c r="G34" s="193"/>
      <c r="H34" s="193"/>
      <c r="I34" s="193"/>
      <c r="S34" s="27"/>
    </row>
    <row r="35" spans="2:19" ht="15" customHeight="1" x14ac:dyDescent="0.25">
      <c r="B35" s="195"/>
      <c r="C35" s="195"/>
      <c r="D35" s="195"/>
      <c r="E35" s="195"/>
      <c r="F35" s="195"/>
      <c r="G35" s="195"/>
      <c r="H35" s="195"/>
      <c r="I35" s="195"/>
      <c r="S35" s="27"/>
    </row>
    <row r="36" spans="2:19" x14ac:dyDescent="0.25">
      <c r="B36" s="7" t="s">
        <v>109</v>
      </c>
      <c r="C36" s="101" t="s">
        <v>112</v>
      </c>
      <c r="D36" s="101" t="s">
        <v>113</v>
      </c>
      <c r="E36" s="108"/>
      <c r="F36" s="108"/>
      <c r="G36" s="117"/>
      <c r="H36" s="117"/>
      <c r="I36" s="111"/>
      <c r="S36" s="27"/>
    </row>
    <row r="37" spans="2:19" x14ac:dyDescent="0.25">
      <c r="B37" s="2" t="s">
        <v>262</v>
      </c>
      <c r="C37" s="92" t="s">
        <v>180</v>
      </c>
      <c r="D37" s="92" t="s">
        <v>181</v>
      </c>
      <c r="E37" s="318"/>
      <c r="F37" s="318"/>
      <c r="G37" s="318"/>
      <c r="H37" s="318"/>
      <c r="I37" s="318"/>
      <c r="S37" s="27"/>
    </row>
    <row r="38" spans="2:19" x14ac:dyDescent="0.25">
      <c r="B38" s="103" t="s">
        <v>111</v>
      </c>
      <c r="C38" s="92" t="s">
        <v>300</v>
      </c>
      <c r="D38" s="92" t="s">
        <v>303</v>
      </c>
      <c r="S38" s="27"/>
    </row>
    <row r="39" spans="2:19" x14ac:dyDescent="0.25">
      <c r="B39" s="2" t="s">
        <v>230</v>
      </c>
      <c r="C39" s="92" t="s">
        <v>135</v>
      </c>
      <c r="D39" s="92" t="s">
        <v>147</v>
      </c>
      <c r="S39" s="27"/>
    </row>
    <row r="40" spans="2:19" x14ac:dyDescent="0.25">
      <c r="B40" s="2" t="s">
        <v>275</v>
      </c>
      <c r="C40" s="92" t="s">
        <v>135</v>
      </c>
      <c r="D40" s="92" t="s">
        <v>147</v>
      </c>
      <c r="S40" s="27"/>
    </row>
    <row r="41" spans="2:19" x14ac:dyDescent="0.25">
      <c r="B41" s="2" t="s">
        <v>279</v>
      </c>
      <c r="C41" s="92" t="s">
        <v>135</v>
      </c>
      <c r="D41" s="92" t="s">
        <v>147</v>
      </c>
      <c r="S41" s="27"/>
    </row>
    <row r="42" spans="2:19" x14ac:dyDescent="0.25">
      <c r="B42" s="2" t="s">
        <v>281</v>
      </c>
      <c r="C42" s="92" t="s">
        <v>135</v>
      </c>
      <c r="D42" s="92" t="s">
        <v>147</v>
      </c>
      <c r="S42" s="27"/>
    </row>
    <row r="43" spans="2:19" x14ac:dyDescent="0.25">
      <c r="B43" s="2" t="s">
        <v>286</v>
      </c>
      <c r="C43" s="92" t="s">
        <v>135</v>
      </c>
      <c r="D43" s="92" t="s">
        <v>147</v>
      </c>
      <c r="S43" s="27"/>
    </row>
    <row r="44" spans="2:19" x14ac:dyDescent="0.25">
      <c r="C44" s="92"/>
      <c r="D44" s="92"/>
      <c r="S44" s="27"/>
    </row>
    <row r="45" spans="2:19" x14ac:dyDescent="0.25">
      <c r="B45" s="259" t="s">
        <v>298</v>
      </c>
      <c r="C45" s="92"/>
      <c r="D45" s="92"/>
      <c r="S45" s="27"/>
    </row>
    <row r="46" spans="2:19" x14ac:dyDescent="0.25">
      <c r="B46" s="255" t="s">
        <v>299</v>
      </c>
      <c r="C46" s="42"/>
      <c r="D46" s="42"/>
      <c r="E46" s="29"/>
      <c r="F46" s="29"/>
      <c r="G46" s="29"/>
      <c r="H46" s="29"/>
      <c r="I46" s="29"/>
      <c r="J46" s="29"/>
      <c r="K46" s="29"/>
      <c r="L46" s="29"/>
      <c r="M46" s="29"/>
      <c r="N46" s="29"/>
      <c r="O46" s="29"/>
      <c r="P46" s="29"/>
      <c r="Q46" s="29"/>
      <c r="R46" s="29"/>
      <c r="S46" s="27"/>
    </row>
    <row r="47" spans="2:19" x14ac:dyDescent="0.25">
      <c r="B47" s="29"/>
      <c r="C47" s="42"/>
      <c r="D47" s="42"/>
      <c r="E47" s="29"/>
      <c r="F47" s="29"/>
      <c r="G47" s="29"/>
      <c r="H47" s="29"/>
      <c r="I47" s="29"/>
      <c r="J47" s="29"/>
      <c r="K47" s="29"/>
      <c r="L47" s="29"/>
      <c r="M47" s="29"/>
      <c r="N47" s="29"/>
      <c r="O47" s="29"/>
      <c r="P47" s="29"/>
      <c r="Q47" s="29"/>
      <c r="R47" s="29"/>
      <c r="S47" s="27"/>
    </row>
    <row r="48" spans="2:19" x14ac:dyDescent="0.25">
      <c r="B48" s="109"/>
      <c r="C48" s="262"/>
      <c r="D48" s="262"/>
      <c r="E48" s="109"/>
      <c r="F48" s="109"/>
      <c r="G48" s="109"/>
      <c r="H48" s="109"/>
      <c r="I48" s="109"/>
      <c r="J48" s="109"/>
      <c r="K48" s="109"/>
      <c r="L48" s="109"/>
      <c r="M48" s="109"/>
      <c r="N48" s="109"/>
      <c r="O48" s="109"/>
      <c r="P48" s="109"/>
      <c r="Q48" s="163" t="s">
        <v>89</v>
      </c>
      <c r="R48" s="163"/>
      <c r="S48" s="164"/>
    </row>
    <row r="49" spans="2:20" ht="15" customHeight="1" x14ac:dyDescent="0.25">
      <c r="B49" s="17" t="s">
        <v>39</v>
      </c>
      <c r="C49" s="96" t="s">
        <v>2</v>
      </c>
      <c r="D49" s="96"/>
      <c r="E49" s="96" t="s">
        <v>34</v>
      </c>
      <c r="F49" s="96" t="s">
        <v>35</v>
      </c>
      <c r="G49" s="120"/>
      <c r="H49" s="120"/>
      <c r="I49" s="114"/>
      <c r="J49" s="96"/>
      <c r="K49" s="96"/>
      <c r="L49" s="96" t="s">
        <v>36</v>
      </c>
      <c r="M49" s="96" t="s">
        <v>37</v>
      </c>
      <c r="N49" s="10"/>
      <c r="O49" s="10"/>
      <c r="P49" s="10"/>
      <c r="Q49" s="54" t="s">
        <v>88</v>
      </c>
      <c r="R49" s="52"/>
      <c r="S49" s="53"/>
      <c r="T49" s="51"/>
    </row>
    <row r="50" spans="2:20" ht="15" customHeight="1" x14ac:dyDescent="0.25">
      <c r="B50" s="63"/>
      <c r="C50" s="9"/>
      <c r="D50" s="9"/>
      <c r="E50" s="9"/>
      <c r="F50" s="9"/>
      <c r="G50" s="9"/>
      <c r="H50" s="9"/>
      <c r="I50" s="9"/>
      <c r="J50" s="9"/>
      <c r="K50" s="9"/>
      <c r="L50" s="9"/>
      <c r="M50" s="9"/>
      <c r="Q50" s="49"/>
      <c r="R50" s="50"/>
      <c r="S50" s="50"/>
      <c r="T50" s="51"/>
    </row>
    <row r="51" spans="2:20" ht="15" customHeight="1" x14ac:dyDescent="0.25">
      <c r="B51" s="63"/>
      <c r="C51" s="9"/>
      <c r="D51" s="9"/>
      <c r="E51" s="9"/>
      <c r="F51" s="9"/>
      <c r="G51" s="9"/>
      <c r="H51" s="9"/>
      <c r="I51" s="9"/>
      <c r="J51" s="9"/>
      <c r="K51" s="9"/>
      <c r="L51" s="9"/>
      <c r="M51" s="9"/>
      <c r="R51" s="51"/>
      <c r="S51" s="51"/>
      <c r="T51" s="51"/>
    </row>
    <row r="52" spans="2:20" x14ac:dyDescent="0.25">
      <c r="B52" s="11"/>
      <c r="C52" s="148"/>
      <c r="D52" s="148"/>
      <c r="E52" s="148"/>
    </row>
    <row r="53" spans="2:20" x14ac:dyDescent="0.25">
      <c r="B53" s="11"/>
      <c r="C53" s="148"/>
      <c r="D53" s="148"/>
      <c r="E53" s="148"/>
    </row>
    <row r="54" spans="2:20" x14ac:dyDescent="0.25">
      <c r="B54" s="12"/>
      <c r="C54" s="13"/>
      <c r="D54" s="13"/>
      <c r="E54" s="14"/>
      <c r="F54" s="15"/>
      <c r="G54" s="15"/>
      <c r="H54" s="15"/>
      <c r="I54" s="15"/>
      <c r="J54" s="15"/>
      <c r="K54" s="15"/>
      <c r="L54" s="16"/>
      <c r="M54" s="20"/>
      <c r="N54" s="18"/>
      <c r="O54" s="18"/>
      <c r="P54" s="18"/>
    </row>
    <row r="55" spans="2:20" x14ac:dyDescent="0.25">
      <c r="Q55" s="309" t="s">
        <v>316</v>
      </c>
      <c r="R55" s="309"/>
      <c r="S55" s="310">
        <f>S25</f>
        <v>221077.99</v>
      </c>
    </row>
  </sheetData>
  <mergeCells count="6">
    <mergeCell ref="B34:F34"/>
    <mergeCell ref="Q2:S2"/>
    <mergeCell ref="Q1:S1"/>
    <mergeCell ref="B29:F29"/>
    <mergeCell ref="B31:F31"/>
    <mergeCell ref="B33:F33"/>
  </mergeCells>
  <hyperlinks>
    <hyperlink ref="B34" r:id="rId1"/>
  </hyperlinks>
  <printOptions horizontalCentered="1" gridLines="1"/>
  <pageMargins left="0" right="0" top="0.75" bottom="0.75" header="0.3" footer="0.3"/>
  <pageSetup scale="54" orientation="landscape" horizontalDpi="1200" verticalDpi="1200"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5"/>
  <sheetViews>
    <sheetView topLeftCell="F7" zoomScale="90" zoomScaleNormal="90" workbookViewId="0">
      <selection activeCell="Q10" sqref="Q10"/>
    </sheetView>
  </sheetViews>
  <sheetFormatPr defaultColWidth="9.140625" defaultRowHeight="15" x14ac:dyDescent="0.25"/>
  <cols>
    <col min="1" max="1" width="9.140625" style="2" hidden="1" customWidth="1"/>
    <col min="2" max="2" width="63.28515625" style="2" customWidth="1"/>
    <col min="3" max="3" width="26.42578125" style="2" customWidth="1"/>
    <col min="4" max="4" width="13.7109375" style="2" customWidth="1"/>
    <col min="5" max="5" width="18.140625" style="2" customWidth="1"/>
    <col min="6" max="6" width="21.5703125" style="2" customWidth="1"/>
    <col min="7" max="7" width="12" style="2" customWidth="1"/>
    <col min="8" max="8" width="13.85546875" style="2" customWidth="1"/>
    <col min="9" max="9" width="14.140625" style="2" customWidth="1"/>
    <col min="10" max="10" width="15.140625" style="2" customWidth="1"/>
    <col min="11" max="11" width="10.28515625" style="2" customWidth="1"/>
    <col min="12" max="12" width="18.425781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6.7109375" style="2" customWidth="1"/>
    <col min="20" max="16384" width="9.140625" style="2"/>
  </cols>
  <sheetData>
    <row r="1" spans="1:20" ht="15.6" customHeight="1" x14ac:dyDescent="0.25">
      <c r="B1" s="1" t="s">
        <v>18</v>
      </c>
      <c r="Q1" s="338" t="s">
        <v>296</v>
      </c>
      <c r="R1" s="338"/>
      <c r="S1" s="338"/>
    </row>
    <row r="2" spans="1:20" x14ac:dyDescent="0.25">
      <c r="B2" s="88" t="s">
        <v>148</v>
      </c>
      <c r="C2" s="182">
        <v>44742</v>
      </c>
      <c r="M2" s="71"/>
      <c r="N2" s="71"/>
      <c r="P2" s="29"/>
      <c r="Q2" s="337" t="s">
        <v>375</v>
      </c>
      <c r="R2" s="337"/>
      <c r="S2" s="337"/>
    </row>
    <row r="3" spans="1:20" ht="15.75" thickBot="1" x14ac:dyDescent="0.3">
      <c r="A3" s="2" t="s">
        <v>16</v>
      </c>
      <c r="B3" s="44" t="s">
        <v>56</v>
      </c>
      <c r="C3" s="8"/>
      <c r="D3" s="8"/>
      <c r="E3" s="8"/>
      <c r="P3" s="29"/>
      <c r="Q3" s="45"/>
      <c r="R3" s="30"/>
    </row>
    <row r="4" spans="1:20" x14ac:dyDescent="0.25">
      <c r="B4" s="8" t="s">
        <v>174</v>
      </c>
      <c r="M4" s="85" t="s">
        <v>28</v>
      </c>
      <c r="N4" s="85" t="s">
        <v>28</v>
      </c>
      <c r="O4" s="85" t="s">
        <v>28</v>
      </c>
      <c r="P4" s="9"/>
      <c r="Q4" s="89" t="s">
        <v>29</v>
      </c>
      <c r="R4" s="89" t="s">
        <v>31</v>
      </c>
      <c r="S4" s="89" t="s">
        <v>23</v>
      </c>
      <c r="T4" s="7"/>
    </row>
    <row r="5" spans="1:20" ht="15.75" thickBot="1" x14ac:dyDescent="0.3">
      <c r="G5" s="183" t="s">
        <v>295</v>
      </c>
      <c r="H5" s="183" t="s">
        <v>295</v>
      </c>
      <c r="M5" s="86" t="s">
        <v>27</v>
      </c>
      <c r="N5" s="86" t="s">
        <v>26</v>
      </c>
      <c r="O5" s="86" t="s">
        <v>25</v>
      </c>
      <c r="P5" s="9"/>
      <c r="Q5" s="90" t="s">
        <v>30</v>
      </c>
      <c r="R5" s="90" t="s">
        <v>30</v>
      </c>
      <c r="S5" s="90" t="s">
        <v>30</v>
      </c>
      <c r="T5" s="7"/>
    </row>
    <row r="6" spans="1:20" ht="85.5" customHeight="1" thickBot="1" x14ac:dyDescent="0.3">
      <c r="B6" s="84" t="s">
        <v>1</v>
      </c>
      <c r="C6" s="84" t="s">
        <v>389</v>
      </c>
      <c r="D6" s="84" t="s">
        <v>107</v>
      </c>
      <c r="E6" s="84" t="s">
        <v>3</v>
      </c>
      <c r="F6" s="84" t="s">
        <v>4</v>
      </c>
      <c r="G6" s="107" t="s">
        <v>136</v>
      </c>
      <c r="H6" s="107" t="s">
        <v>137</v>
      </c>
      <c r="I6" s="107" t="s">
        <v>133</v>
      </c>
      <c r="J6" s="107" t="s">
        <v>134</v>
      </c>
      <c r="K6" s="107" t="s">
        <v>121</v>
      </c>
      <c r="L6" s="83" t="s">
        <v>5</v>
      </c>
      <c r="M6" s="87" t="s">
        <v>6</v>
      </c>
      <c r="N6" s="87" t="s">
        <v>6</v>
      </c>
      <c r="O6" s="87" t="s">
        <v>6</v>
      </c>
      <c r="P6" s="9"/>
      <c r="Q6" s="91"/>
      <c r="R6" s="97" t="s">
        <v>32</v>
      </c>
      <c r="S6" s="98" t="s">
        <v>33</v>
      </c>
    </row>
    <row r="7" spans="1:20" s="14" customFormat="1" ht="37.5" customHeight="1" x14ac:dyDescent="0.25">
      <c r="B7" s="2" t="s">
        <v>257</v>
      </c>
      <c r="C7" s="236" t="s">
        <v>260</v>
      </c>
      <c r="D7" s="93" t="s">
        <v>258</v>
      </c>
      <c r="E7" s="2" t="s">
        <v>259</v>
      </c>
      <c r="F7" s="2" t="s">
        <v>7</v>
      </c>
      <c r="G7" s="186">
        <v>2.63E-2</v>
      </c>
      <c r="H7" s="186">
        <v>0.1845</v>
      </c>
      <c r="I7" s="187">
        <v>44439</v>
      </c>
      <c r="J7" s="187">
        <v>44454</v>
      </c>
      <c r="K7" s="187">
        <v>44013</v>
      </c>
      <c r="L7" s="188" t="s">
        <v>290</v>
      </c>
      <c r="M7" s="272">
        <v>6889.64</v>
      </c>
      <c r="N7" s="78">
        <v>7118.28</v>
      </c>
      <c r="O7" s="61">
        <f t="shared" ref="O7" si="0">M7+N7</f>
        <v>14007.92</v>
      </c>
      <c r="P7" s="67"/>
      <c r="Q7" s="67">
        <f>6889.64+7118.28</f>
        <v>14007.92</v>
      </c>
      <c r="R7" s="67"/>
      <c r="S7" s="81">
        <f t="shared" ref="S7" si="1">Q7+R7</f>
        <v>14007.92</v>
      </c>
    </row>
    <row r="8" spans="1:20" ht="36" customHeight="1" x14ac:dyDescent="0.25">
      <c r="B8" s="2" t="s">
        <v>128</v>
      </c>
      <c r="C8" s="236" t="s">
        <v>122</v>
      </c>
      <c r="D8" s="93" t="s">
        <v>310</v>
      </c>
      <c r="E8" s="2" t="s">
        <v>309</v>
      </c>
      <c r="F8" s="2" t="s">
        <v>7</v>
      </c>
      <c r="G8" s="186">
        <v>2.63E-2</v>
      </c>
      <c r="H8" s="186">
        <v>0.1845</v>
      </c>
      <c r="I8" s="187">
        <v>44742</v>
      </c>
      <c r="J8" s="187">
        <v>44743</v>
      </c>
      <c r="K8" s="187">
        <v>44378</v>
      </c>
      <c r="L8" s="204" t="s">
        <v>297</v>
      </c>
      <c r="M8" s="67">
        <v>13417.53</v>
      </c>
      <c r="N8" s="67"/>
      <c r="O8" s="67">
        <f>M8+N8</f>
        <v>13417.53</v>
      </c>
      <c r="P8" s="29"/>
      <c r="Q8" s="67">
        <v>13417.53</v>
      </c>
      <c r="R8" s="67"/>
      <c r="S8" s="68">
        <f>Q8+R8</f>
        <v>13417.53</v>
      </c>
    </row>
    <row r="9" spans="1:20" ht="36" customHeight="1" x14ac:dyDescent="0.25">
      <c r="B9" s="330" t="s">
        <v>371</v>
      </c>
      <c r="C9" s="327" t="s">
        <v>373</v>
      </c>
      <c r="D9" s="328" t="s">
        <v>372</v>
      </c>
      <c r="E9" s="29" t="s">
        <v>374</v>
      </c>
      <c r="F9" s="2" t="s">
        <v>7</v>
      </c>
      <c r="G9" s="186">
        <v>2.63E-2</v>
      </c>
      <c r="H9" s="186">
        <v>0.1845</v>
      </c>
      <c r="I9" s="187">
        <v>45199</v>
      </c>
      <c r="J9" s="187">
        <v>45214</v>
      </c>
      <c r="K9" s="187">
        <v>44378</v>
      </c>
      <c r="L9" s="188" t="s">
        <v>325</v>
      </c>
      <c r="M9" s="70">
        <v>4016.61</v>
      </c>
      <c r="N9" s="70"/>
      <c r="O9" s="67">
        <f>M9+N9</f>
        <v>4016.61</v>
      </c>
      <c r="P9" s="42"/>
      <c r="Q9" s="43">
        <v>4016.61</v>
      </c>
      <c r="R9" s="67"/>
      <c r="S9" s="68">
        <f>SUM(Q9:R9)</f>
        <v>4016.61</v>
      </c>
    </row>
    <row r="10" spans="1:20" ht="36" customHeight="1" x14ac:dyDescent="0.25">
      <c r="B10" s="2" t="s">
        <v>223</v>
      </c>
      <c r="C10" s="236" t="s">
        <v>333</v>
      </c>
      <c r="D10" s="93" t="s">
        <v>224</v>
      </c>
      <c r="E10" s="2" t="s">
        <v>225</v>
      </c>
      <c r="F10" s="2" t="s">
        <v>7</v>
      </c>
      <c r="G10" s="186">
        <v>2.63E-2</v>
      </c>
      <c r="H10" s="186">
        <v>0.1845</v>
      </c>
      <c r="I10" s="187">
        <v>44834</v>
      </c>
      <c r="J10" s="187">
        <v>44849</v>
      </c>
      <c r="K10" s="187">
        <v>43614</v>
      </c>
      <c r="L10" s="188" t="s">
        <v>274</v>
      </c>
      <c r="M10" s="67">
        <v>65482.02</v>
      </c>
      <c r="N10" s="67"/>
      <c r="O10" s="67">
        <f>M10+N10</f>
        <v>65482.02</v>
      </c>
      <c r="P10" s="29"/>
      <c r="Q10" s="67">
        <v>65482.02</v>
      </c>
      <c r="R10" s="67"/>
      <c r="S10" s="68">
        <f>Q10+R10</f>
        <v>65482.02</v>
      </c>
    </row>
    <row r="11" spans="1:20" ht="27.75" customHeight="1" x14ac:dyDescent="0.25">
      <c r="B11" s="2" t="s">
        <v>275</v>
      </c>
      <c r="C11" s="236" t="s">
        <v>333</v>
      </c>
      <c r="D11" s="93" t="s">
        <v>224</v>
      </c>
      <c r="E11" s="2" t="s">
        <v>276</v>
      </c>
      <c r="F11" s="2" t="s">
        <v>7</v>
      </c>
      <c r="G11" s="186">
        <v>2.63E-2</v>
      </c>
      <c r="H11" s="186">
        <v>0.1845</v>
      </c>
      <c r="I11" s="297">
        <v>44773</v>
      </c>
      <c r="J11" s="297">
        <v>44788</v>
      </c>
      <c r="K11" s="187">
        <v>43980</v>
      </c>
      <c r="L11" s="188" t="s">
        <v>277</v>
      </c>
      <c r="M11" s="79">
        <v>2920.75</v>
      </c>
      <c r="N11" s="70"/>
      <c r="O11" s="67">
        <f>M11+N11</f>
        <v>2920.75</v>
      </c>
      <c r="P11" s="67"/>
      <c r="Q11" s="67">
        <v>2920.75</v>
      </c>
      <c r="R11" s="67"/>
      <c r="S11" s="68">
        <f>Q11+R11</f>
        <v>2920.75</v>
      </c>
    </row>
    <row r="12" spans="1:20" ht="27.75" customHeight="1" x14ac:dyDescent="0.25">
      <c r="B12" s="2" t="s">
        <v>279</v>
      </c>
      <c r="C12" s="236" t="s">
        <v>333</v>
      </c>
      <c r="D12" s="93" t="s">
        <v>224</v>
      </c>
      <c r="E12" s="2" t="s">
        <v>280</v>
      </c>
      <c r="F12" s="2" t="s">
        <v>7</v>
      </c>
      <c r="G12" s="186">
        <v>2.63E-2</v>
      </c>
      <c r="H12" s="186">
        <v>0.1845</v>
      </c>
      <c r="I12" s="187">
        <v>44592</v>
      </c>
      <c r="J12" s="187">
        <v>44592</v>
      </c>
      <c r="K12" s="187">
        <v>43980</v>
      </c>
      <c r="L12" s="188" t="s">
        <v>332</v>
      </c>
      <c r="M12" s="79">
        <v>3000</v>
      </c>
      <c r="N12" s="67"/>
      <c r="O12" s="67">
        <f t="shared" ref="O12:O20" si="2">M12+N12</f>
        <v>3000</v>
      </c>
      <c r="P12" s="66"/>
      <c r="Q12" s="67"/>
      <c r="R12" s="67"/>
      <c r="S12" s="68">
        <f t="shared" ref="S12:S19" si="3">Q12+R12</f>
        <v>0</v>
      </c>
    </row>
    <row r="13" spans="1:20" ht="27.75" customHeight="1" x14ac:dyDescent="0.25">
      <c r="B13" s="2" t="s">
        <v>281</v>
      </c>
      <c r="C13" s="236" t="s">
        <v>334</v>
      </c>
      <c r="D13" s="93" t="s">
        <v>231</v>
      </c>
      <c r="E13" s="2" t="s">
        <v>282</v>
      </c>
      <c r="F13" s="2" t="s">
        <v>7</v>
      </c>
      <c r="G13" s="186">
        <v>2.63E-2</v>
      </c>
      <c r="H13" s="186">
        <v>0.1845</v>
      </c>
      <c r="I13" s="187">
        <v>44742</v>
      </c>
      <c r="J13" s="187">
        <v>44757</v>
      </c>
      <c r="K13" s="187">
        <v>43979</v>
      </c>
      <c r="L13" s="188" t="s">
        <v>283</v>
      </c>
      <c r="M13" s="79">
        <v>1027</v>
      </c>
      <c r="N13" s="67"/>
      <c r="O13" s="67">
        <f t="shared" si="2"/>
        <v>1027</v>
      </c>
      <c r="P13" s="66"/>
      <c r="Q13" s="67">
        <v>1025</v>
      </c>
      <c r="R13" s="67"/>
      <c r="S13" s="68">
        <f t="shared" si="3"/>
        <v>1025</v>
      </c>
    </row>
    <row r="14" spans="1:20" ht="27.75" customHeight="1" x14ac:dyDescent="0.25">
      <c r="B14" s="2" t="s">
        <v>321</v>
      </c>
      <c r="C14" s="236" t="s">
        <v>333</v>
      </c>
      <c r="D14" s="93" t="s">
        <v>288</v>
      </c>
      <c r="E14" s="2" t="s">
        <v>322</v>
      </c>
      <c r="F14" s="2" t="s">
        <v>7</v>
      </c>
      <c r="G14" s="186">
        <f>G13:H13</f>
        <v>2.63E-2</v>
      </c>
      <c r="H14" s="186">
        <f>H13</f>
        <v>0.1845</v>
      </c>
      <c r="I14" s="187">
        <v>45199</v>
      </c>
      <c r="J14" s="187">
        <v>45214</v>
      </c>
      <c r="K14" s="187">
        <v>44201</v>
      </c>
      <c r="L14" s="188" t="s">
        <v>323</v>
      </c>
      <c r="M14" s="79">
        <v>56995.12</v>
      </c>
      <c r="N14" s="67"/>
      <c r="O14" s="67">
        <f t="shared" si="2"/>
        <v>56995.12</v>
      </c>
      <c r="P14" s="66"/>
      <c r="Q14" s="67"/>
      <c r="R14" s="67"/>
      <c r="S14" s="68">
        <f t="shared" si="3"/>
        <v>0</v>
      </c>
    </row>
    <row r="15" spans="1:20" ht="27.75" customHeight="1" x14ac:dyDescent="0.25">
      <c r="B15" s="2" t="s">
        <v>326</v>
      </c>
      <c r="C15" s="236" t="s">
        <v>333</v>
      </c>
      <c r="D15" s="93" t="s">
        <v>288</v>
      </c>
      <c r="E15" s="2" t="s">
        <v>330</v>
      </c>
      <c r="F15" s="2" t="s">
        <v>7</v>
      </c>
      <c r="G15" s="186">
        <f t="shared" ref="G15:G16" si="4">G14:H14</f>
        <v>2.63E-2</v>
      </c>
      <c r="H15" s="186">
        <f t="shared" ref="H15:H16" si="5">H14</f>
        <v>0.1845</v>
      </c>
      <c r="I15" s="187">
        <v>45199</v>
      </c>
      <c r="J15" s="187">
        <v>45214</v>
      </c>
      <c r="K15" s="187">
        <v>44201</v>
      </c>
      <c r="L15" s="188" t="s">
        <v>323</v>
      </c>
      <c r="M15" s="79">
        <v>14961.22</v>
      </c>
      <c r="N15" s="67"/>
      <c r="O15" s="67">
        <f t="shared" si="2"/>
        <v>14961.22</v>
      </c>
      <c r="P15" s="66"/>
      <c r="Q15" s="67">
        <v>13210</v>
      </c>
      <c r="R15" s="67"/>
      <c r="S15" s="68">
        <f t="shared" si="3"/>
        <v>13210</v>
      </c>
    </row>
    <row r="16" spans="1:20" ht="27.75" customHeight="1" x14ac:dyDescent="0.25">
      <c r="B16" s="2" t="s">
        <v>370</v>
      </c>
      <c r="C16" s="236" t="s">
        <v>333</v>
      </c>
      <c r="D16" s="93" t="s">
        <v>288</v>
      </c>
      <c r="E16" s="2" t="s">
        <v>331</v>
      </c>
      <c r="F16" s="2" t="s">
        <v>7</v>
      </c>
      <c r="G16" s="186">
        <f t="shared" si="4"/>
        <v>2.63E-2</v>
      </c>
      <c r="H16" s="186">
        <f t="shared" si="5"/>
        <v>0.1845</v>
      </c>
      <c r="I16" s="187">
        <v>45199</v>
      </c>
      <c r="J16" s="187">
        <v>45214</v>
      </c>
      <c r="K16" s="187">
        <v>44201</v>
      </c>
      <c r="L16" s="188" t="s">
        <v>325</v>
      </c>
      <c r="M16" s="79">
        <v>70816.44</v>
      </c>
      <c r="N16" s="67"/>
      <c r="O16" s="67">
        <f t="shared" si="2"/>
        <v>70816.44</v>
      </c>
      <c r="P16" s="66"/>
      <c r="Q16" s="67"/>
      <c r="R16" s="67"/>
      <c r="S16" s="68">
        <f t="shared" si="3"/>
        <v>0</v>
      </c>
    </row>
    <row r="17" spans="2:19" ht="27.75" customHeight="1" x14ac:dyDescent="0.25">
      <c r="B17" s="2" t="s">
        <v>287</v>
      </c>
      <c r="C17" s="236" t="s">
        <v>333</v>
      </c>
      <c r="D17" s="93" t="s">
        <v>288</v>
      </c>
      <c r="E17" s="2" t="s">
        <v>289</v>
      </c>
      <c r="F17" s="2" t="s">
        <v>7</v>
      </c>
      <c r="G17" s="186">
        <v>2.63E-2</v>
      </c>
      <c r="H17" s="186">
        <v>0.1845</v>
      </c>
      <c r="I17" s="187">
        <v>45199</v>
      </c>
      <c r="J17" s="187">
        <v>45199</v>
      </c>
      <c r="K17" s="187">
        <v>44201</v>
      </c>
      <c r="L17" s="188" t="s">
        <v>320</v>
      </c>
      <c r="M17" s="79">
        <v>131088.78</v>
      </c>
      <c r="N17" s="67"/>
      <c r="O17" s="67">
        <f t="shared" si="2"/>
        <v>131088.78</v>
      </c>
      <c r="P17" s="66"/>
      <c r="Q17" s="67">
        <f>87030.28+33285.88</f>
        <v>120316.16</v>
      </c>
      <c r="R17" s="67"/>
      <c r="S17" s="68">
        <f t="shared" si="3"/>
        <v>120316.16</v>
      </c>
    </row>
    <row r="18" spans="2:19" ht="27.75" customHeight="1" x14ac:dyDescent="0.25">
      <c r="B18" s="2" t="s">
        <v>352</v>
      </c>
      <c r="C18" s="236" t="s">
        <v>353</v>
      </c>
      <c r="D18" s="93" t="s">
        <v>354</v>
      </c>
      <c r="E18" s="2" t="s">
        <v>355</v>
      </c>
      <c r="F18" s="2" t="s">
        <v>7</v>
      </c>
      <c r="G18" s="186">
        <v>2.63E-2</v>
      </c>
      <c r="H18" s="186">
        <v>0.1845</v>
      </c>
      <c r="I18" s="187">
        <v>45565</v>
      </c>
      <c r="J18" s="187">
        <v>45580</v>
      </c>
      <c r="K18" s="187">
        <v>44279</v>
      </c>
      <c r="L18" s="188" t="s">
        <v>356</v>
      </c>
      <c r="M18" s="79">
        <v>512539.35</v>
      </c>
      <c r="N18" s="67"/>
      <c r="O18" s="67">
        <f t="shared" si="2"/>
        <v>512539.35</v>
      </c>
      <c r="P18" s="66"/>
      <c r="Q18" s="67"/>
      <c r="R18" s="67"/>
      <c r="S18" s="68">
        <f t="shared" si="3"/>
        <v>0</v>
      </c>
    </row>
    <row r="19" spans="2:19" ht="27.75" customHeight="1" x14ac:dyDescent="0.25">
      <c r="B19" s="2" t="s">
        <v>357</v>
      </c>
      <c r="C19" s="236" t="s">
        <v>353</v>
      </c>
      <c r="D19" s="93" t="s">
        <v>354</v>
      </c>
      <c r="E19" s="2" t="s">
        <v>358</v>
      </c>
      <c r="F19" s="2" t="s">
        <v>7</v>
      </c>
      <c r="G19" s="186">
        <v>2.63E-2</v>
      </c>
      <c r="H19" s="186">
        <v>0.1845</v>
      </c>
      <c r="I19" s="187">
        <v>45565</v>
      </c>
      <c r="J19" s="187">
        <v>45580</v>
      </c>
      <c r="K19" s="187">
        <v>44279</v>
      </c>
      <c r="L19" s="188" t="s">
        <v>356</v>
      </c>
      <c r="M19" s="79">
        <v>128134.84</v>
      </c>
      <c r="N19" s="67"/>
      <c r="O19" s="67">
        <f t="shared" si="2"/>
        <v>128134.84</v>
      </c>
      <c r="P19" s="66"/>
      <c r="Q19" s="67"/>
      <c r="R19" s="67"/>
      <c r="S19" s="68">
        <f t="shared" si="3"/>
        <v>0</v>
      </c>
    </row>
    <row r="20" spans="2:19" ht="27.75" customHeight="1" x14ac:dyDescent="0.25">
      <c r="B20" s="2" t="s">
        <v>363</v>
      </c>
      <c r="C20" s="236" t="s">
        <v>333</v>
      </c>
      <c r="D20" s="93" t="s">
        <v>288</v>
      </c>
      <c r="E20" s="2" t="s">
        <v>364</v>
      </c>
      <c r="F20" s="2" t="s">
        <v>7</v>
      </c>
      <c r="G20" s="186">
        <v>2.63E-2</v>
      </c>
      <c r="H20" s="186">
        <v>0.1845</v>
      </c>
      <c r="I20" s="187">
        <v>45199</v>
      </c>
      <c r="J20" s="187">
        <v>45214</v>
      </c>
      <c r="K20" s="187">
        <v>44201</v>
      </c>
      <c r="L20" s="188" t="s">
        <v>365</v>
      </c>
      <c r="M20" s="79">
        <v>1206.3599999999999</v>
      </c>
      <c r="N20" s="67"/>
      <c r="O20" s="67">
        <f t="shared" si="2"/>
        <v>1206.3599999999999</v>
      </c>
      <c r="P20" s="66"/>
      <c r="Q20" s="67"/>
      <c r="R20" s="67"/>
      <c r="S20" s="68"/>
    </row>
    <row r="21" spans="2:19" x14ac:dyDescent="0.25">
      <c r="D21" s="93"/>
      <c r="G21" s="186"/>
      <c r="H21" s="186"/>
      <c r="I21" s="187"/>
      <c r="J21" s="187"/>
      <c r="K21" s="187"/>
      <c r="L21" s="188"/>
      <c r="M21" s="25"/>
      <c r="N21" s="25"/>
      <c r="O21" s="25"/>
      <c r="P21" s="29"/>
      <c r="Q21" s="25"/>
      <c r="R21" s="25"/>
      <c r="S21" s="26"/>
    </row>
    <row r="22" spans="2:19" ht="24.75" customHeight="1" x14ac:dyDescent="0.25">
      <c r="C22" s="92"/>
      <c r="D22" s="92"/>
      <c r="G22" s="123"/>
      <c r="H22" s="124"/>
      <c r="I22" s="116"/>
      <c r="J22" s="116"/>
      <c r="K22" s="116"/>
      <c r="L22" s="21" t="s">
        <v>38</v>
      </c>
      <c r="M22" s="66">
        <f>SUM(M7:M21)</f>
        <v>1012495.6599999999</v>
      </c>
      <c r="N22" s="66">
        <f>SUM(N7:N21)</f>
        <v>7118.28</v>
      </c>
      <c r="O22" s="66">
        <f>SUM(O7:O21)</f>
        <v>1019613.94</v>
      </c>
      <c r="P22" s="66"/>
      <c r="Q22" s="66">
        <f>SUM(Q7:Q21)</f>
        <v>234395.99</v>
      </c>
      <c r="R22" s="66">
        <f>SUM(R7:R21)</f>
        <v>0</v>
      </c>
      <c r="S22" s="23">
        <f>SUM(S7:S21)</f>
        <v>234395.99</v>
      </c>
    </row>
    <row r="23" spans="2:19" x14ac:dyDescent="0.25">
      <c r="B23" s="29"/>
      <c r="C23" s="92"/>
      <c r="D23" s="92"/>
      <c r="I23" s="116"/>
      <c r="J23" s="116"/>
      <c r="K23" s="116"/>
      <c r="L23" s="5"/>
      <c r="M23" s="66"/>
      <c r="N23" s="66"/>
      <c r="O23" s="66"/>
      <c r="Q23" s="66"/>
      <c r="R23" s="66"/>
      <c r="S23" s="68"/>
    </row>
    <row r="24" spans="2:19" x14ac:dyDescent="0.25">
      <c r="B24" s="29"/>
      <c r="C24" s="92"/>
      <c r="D24" s="92"/>
      <c r="I24" s="116"/>
      <c r="J24" s="116"/>
      <c r="K24" s="116"/>
      <c r="L24" s="5"/>
      <c r="M24" s="66"/>
      <c r="N24" s="66"/>
      <c r="O24" s="66"/>
      <c r="Q24" s="66"/>
      <c r="R24" s="66"/>
      <c r="S24" s="68"/>
    </row>
    <row r="25" spans="2:19" x14ac:dyDescent="0.25">
      <c r="B25" s="8" t="s">
        <v>125</v>
      </c>
      <c r="C25" s="92"/>
      <c r="D25" s="92"/>
      <c r="L25" s="5"/>
      <c r="M25" s="66"/>
      <c r="N25" s="66"/>
      <c r="O25" s="66"/>
      <c r="P25" s="29"/>
      <c r="Q25" s="66"/>
      <c r="R25" s="66"/>
      <c r="S25" s="68"/>
    </row>
    <row r="26" spans="2:19" ht="28.5" customHeight="1" x14ac:dyDescent="0.25">
      <c r="B26" s="341" t="s">
        <v>126</v>
      </c>
      <c r="C26" s="341"/>
      <c r="D26" s="341"/>
      <c r="E26" s="341"/>
      <c r="F26" s="341"/>
      <c r="G26" s="117"/>
      <c r="H26" s="117"/>
      <c r="I26" s="111"/>
      <c r="L26" s="5"/>
      <c r="M26" s="66"/>
      <c r="N26" s="66"/>
      <c r="O26" s="66"/>
      <c r="P26" s="29"/>
      <c r="Q26" s="66"/>
      <c r="R26" s="66"/>
      <c r="S26" s="68"/>
    </row>
    <row r="27" spans="2:19" x14ac:dyDescent="0.25">
      <c r="C27" s="92"/>
      <c r="D27" s="92"/>
      <c r="L27" s="5"/>
      <c r="M27" s="66"/>
      <c r="N27" s="66"/>
      <c r="O27" s="66"/>
      <c r="P27" s="29"/>
      <c r="Q27" s="66"/>
      <c r="R27" s="66"/>
      <c r="S27" s="68"/>
    </row>
    <row r="28" spans="2:19" ht="49.5" customHeight="1" x14ac:dyDescent="0.25">
      <c r="B28" s="341" t="s">
        <v>129</v>
      </c>
      <c r="C28" s="341"/>
      <c r="D28" s="341"/>
      <c r="E28" s="341"/>
      <c r="F28" s="341"/>
      <c r="G28" s="117"/>
      <c r="H28" s="117"/>
      <c r="I28" s="111"/>
      <c r="L28" s="5"/>
      <c r="M28" s="66"/>
      <c r="N28" s="66"/>
      <c r="O28" s="66"/>
      <c r="P28" s="29"/>
      <c r="Q28" s="66"/>
      <c r="R28" s="66"/>
      <c r="S28" s="68"/>
    </row>
    <row r="29" spans="2:19" x14ac:dyDescent="0.25">
      <c r="B29" s="193"/>
      <c r="C29" s="193"/>
      <c r="D29" s="193"/>
      <c r="E29" s="193"/>
      <c r="F29" s="193"/>
      <c r="G29" s="193"/>
      <c r="H29" s="193"/>
      <c r="I29" s="193"/>
      <c r="L29" s="5"/>
      <c r="M29" s="66"/>
      <c r="N29" s="66"/>
      <c r="O29" s="66"/>
      <c r="P29" s="29"/>
      <c r="Q29" s="66"/>
      <c r="R29" s="66"/>
      <c r="S29" s="68"/>
    </row>
    <row r="30" spans="2:19" ht="31.5" customHeight="1" x14ac:dyDescent="0.25">
      <c r="B30" s="341" t="s">
        <v>160</v>
      </c>
      <c r="C30" s="341"/>
      <c r="D30" s="341"/>
      <c r="E30" s="341"/>
      <c r="F30" s="341"/>
      <c r="G30" s="193"/>
      <c r="H30" s="193"/>
      <c r="I30" s="193"/>
      <c r="L30" s="5"/>
      <c r="M30" s="66"/>
      <c r="N30" s="66"/>
      <c r="O30" s="66"/>
      <c r="P30" s="29"/>
      <c r="Q30" s="66"/>
      <c r="R30" s="66"/>
      <c r="S30" s="68"/>
    </row>
    <row r="31" spans="2:19" ht="15" customHeight="1" x14ac:dyDescent="0.25">
      <c r="B31" s="347" t="s">
        <v>159</v>
      </c>
      <c r="C31" s="341"/>
      <c r="D31" s="341"/>
      <c r="E31" s="341"/>
      <c r="F31" s="341"/>
      <c r="G31" s="193"/>
      <c r="H31" s="193"/>
      <c r="I31" s="193"/>
      <c r="L31" s="5"/>
      <c r="M31" s="66"/>
      <c r="N31" s="66"/>
      <c r="O31" s="66"/>
      <c r="P31" s="29"/>
      <c r="Q31" s="66"/>
      <c r="R31" s="66"/>
      <c r="S31" s="68"/>
    </row>
    <row r="32" spans="2:19" ht="15" customHeight="1" x14ac:dyDescent="0.25">
      <c r="B32" s="195"/>
      <c r="C32" s="195"/>
      <c r="D32" s="195"/>
      <c r="E32" s="195"/>
      <c r="F32" s="195"/>
      <c r="G32" s="195"/>
      <c r="H32" s="195"/>
      <c r="I32" s="195"/>
      <c r="L32" s="5"/>
      <c r="M32" s="66"/>
      <c r="N32" s="66"/>
      <c r="O32" s="66"/>
      <c r="P32" s="29"/>
      <c r="Q32" s="66"/>
      <c r="R32" s="66"/>
      <c r="S32" s="68"/>
    </row>
    <row r="33" spans="2:20" x14ac:dyDescent="0.25">
      <c r="B33" s="108"/>
      <c r="C33" s="108"/>
      <c r="D33" s="108"/>
      <c r="E33" s="108"/>
      <c r="F33" s="108"/>
      <c r="G33" s="117"/>
      <c r="H33" s="117"/>
      <c r="I33" s="111"/>
      <c r="L33" s="5"/>
      <c r="M33" s="66"/>
      <c r="N33" s="66"/>
      <c r="O33" s="66"/>
      <c r="P33" s="29"/>
      <c r="Q33" s="66"/>
      <c r="R33" s="66"/>
      <c r="S33" s="68"/>
    </row>
    <row r="34" spans="2:20" x14ac:dyDescent="0.25">
      <c r="B34" s="7" t="s">
        <v>109</v>
      </c>
      <c r="C34" s="101" t="s">
        <v>112</v>
      </c>
      <c r="D34" s="101" t="s">
        <v>113</v>
      </c>
      <c r="E34" s="108"/>
      <c r="F34" s="108"/>
      <c r="G34" s="117"/>
      <c r="H34" s="117"/>
      <c r="I34" s="111"/>
      <c r="L34" s="5"/>
      <c r="M34" s="66"/>
      <c r="N34" s="66"/>
      <c r="O34" s="66"/>
      <c r="P34" s="29"/>
      <c r="Q34" s="66"/>
      <c r="R34" s="66"/>
      <c r="S34" s="68"/>
    </row>
    <row r="35" spans="2:20" x14ac:dyDescent="0.25">
      <c r="B35" s="2" t="s">
        <v>262</v>
      </c>
      <c r="C35" s="92" t="s">
        <v>180</v>
      </c>
      <c r="D35" s="92" t="s">
        <v>181</v>
      </c>
      <c r="E35" s="318"/>
      <c r="F35" s="318"/>
      <c r="G35" s="318"/>
      <c r="H35" s="318"/>
      <c r="I35" s="318"/>
      <c r="L35" s="5"/>
      <c r="M35" s="66"/>
      <c r="N35" s="66"/>
      <c r="O35" s="66"/>
      <c r="P35" s="29"/>
      <c r="Q35" s="66"/>
      <c r="R35" s="66"/>
      <c r="S35" s="68"/>
    </row>
    <row r="36" spans="2:20" x14ac:dyDescent="0.25">
      <c r="B36" s="103" t="s">
        <v>111</v>
      </c>
      <c r="C36" s="92" t="s">
        <v>300</v>
      </c>
      <c r="D36" s="92" t="s">
        <v>303</v>
      </c>
      <c r="L36" s="5"/>
      <c r="M36" s="66"/>
      <c r="N36" s="66"/>
      <c r="O36" s="66"/>
      <c r="P36" s="29"/>
      <c r="Q36" s="66"/>
      <c r="R36" s="66"/>
      <c r="S36" s="68"/>
    </row>
    <row r="37" spans="2:20" ht="15" customHeight="1" x14ac:dyDescent="0.25">
      <c r="B37" s="2" t="s">
        <v>230</v>
      </c>
      <c r="C37" s="92" t="s">
        <v>135</v>
      </c>
      <c r="D37" s="92" t="s">
        <v>147</v>
      </c>
      <c r="L37" s="5"/>
      <c r="M37" s="66"/>
      <c r="N37" s="66"/>
      <c r="O37" s="66"/>
      <c r="P37" s="29"/>
      <c r="Q37" s="66"/>
      <c r="R37" s="66"/>
      <c r="S37" s="68"/>
    </row>
    <row r="38" spans="2:20" ht="15" customHeight="1" x14ac:dyDescent="0.25">
      <c r="B38" s="2" t="s">
        <v>275</v>
      </c>
      <c r="C38" s="92" t="s">
        <v>135</v>
      </c>
      <c r="D38" s="92" t="s">
        <v>147</v>
      </c>
      <c r="L38" s="5"/>
      <c r="M38" s="66"/>
      <c r="N38" s="66"/>
      <c r="O38" s="66"/>
      <c r="P38" s="29"/>
      <c r="Q38" s="66"/>
      <c r="R38" s="66"/>
      <c r="S38" s="68"/>
    </row>
    <row r="39" spans="2:20" ht="15" customHeight="1" x14ac:dyDescent="0.25">
      <c r="B39" s="2" t="s">
        <v>279</v>
      </c>
      <c r="C39" s="92" t="s">
        <v>135</v>
      </c>
      <c r="D39" s="92" t="s">
        <v>147</v>
      </c>
      <c r="L39" s="5"/>
      <c r="M39" s="66"/>
      <c r="N39" s="66"/>
      <c r="O39" s="66"/>
      <c r="P39" s="29"/>
      <c r="Q39" s="66"/>
      <c r="R39" s="66"/>
      <c r="S39" s="68"/>
    </row>
    <row r="40" spans="2:20" ht="15" customHeight="1" x14ac:dyDescent="0.25">
      <c r="B40" s="2" t="s">
        <v>281</v>
      </c>
      <c r="C40" s="92" t="s">
        <v>135</v>
      </c>
      <c r="D40" s="92" t="s">
        <v>147</v>
      </c>
      <c r="L40" s="5"/>
      <c r="M40" s="66"/>
      <c r="N40" s="66"/>
      <c r="O40" s="66"/>
      <c r="P40" s="29"/>
      <c r="Q40" s="66"/>
      <c r="R40" s="66"/>
      <c r="S40" s="68"/>
    </row>
    <row r="41" spans="2:20" ht="15" customHeight="1" x14ac:dyDescent="0.25">
      <c r="B41" s="2" t="s">
        <v>286</v>
      </c>
      <c r="C41" s="92" t="s">
        <v>135</v>
      </c>
      <c r="D41" s="92" t="s">
        <v>147</v>
      </c>
      <c r="L41" s="5"/>
      <c r="M41" s="66"/>
      <c r="N41" s="66"/>
      <c r="O41" s="66"/>
      <c r="P41" s="29"/>
      <c r="Q41" s="66"/>
      <c r="R41" s="66"/>
      <c r="S41" s="68"/>
    </row>
    <row r="42" spans="2:20" ht="15" customHeight="1" x14ac:dyDescent="0.25">
      <c r="C42" s="92"/>
      <c r="D42" s="92"/>
      <c r="L42" s="5"/>
      <c r="M42" s="66"/>
      <c r="N42" s="66"/>
      <c r="O42" s="66"/>
      <c r="P42" s="29"/>
      <c r="Q42" s="66"/>
      <c r="R42" s="66"/>
      <c r="S42" s="68"/>
    </row>
    <row r="43" spans="2:20" x14ac:dyDescent="0.25">
      <c r="B43" s="348" t="s">
        <v>298</v>
      </c>
      <c r="C43" s="336"/>
      <c r="D43" s="336"/>
      <c r="E43" s="336"/>
      <c r="F43" s="336"/>
      <c r="G43" s="336"/>
      <c r="H43" s="336"/>
      <c r="L43" s="5"/>
      <c r="M43" s="66"/>
      <c r="N43" s="66"/>
      <c r="O43" s="66"/>
      <c r="P43" s="29"/>
      <c r="Q43" s="66"/>
      <c r="R43" s="66"/>
      <c r="S43" s="68"/>
    </row>
    <row r="44" spans="2:20" x14ac:dyDescent="0.25">
      <c r="B44" s="242" t="s">
        <v>299</v>
      </c>
      <c r="C44" s="92"/>
      <c r="D44" s="92"/>
      <c r="L44" s="5"/>
      <c r="M44" s="66"/>
      <c r="N44" s="66"/>
      <c r="O44" s="66"/>
      <c r="P44" s="29"/>
      <c r="Q44" s="66"/>
      <c r="R44" s="66"/>
      <c r="S44" s="68"/>
    </row>
    <row r="45" spans="2:20" ht="15" customHeight="1" x14ac:dyDescent="0.25">
      <c r="B45" s="10"/>
      <c r="C45" s="94"/>
      <c r="D45" s="94"/>
      <c r="E45" s="10"/>
      <c r="F45" s="10"/>
      <c r="G45" s="10"/>
      <c r="H45" s="10"/>
      <c r="I45" s="10"/>
      <c r="J45" s="10"/>
      <c r="K45" s="10"/>
      <c r="L45" s="10"/>
      <c r="M45" s="10"/>
      <c r="N45" s="10"/>
      <c r="O45" s="10"/>
      <c r="P45" s="10"/>
      <c r="Q45" s="10"/>
      <c r="R45" s="10"/>
      <c r="S45" s="28"/>
    </row>
    <row r="46" spans="2:20" ht="15" customHeight="1" x14ac:dyDescent="0.25">
      <c r="Q46" s="59" t="s">
        <v>90</v>
      </c>
      <c r="R46" s="50"/>
      <c r="S46" s="164"/>
    </row>
    <row r="47" spans="2:20" ht="15" customHeight="1" x14ac:dyDescent="0.25">
      <c r="B47" s="17" t="s">
        <v>39</v>
      </c>
      <c r="C47" s="96" t="s">
        <v>2</v>
      </c>
      <c r="D47" s="96"/>
      <c r="E47" s="96" t="s">
        <v>34</v>
      </c>
      <c r="F47" s="96" t="s">
        <v>35</v>
      </c>
      <c r="G47" s="120"/>
      <c r="H47" s="120"/>
      <c r="I47" s="114"/>
      <c r="J47" s="96"/>
      <c r="K47" s="96"/>
      <c r="L47" s="96" t="s">
        <v>36</v>
      </c>
      <c r="M47" s="96" t="s">
        <v>37</v>
      </c>
      <c r="N47" s="47"/>
      <c r="O47" s="47"/>
      <c r="P47" s="47"/>
      <c r="Q47" s="54" t="s">
        <v>88</v>
      </c>
      <c r="R47" s="52"/>
      <c r="S47" s="53"/>
      <c r="T47" s="51"/>
    </row>
    <row r="48" spans="2:20" x14ac:dyDescent="0.25">
      <c r="B48" s="63"/>
      <c r="C48" s="9"/>
      <c r="D48" s="9"/>
      <c r="E48" s="9"/>
      <c r="F48" s="9"/>
      <c r="G48" s="9"/>
      <c r="H48" s="9"/>
      <c r="I48" s="9"/>
      <c r="J48" s="9"/>
      <c r="K48" s="9"/>
      <c r="L48" s="9"/>
      <c r="M48" s="9"/>
      <c r="N48" s="45"/>
      <c r="O48" s="45"/>
      <c r="P48" s="45"/>
      <c r="Q48" s="59"/>
      <c r="R48" s="50"/>
      <c r="S48" s="50"/>
      <c r="T48" s="51"/>
    </row>
    <row r="49" spans="2:20" x14ac:dyDescent="0.25">
      <c r="B49" s="63"/>
      <c r="C49" s="9"/>
      <c r="D49" s="9"/>
      <c r="E49" s="9"/>
      <c r="F49" s="9"/>
      <c r="G49" s="9"/>
      <c r="H49" s="9"/>
      <c r="I49" s="9"/>
      <c r="J49" s="9"/>
      <c r="K49" s="9"/>
      <c r="L49" s="9"/>
      <c r="M49" s="9"/>
      <c r="N49" s="45"/>
      <c r="O49" s="45"/>
      <c r="P49" s="45"/>
      <c r="R49" s="51"/>
      <c r="S49" s="51"/>
      <c r="T49" s="51"/>
    </row>
    <row r="50" spans="2:20" x14ac:dyDescent="0.25">
      <c r="B50" s="63"/>
      <c r="C50" s="148"/>
      <c r="D50" s="148"/>
      <c r="E50" s="148"/>
      <c r="F50" s="148"/>
      <c r="G50" s="148"/>
      <c r="H50" s="148"/>
      <c r="I50" s="148"/>
      <c r="J50" s="148"/>
      <c r="K50" s="148"/>
      <c r="L50" s="148"/>
      <c r="M50" s="148"/>
      <c r="N50" s="45"/>
      <c r="O50" s="45"/>
      <c r="P50" s="45"/>
      <c r="R50" s="51"/>
      <c r="S50" s="51"/>
      <c r="T50" s="51"/>
    </row>
    <row r="51" spans="2:20" x14ac:dyDescent="0.25">
      <c r="B51" s="63"/>
      <c r="C51" s="148"/>
      <c r="D51" s="148"/>
      <c r="E51" s="148"/>
      <c r="F51" s="148"/>
      <c r="G51" s="148"/>
      <c r="H51" s="148"/>
      <c r="I51" s="148"/>
      <c r="J51" s="148"/>
      <c r="K51" s="148"/>
      <c r="L51" s="148"/>
      <c r="M51" s="148"/>
      <c r="N51" s="45"/>
      <c r="O51" s="45"/>
      <c r="P51" s="45"/>
      <c r="R51" s="51"/>
      <c r="S51" s="51"/>
      <c r="T51" s="51"/>
    </row>
    <row r="52" spans="2:20" x14ac:dyDescent="0.25">
      <c r="B52" s="63"/>
      <c r="C52" s="148"/>
      <c r="D52" s="148"/>
      <c r="E52" s="148"/>
      <c r="F52" s="148"/>
      <c r="G52" s="148"/>
      <c r="H52" s="148"/>
      <c r="I52" s="148"/>
      <c r="J52" s="148"/>
      <c r="K52" s="148"/>
      <c r="L52" s="148"/>
      <c r="M52" s="148"/>
      <c r="N52" s="45"/>
      <c r="O52" s="45"/>
      <c r="P52" s="45"/>
      <c r="R52" s="51"/>
      <c r="S52" s="51"/>
      <c r="T52" s="51"/>
    </row>
    <row r="53" spans="2:20" x14ac:dyDescent="0.25">
      <c r="C53" s="13"/>
      <c r="D53" s="13"/>
      <c r="E53" s="14"/>
      <c r="F53" s="69"/>
      <c r="G53" s="69"/>
      <c r="H53" s="69"/>
      <c r="I53" s="69"/>
      <c r="J53" s="69"/>
      <c r="K53" s="69"/>
      <c r="L53" s="33"/>
      <c r="M53" s="31"/>
      <c r="Q53" s="51"/>
      <c r="R53" s="51"/>
      <c r="S53" s="51"/>
      <c r="T53" s="51"/>
    </row>
    <row r="54" spans="2:20" x14ac:dyDescent="0.25">
      <c r="C54" s="13"/>
      <c r="D54" s="13"/>
      <c r="E54" s="14"/>
      <c r="F54" s="69"/>
      <c r="G54" s="69"/>
      <c r="H54" s="69"/>
      <c r="I54" s="69"/>
      <c r="J54" s="69"/>
      <c r="K54" s="69"/>
      <c r="L54" s="33"/>
      <c r="M54" s="31"/>
      <c r="Q54" s="51"/>
      <c r="R54" s="51"/>
      <c r="S54" s="51"/>
      <c r="T54" s="51"/>
    </row>
    <row r="55" spans="2:20" x14ac:dyDescent="0.25">
      <c r="Q55" s="309" t="s">
        <v>316</v>
      </c>
      <c r="R55" s="309"/>
      <c r="S55" s="310">
        <f>S22</f>
        <v>234395.99</v>
      </c>
    </row>
  </sheetData>
  <mergeCells count="7">
    <mergeCell ref="B43:H43"/>
    <mergeCell ref="B31:F31"/>
    <mergeCell ref="Q2:S2"/>
    <mergeCell ref="Q1:S1"/>
    <mergeCell ref="B26:F26"/>
    <mergeCell ref="B28:F28"/>
    <mergeCell ref="B30:F30"/>
  </mergeCells>
  <hyperlinks>
    <hyperlink ref="B31" r:id="rId1"/>
  </hyperlinks>
  <printOptions horizontalCentered="1" gridLines="1"/>
  <pageMargins left="0" right="0" top="0.75" bottom="0.75" header="0.3" footer="0.3"/>
  <pageSetup scale="54" orientation="landscape" horizontalDpi="1200" verticalDpi="1200"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2"/>
  <sheetViews>
    <sheetView topLeftCell="C3" zoomScale="90" zoomScaleNormal="90" workbookViewId="0">
      <selection activeCell="R14" sqref="R14"/>
    </sheetView>
  </sheetViews>
  <sheetFormatPr defaultColWidth="9.140625" defaultRowHeight="15" x14ac:dyDescent="0.25"/>
  <cols>
    <col min="1" max="1" width="9.140625" style="2" hidden="1" customWidth="1"/>
    <col min="2" max="2" width="58.7109375" style="2" customWidth="1"/>
    <col min="3" max="3" width="26.7109375" style="2" customWidth="1"/>
    <col min="4" max="4" width="13.7109375" style="2" customWidth="1"/>
    <col min="5" max="5" width="17.85546875" style="2" customWidth="1"/>
    <col min="6" max="6" width="21.7109375" style="2" bestFit="1" customWidth="1"/>
    <col min="7" max="7" width="10.28515625" style="2" customWidth="1"/>
    <col min="8" max="8" width="12.85546875" style="2" customWidth="1"/>
    <col min="9" max="9" width="13.42578125" style="2" customWidth="1"/>
    <col min="10" max="10" width="15.7109375" style="2" customWidth="1"/>
    <col min="11" max="11" width="8.85546875" style="2" customWidth="1"/>
    <col min="12" max="12" width="18"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6.7109375" style="2" customWidth="1"/>
    <col min="20" max="16384" width="9.140625" style="2"/>
  </cols>
  <sheetData>
    <row r="1" spans="1:20" ht="18" customHeight="1" x14ac:dyDescent="0.25">
      <c r="B1" s="1" t="s">
        <v>213</v>
      </c>
      <c r="Q1" s="338" t="s">
        <v>296</v>
      </c>
      <c r="R1" s="338"/>
      <c r="S1" s="338"/>
    </row>
    <row r="2" spans="1:20" ht="18" customHeight="1" x14ac:dyDescent="0.25">
      <c r="B2" s="88" t="s">
        <v>148</v>
      </c>
      <c r="C2" s="182">
        <v>44742</v>
      </c>
      <c r="M2" s="71"/>
      <c r="N2" s="71"/>
      <c r="P2" s="29"/>
      <c r="Q2" s="337" t="s">
        <v>375</v>
      </c>
      <c r="R2" s="337"/>
      <c r="S2" s="337"/>
    </row>
    <row r="3" spans="1:20" ht="18" customHeight="1" thickBot="1" x14ac:dyDescent="0.3">
      <c r="A3" s="2" t="s">
        <v>16</v>
      </c>
      <c r="B3" s="44" t="s">
        <v>62</v>
      </c>
      <c r="C3" s="8"/>
      <c r="D3" s="8"/>
      <c r="E3" s="8"/>
      <c r="P3" s="29"/>
      <c r="Q3" s="45"/>
      <c r="R3" s="30"/>
    </row>
    <row r="4" spans="1:20" ht="18.75" customHeight="1" x14ac:dyDescent="0.25">
      <c r="B4" s="8" t="s">
        <v>174</v>
      </c>
      <c r="M4" s="85" t="s">
        <v>28</v>
      </c>
      <c r="N4" s="85" t="s">
        <v>28</v>
      </c>
      <c r="O4" s="85" t="s">
        <v>28</v>
      </c>
      <c r="P4" s="9"/>
      <c r="Q4" s="89" t="s">
        <v>29</v>
      </c>
      <c r="R4" s="89" t="s">
        <v>31</v>
      </c>
      <c r="S4" s="89" t="s">
        <v>23</v>
      </c>
      <c r="T4" s="7"/>
    </row>
    <row r="5" spans="1:20" ht="15.75" thickBot="1" x14ac:dyDescent="0.3">
      <c r="G5" s="183" t="s">
        <v>295</v>
      </c>
      <c r="H5" s="183" t="s">
        <v>295</v>
      </c>
      <c r="M5" s="86" t="s">
        <v>27</v>
      </c>
      <c r="N5" s="86" t="s">
        <v>26</v>
      </c>
      <c r="O5" s="86" t="s">
        <v>25</v>
      </c>
      <c r="P5" s="9"/>
      <c r="Q5" s="90" t="s">
        <v>30</v>
      </c>
      <c r="R5" s="90" t="s">
        <v>30</v>
      </c>
      <c r="S5" s="90" t="s">
        <v>30</v>
      </c>
      <c r="T5" s="7"/>
    </row>
    <row r="6" spans="1:20" ht="85.5" customHeight="1" thickBot="1" x14ac:dyDescent="0.3">
      <c r="B6" s="84" t="s">
        <v>1</v>
      </c>
      <c r="C6" s="84" t="s">
        <v>389</v>
      </c>
      <c r="D6" s="84" t="s">
        <v>107</v>
      </c>
      <c r="E6" s="84" t="s">
        <v>3</v>
      </c>
      <c r="F6" s="84" t="s">
        <v>4</v>
      </c>
      <c r="G6" s="107" t="s">
        <v>136</v>
      </c>
      <c r="H6" s="107" t="s">
        <v>137</v>
      </c>
      <c r="I6" s="107" t="s">
        <v>133</v>
      </c>
      <c r="J6" s="107" t="s">
        <v>134</v>
      </c>
      <c r="K6" s="107" t="s">
        <v>121</v>
      </c>
      <c r="L6" s="83" t="s">
        <v>5</v>
      </c>
      <c r="M6" s="87" t="s">
        <v>6</v>
      </c>
      <c r="N6" s="87" t="s">
        <v>6</v>
      </c>
      <c r="O6" s="87" t="s">
        <v>6</v>
      </c>
      <c r="P6" s="9"/>
      <c r="Q6" s="91"/>
      <c r="R6" s="97" t="s">
        <v>32</v>
      </c>
      <c r="S6" s="98" t="s">
        <v>33</v>
      </c>
    </row>
    <row r="7" spans="1:20" ht="46.5" customHeight="1" x14ac:dyDescent="0.25">
      <c r="B7" s="2" t="s">
        <v>8</v>
      </c>
      <c r="C7" s="92" t="s">
        <v>106</v>
      </c>
      <c r="D7" s="92" t="s">
        <v>306</v>
      </c>
      <c r="E7" s="2" t="s">
        <v>307</v>
      </c>
      <c r="F7" s="2" t="s">
        <v>7</v>
      </c>
      <c r="G7" s="186">
        <v>2.63E-2</v>
      </c>
      <c r="H7" s="186">
        <v>0.1845</v>
      </c>
      <c r="I7" s="187">
        <v>44742</v>
      </c>
      <c r="J7" s="187">
        <v>44743</v>
      </c>
      <c r="K7" s="187">
        <v>44378</v>
      </c>
      <c r="L7" s="188" t="s">
        <v>297</v>
      </c>
      <c r="M7" s="67">
        <v>50339.5</v>
      </c>
      <c r="N7" s="67"/>
      <c r="O7" s="67">
        <f>M7+N7</f>
        <v>50339.5</v>
      </c>
      <c r="P7" s="29"/>
      <c r="Q7" s="67">
        <f>5584.68+2595.6+14248.89</f>
        <v>22429.17</v>
      </c>
      <c r="R7" s="67"/>
      <c r="S7" s="68">
        <f>Q7+R7</f>
        <v>22429.17</v>
      </c>
    </row>
    <row r="8" spans="1:20" ht="36" customHeight="1" x14ac:dyDescent="0.25">
      <c r="B8" s="2" t="s">
        <v>128</v>
      </c>
      <c r="C8" s="225" t="s">
        <v>122</v>
      </c>
      <c r="D8" s="93" t="s">
        <v>310</v>
      </c>
      <c r="E8" s="2" t="s">
        <v>309</v>
      </c>
      <c r="F8" s="2" t="s">
        <v>7</v>
      </c>
      <c r="G8" s="186">
        <v>2.63E-2</v>
      </c>
      <c r="H8" s="186">
        <v>0.1845</v>
      </c>
      <c r="I8" s="187">
        <v>44742</v>
      </c>
      <c r="J8" s="187">
        <v>44743</v>
      </c>
      <c r="K8" s="187">
        <v>44378</v>
      </c>
      <c r="L8" s="204" t="s">
        <v>297</v>
      </c>
      <c r="M8" s="67">
        <v>13538.6</v>
      </c>
      <c r="N8" s="67"/>
      <c r="O8" s="67">
        <f>M8+N8</f>
        <v>13538.6</v>
      </c>
      <c r="P8" s="29"/>
      <c r="Q8" s="67">
        <v>13538.6</v>
      </c>
      <c r="R8" s="67"/>
      <c r="S8" s="68">
        <f>Q8+R8</f>
        <v>13538.6</v>
      </c>
    </row>
    <row r="9" spans="1:20" ht="36" customHeight="1" x14ac:dyDescent="0.25">
      <c r="B9" s="2" t="s">
        <v>223</v>
      </c>
      <c r="C9" s="236" t="s">
        <v>333</v>
      </c>
      <c r="D9" s="93" t="s">
        <v>224</v>
      </c>
      <c r="E9" s="2" t="s">
        <v>225</v>
      </c>
      <c r="F9" s="2" t="s">
        <v>7</v>
      </c>
      <c r="G9" s="186">
        <v>2.63E-2</v>
      </c>
      <c r="H9" s="186">
        <v>0.1845</v>
      </c>
      <c r="I9" s="187">
        <v>44834</v>
      </c>
      <c r="J9" s="187">
        <v>44849</v>
      </c>
      <c r="K9" s="187">
        <v>43614</v>
      </c>
      <c r="L9" s="188" t="s">
        <v>274</v>
      </c>
      <c r="M9" s="67">
        <v>76289.990000000005</v>
      </c>
      <c r="N9" s="67"/>
      <c r="O9" s="67">
        <f>M9+N9</f>
        <v>76289.990000000005</v>
      </c>
      <c r="P9" s="29"/>
      <c r="Q9" s="67"/>
      <c r="R9" s="67"/>
      <c r="S9" s="68">
        <f>Q9+R9</f>
        <v>0</v>
      </c>
    </row>
    <row r="10" spans="1:20" ht="28.5" customHeight="1" x14ac:dyDescent="0.25">
      <c r="B10" s="2" t="s">
        <v>279</v>
      </c>
      <c r="C10" s="236" t="s">
        <v>333</v>
      </c>
      <c r="D10" s="93" t="s">
        <v>224</v>
      </c>
      <c r="E10" s="2" t="s">
        <v>280</v>
      </c>
      <c r="F10" s="2" t="s">
        <v>7</v>
      </c>
      <c r="G10" s="186">
        <v>2.63E-2</v>
      </c>
      <c r="H10" s="186">
        <v>0.1845</v>
      </c>
      <c r="I10" s="187">
        <v>44592</v>
      </c>
      <c r="J10" s="187">
        <v>44592</v>
      </c>
      <c r="K10" s="187">
        <v>43980</v>
      </c>
      <c r="L10" s="188" t="s">
        <v>332</v>
      </c>
      <c r="M10" s="79">
        <v>3000</v>
      </c>
      <c r="N10" s="67"/>
      <c r="O10" s="67">
        <f t="shared" ref="O10:O18" si="0">M10+N10</f>
        <v>3000</v>
      </c>
      <c r="P10" s="66"/>
      <c r="Q10" s="67"/>
      <c r="R10" s="67"/>
      <c r="S10" s="68">
        <f t="shared" ref="S10:S18" si="1">Q10+R10</f>
        <v>0</v>
      </c>
    </row>
    <row r="11" spans="1:20" ht="28.5" customHeight="1" x14ac:dyDescent="0.25">
      <c r="B11" s="2" t="s">
        <v>281</v>
      </c>
      <c r="C11" s="236" t="s">
        <v>334</v>
      </c>
      <c r="D11" s="93" t="s">
        <v>231</v>
      </c>
      <c r="E11" s="2" t="s">
        <v>282</v>
      </c>
      <c r="F11" s="2" t="s">
        <v>7</v>
      </c>
      <c r="G11" s="186">
        <v>2.63E-2</v>
      </c>
      <c r="H11" s="186">
        <v>0.1845</v>
      </c>
      <c r="I11" s="187">
        <v>44742</v>
      </c>
      <c r="J11" s="187">
        <v>44757</v>
      </c>
      <c r="K11" s="187">
        <v>43979</v>
      </c>
      <c r="L11" s="188" t="s">
        <v>283</v>
      </c>
      <c r="M11" s="79">
        <v>1027</v>
      </c>
      <c r="N11" s="67"/>
      <c r="O11" s="67">
        <f t="shared" si="0"/>
        <v>1027</v>
      </c>
      <c r="P11" s="66"/>
      <c r="Q11" s="67"/>
      <c r="R11" s="67"/>
      <c r="S11" s="68">
        <f t="shared" si="1"/>
        <v>0</v>
      </c>
    </row>
    <row r="12" spans="1:20" ht="28.5" customHeight="1" x14ac:dyDescent="0.25">
      <c r="B12" s="2" t="s">
        <v>321</v>
      </c>
      <c r="C12" s="236" t="s">
        <v>333</v>
      </c>
      <c r="D12" s="93" t="s">
        <v>288</v>
      </c>
      <c r="E12" s="2" t="s">
        <v>322</v>
      </c>
      <c r="F12" s="2" t="s">
        <v>7</v>
      </c>
      <c r="G12" s="186">
        <f>G11:H11</f>
        <v>2.63E-2</v>
      </c>
      <c r="H12" s="186">
        <f>H11</f>
        <v>0.1845</v>
      </c>
      <c r="I12" s="187">
        <v>45199</v>
      </c>
      <c r="J12" s="187">
        <v>45214</v>
      </c>
      <c r="K12" s="187">
        <v>44201</v>
      </c>
      <c r="L12" s="188" t="s">
        <v>323</v>
      </c>
      <c r="M12" s="79">
        <v>55734.6</v>
      </c>
      <c r="N12" s="67"/>
      <c r="O12" s="67">
        <f t="shared" si="0"/>
        <v>55734.6</v>
      </c>
      <c r="P12" s="66"/>
      <c r="Q12" s="67"/>
      <c r="R12" s="67"/>
      <c r="S12" s="68">
        <f t="shared" si="1"/>
        <v>0</v>
      </c>
    </row>
    <row r="13" spans="1:20" ht="28.5" customHeight="1" x14ac:dyDescent="0.25">
      <c r="B13" s="2" t="s">
        <v>324</v>
      </c>
      <c r="C13" s="236" t="s">
        <v>333</v>
      </c>
      <c r="D13" s="93" t="s">
        <v>288</v>
      </c>
      <c r="E13" s="2" t="s">
        <v>329</v>
      </c>
      <c r="F13" s="2" t="s">
        <v>7</v>
      </c>
      <c r="G13" s="186">
        <f>G12:H12</f>
        <v>2.63E-2</v>
      </c>
      <c r="H13" s="186">
        <f>H12</f>
        <v>0.1845</v>
      </c>
      <c r="I13" s="187">
        <v>45199</v>
      </c>
      <c r="J13" s="187">
        <v>45214</v>
      </c>
      <c r="K13" s="187">
        <v>44201</v>
      </c>
      <c r="L13" s="188" t="s">
        <v>325</v>
      </c>
      <c r="M13" s="79">
        <v>136817</v>
      </c>
      <c r="N13" s="67"/>
      <c r="O13" s="67">
        <f t="shared" si="0"/>
        <v>136817</v>
      </c>
      <c r="P13" s="66"/>
      <c r="Q13" s="67"/>
      <c r="R13" s="67"/>
      <c r="S13" s="68">
        <f t="shared" si="1"/>
        <v>0</v>
      </c>
    </row>
    <row r="14" spans="1:20" ht="28.5" customHeight="1" x14ac:dyDescent="0.25">
      <c r="B14" s="2" t="s">
        <v>326</v>
      </c>
      <c r="C14" s="236" t="s">
        <v>333</v>
      </c>
      <c r="D14" s="93" t="s">
        <v>288</v>
      </c>
      <c r="E14" s="2" t="s">
        <v>330</v>
      </c>
      <c r="F14" s="2" t="s">
        <v>7</v>
      </c>
      <c r="G14" s="186">
        <f>G13:H13</f>
        <v>2.63E-2</v>
      </c>
      <c r="H14" s="186">
        <f>H13</f>
        <v>0.1845</v>
      </c>
      <c r="I14" s="187">
        <v>45199</v>
      </c>
      <c r="J14" s="187">
        <v>45214</v>
      </c>
      <c r="K14" s="187">
        <v>44201</v>
      </c>
      <c r="L14" s="188" t="s">
        <v>323</v>
      </c>
      <c r="M14" s="79">
        <v>14630.33</v>
      </c>
      <c r="N14" s="67"/>
      <c r="O14" s="67">
        <f t="shared" si="0"/>
        <v>14630.33</v>
      </c>
      <c r="P14" s="66"/>
      <c r="Q14" s="67">
        <v>14630.33</v>
      </c>
      <c r="R14" s="67"/>
      <c r="S14" s="68">
        <f t="shared" si="1"/>
        <v>14630.33</v>
      </c>
    </row>
    <row r="15" spans="1:20" ht="28.5" customHeight="1" x14ac:dyDescent="0.25">
      <c r="B15" s="2" t="s">
        <v>370</v>
      </c>
      <c r="C15" s="236" t="s">
        <v>333</v>
      </c>
      <c r="D15" s="93" t="s">
        <v>288</v>
      </c>
      <c r="E15" s="2" t="s">
        <v>331</v>
      </c>
      <c r="F15" s="2" t="s">
        <v>7</v>
      </c>
      <c r="G15" s="186">
        <f t="shared" ref="G15" si="2">G14:H14</f>
        <v>2.63E-2</v>
      </c>
      <c r="H15" s="186">
        <f t="shared" ref="H15" si="3">H14</f>
        <v>0.1845</v>
      </c>
      <c r="I15" s="187">
        <v>45199</v>
      </c>
      <c r="J15" s="187">
        <v>45214</v>
      </c>
      <c r="K15" s="187">
        <v>44201</v>
      </c>
      <c r="L15" s="188" t="s">
        <v>325</v>
      </c>
      <c r="M15" s="79">
        <v>69250.240000000005</v>
      </c>
      <c r="N15" s="67"/>
      <c r="O15" s="67">
        <f t="shared" si="0"/>
        <v>69250.240000000005</v>
      </c>
      <c r="P15" s="66"/>
      <c r="Q15" s="67"/>
      <c r="R15" s="67"/>
      <c r="S15" s="68">
        <f t="shared" si="1"/>
        <v>0</v>
      </c>
    </row>
    <row r="16" spans="1:20" ht="28.5" customHeight="1" x14ac:dyDescent="0.25">
      <c r="B16" s="2" t="s">
        <v>287</v>
      </c>
      <c r="C16" s="236" t="s">
        <v>333</v>
      </c>
      <c r="D16" s="93" t="s">
        <v>288</v>
      </c>
      <c r="E16" s="2" t="s">
        <v>289</v>
      </c>
      <c r="F16" s="2" t="s">
        <v>7</v>
      </c>
      <c r="G16" s="186">
        <v>2.63E-2</v>
      </c>
      <c r="H16" s="186">
        <v>0.1845</v>
      </c>
      <c r="I16" s="187">
        <v>45199</v>
      </c>
      <c r="J16" s="187">
        <v>45199</v>
      </c>
      <c r="K16" s="187">
        <v>44201</v>
      </c>
      <c r="L16" s="188" t="s">
        <v>320</v>
      </c>
      <c r="M16" s="79">
        <v>128189.59</v>
      </c>
      <c r="N16" s="67"/>
      <c r="O16" s="67">
        <f t="shared" si="0"/>
        <v>128189.59</v>
      </c>
      <c r="P16" s="66"/>
      <c r="Q16" s="67"/>
      <c r="R16" s="67"/>
      <c r="S16" s="68">
        <f t="shared" si="1"/>
        <v>0</v>
      </c>
    </row>
    <row r="17" spans="2:19" ht="28.5" customHeight="1" x14ac:dyDescent="0.25">
      <c r="B17" s="2" t="s">
        <v>352</v>
      </c>
      <c r="C17" s="236" t="s">
        <v>353</v>
      </c>
      <c r="D17" s="93" t="s">
        <v>354</v>
      </c>
      <c r="E17" s="2" t="s">
        <v>355</v>
      </c>
      <c r="F17" s="2" t="s">
        <v>7</v>
      </c>
      <c r="G17" s="186">
        <v>2.63E-2</v>
      </c>
      <c r="H17" s="186">
        <v>0.1845</v>
      </c>
      <c r="I17" s="187">
        <v>45565</v>
      </c>
      <c r="J17" s="187">
        <v>45580</v>
      </c>
      <c r="K17" s="187">
        <v>44279</v>
      </c>
      <c r="L17" s="188" t="s">
        <v>356</v>
      </c>
      <c r="M17" s="79">
        <v>501203.92</v>
      </c>
      <c r="N17" s="67"/>
      <c r="O17" s="67">
        <f t="shared" si="0"/>
        <v>501203.92</v>
      </c>
      <c r="P17" s="66"/>
      <c r="Q17" s="67"/>
      <c r="R17" s="67"/>
      <c r="S17" s="68">
        <f t="shared" si="1"/>
        <v>0</v>
      </c>
    </row>
    <row r="18" spans="2:19" ht="28.5" customHeight="1" x14ac:dyDescent="0.25">
      <c r="B18" s="2" t="s">
        <v>357</v>
      </c>
      <c r="C18" s="236" t="s">
        <v>353</v>
      </c>
      <c r="D18" s="93" t="s">
        <v>354</v>
      </c>
      <c r="E18" s="2" t="s">
        <v>358</v>
      </c>
      <c r="F18" s="2" t="s">
        <v>7</v>
      </c>
      <c r="G18" s="186">
        <v>2.63E-2</v>
      </c>
      <c r="H18" s="186">
        <v>0.1845</v>
      </c>
      <c r="I18" s="187">
        <v>45565</v>
      </c>
      <c r="J18" s="187">
        <v>45580</v>
      </c>
      <c r="K18" s="187">
        <v>44279</v>
      </c>
      <c r="L18" s="188" t="s">
        <v>356</v>
      </c>
      <c r="M18" s="79">
        <v>125300.98</v>
      </c>
      <c r="N18" s="67"/>
      <c r="O18" s="67">
        <f t="shared" si="0"/>
        <v>125300.98</v>
      </c>
      <c r="P18" s="66"/>
      <c r="Q18" s="67"/>
      <c r="R18" s="67"/>
      <c r="S18" s="68">
        <f t="shared" si="1"/>
        <v>0</v>
      </c>
    </row>
    <row r="19" spans="2:19" x14ac:dyDescent="0.25">
      <c r="C19" s="92"/>
      <c r="D19" s="92"/>
      <c r="E19" s="75"/>
      <c r="G19" s="124"/>
      <c r="H19" s="124"/>
      <c r="I19" s="116"/>
      <c r="J19" s="116"/>
      <c r="K19" s="116"/>
      <c r="L19" s="93"/>
      <c r="M19" s="25"/>
      <c r="N19" s="25"/>
      <c r="O19" s="25"/>
      <c r="P19" s="29"/>
      <c r="Q19" s="25"/>
      <c r="R19" s="25"/>
      <c r="S19" s="26"/>
    </row>
    <row r="20" spans="2:19" ht="22.5" customHeight="1" x14ac:dyDescent="0.25">
      <c r="C20" s="92"/>
      <c r="D20" s="92"/>
      <c r="I20" s="116"/>
      <c r="J20" s="116"/>
      <c r="K20" s="116"/>
      <c r="L20" s="5" t="s">
        <v>38</v>
      </c>
      <c r="M20" s="66">
        <f>SUM(M7:M19)</f>
        <v>1175321.75</v>
      </c>
      <c r="N20" s="66">
        <f>SUM(N8:N19)</f>
        <v>0</v>
      </c>
      <c r="O20" s="66">
        <f>SUM(O7:O19)</f>
        <v>1175321.75</v>
      </c>
      <c r="P20" s="66"/>
      <c r="Q20" s="66">
        <f>SUM(Q7:Q19)</f>
        <v>50598.1</v>
      </c>
      <c r="R20" s="66">
        <f>SUM(R7:R19)</f>
        <v>0</v>
      </c>
      <c r="S20" s="23">
        <f>SUM(S7:S19)</f>
        <v>50598.1</v>
      </c>
    </row>
    <row r="21" spans="2:19" x14ac:dyDescent="0.25">
      <c r="C21" s="92"/>
      <c r="D21" s="92"/>
      <c r="I21" s="116"/>
      <c r="J21" s="116"/>
      <c r="K21" s="116"/>
      <c r="L21" s="5"/>
      <c r="M21" s="66"/>
      <c r="N21" s="66"/>
      <c r="O21" s="66"/>
      <c r="Q21" s="66"/>
      <c r="R21" s="66"/>
      <c r="S21" s="68"/>
    </row>
    <row r="22" spans="2:19" x14ac:dyDescent="0.25">
      <c r="B22" s="8" t="s">
        <v>125</v>
      </c>
      <c r="C22" s="92"/>
      <c r="D22" s="92"/>
      <c r="L22" s="5"/>
      <c r="M22" s="66"/>
      <c r="N22" s="66"/>
      <c r="O22" s="66"/>
      <c r="Q22" s="66"/>
      <c r="R22" s="66"/>
      <c r="S22" s="68"/>
    </row>
    <row r="23" spans="2:19" ht="28.5" customHeight="1" x14ac:dyDescent="0.25">
      <c r="B23" s="341" t="s">
        <v>126</v>
      </c>
      <c r="C23" s="341"/>
      <c r="D23" s="341"/>
      <c r="E23" s="341"/>
      <c r="F23" s="341"/>
      <c r="G23" s="117"/>
      <c r="H23" s="117"/>
      <c r="I23" s="111"/>
      <c r="L23" s="5"/>
      <c r="M23" s="66"/>
      <c r="N23" s="66"/>
      <c r="O23" s="66"/>
      <c r="Q23" s="66"/>
      <c r="R23" s="66"/>
      <c r="S23" s="68"/>
    </row>
    <row r="24" spans="2:19" x14ac:dyDescent="0.25">
      <c r="C24" s="92"/>
      <c r="D24" s="92"/>
      <c r="L24" s="5"/>
      <c r="M24" s="66"/>
      <c r="N24" s="66"/>
      <c r="O24" s="66"/>
      <c r="Q24" s="66"/>
      <c r="R24" s="66"/>
      <c r="S24" s="68"/>
    </row>
    <row r="25" spans="2:19" ht="49.5" customHeight="1" x14ac:dyDescent="0.25">
      <c r="B25" s="341" t="s">
        <v>129</v>
      </c>
      <c r="C25" s="341"/>
      <c r="D25" s="341"/>
      <c r="E25" s="341"/>
      <c r="F25" s="341"/>
      <c r="G25" s="117"/>
      <c r="H25" s="117"/>
      <c r="I25" s="111"/>
      <c r="L25" s="5"/>
      <c r="M25" s="66"/>
      <c r="N25" s="66"/>
      <c r="O25" s="66"/>
      <c r="Q25" s="66"/>
      <c r="R25" s="66"/>
      <c r="S25" s="68"/>
    </row>
    <row r="26" spans="2:19" x14ac:dyDescent="0.25">
      <c r="B26" s="193"/>
      <c r="C26" s="193"/>
      <c r="D26" s="193"/>
      <c r="E26" s="193"/>
      <c r="F26" s="193"/>
      <c r="G26" s="193"/>
      <c r="H26" s="193"/>
      <c r="I26" s="193"/>
      <c r="L26" s="5"/>
      <c r="M26" s="66"/>
      <c r="N26" s="66"/>
      <c r="O26" s="66"/>
      <c r="Q26" s="66"/>
      <c r="R26" s="66"/>
      <c r="S26" s="68"/>
    </row>
    <row r="27" spans="2:19" ht="33.75" customHeight="1" x14ac:dyDescent="0.25">
      <c r="B27" s="341" t="s">
        <v>160</v>
      </c>
      <c r="C27" s="341"/>
      <c r="D27" s="341"/>
      <c r="E27" s="341"/>
      <c r="F27" s="341"/>
      <c r="G27" s="193"/>
      <c r="H27" s="193"/>
      <c r="I27" s="193"/>
      <c r="L27" s="5"/>
      <c r="M27" s="66"/>
      <c r="N27" s="66"/>
      <c r="O27" s="66"/>
      <c r="Q27" s="66"/>
      <c r="R27" s="66"/>
      <c r="S27" s="68"/>
    </row>
    <row r="28" spans="2:19" ht="15" customHeight="1" x14ac:dyDescent="0.25">
      <c r="B28" s="347" t="s">
        <v>159</v>
      </c>
      <c r="C28" s="341"/>
      <c r="D28" s="341"/>
      <c r="E28" s="341"/>
      <c r="F28" s="341"/>
      <c r="G28" s="193"/>
      <c r="H28" s="193"/>
      <c r="I28" s="193"/>
      <c r="L28" s="5"/>
      <c r="M28" s="66"/>
      <c r="N28" s="66"/>
      <c r="O28" s="66"/>
      <c r="Q28" s="66"/>
      <c r="R28" s="66"/>
      <c r="S28" s="68"/>
    </row>
    <row r="29" spans="2:19" ht="15" customHeight="1" x14ac:dyDescent="0.25">
      <c r="B29" s="195"/>
      <c r="C29" s="195"/>
      <c r="D29" s="195"/>
      <c r="E29" s="195"/>
      <c r="F29" s="195"/>
      <c r="G29" s="195"/>
      <c r="H29" s="195"/>
      <c r="I29" s="195"/>
      <c r="L29" s="5"/>
      <c r="M29" s="66"/>
      <c r="N29" s="66"/>
      <c r="O29" s="66"/>
      <c r="Q29" s="66"/>
      <c r="R29" s="66"/>
      <c r="S29" s="68"/>
    </row>
    <row r="30" spans="2:19" x14ac:dyDescent="0.25">
      <c r="B30" s="108"/>
      <c r="C30" s="108"/>
      <c r="D30" s="108"/>
      <c r="E30" s="108"/>
      <c r="F30" s="108"/>
      <c r="G30" s="117"/>
      <c r="H30" s="117"/>
      <c r="I30" s="111"/>
      <c r="L30" s="5"/>
      <c r="M30" s="66"/>
      <c r="N30" s="66"/>
      <c r="O30" s="66"/>
      <c r="Q30" s="66"/>
      <c r="R30" s="66"/>
      <c r="S30" s="68"/>
    </row>
    <row r="31" spans="2:19" x14ac:dyDescent="0.25">
      <c r="B31" s="7" t="s">
        <v>109</v>
      </c>
      <c r="C31" s="101" t="s">
        <v>112</v>
      </c>
      <c r="D31" s="101" t="s">
        <v>113</v>
      </c>
      <c r="E31" s="108"/>
      <c r="F31" s="108"/>
      <c r="G31" s="117"/>
      <c r="H31" s="117"/>
      <c r="I31" s="111"/>
      <c r="L31" s="5"/>
      <c r="M31" s="66"/>
      <c r="N31" s="66"/>
      <c r="O31" s="66"/>
      <c r="Q31" s="66"/>
      <c r="R31" s="66"/>
      <c r="S31" s="68"/>
    </row>
    <row r="32" spans="2:19" x14ac:dyDescent="0.25">
      <c r="B32" s="2" t="s">
        <v>110</v>
      </c>
      <c r="C32" s="92" t="s">
        <v>327</v>
      </c>
      <c r="D32" s="92" t="s">
        <v>118</v>
      </c>
      <c r="E32" s="108"/>
      <c r="F32" s="108"/>
      <c r="G32" s="117"/>
      <c r="H32" s="117"/>
      <c r="I32" s="111"/>
      <c r="L32" s="5"/>
      <c r="M32" s="66"/>
      <c r="N32" s="66"/>
      <c r="O32" s="66"/>
      <c r="Q32" s="66"/>
      <c r="R32" s="66"/>
      <c r="S32" s="68"/>
    </row>
    <row r="33" spans="2:20" x14ac:dyDescent="0.25">
      <c r="B33" s="103" t="s">
        <v>111</v>
      </c>
      <c r="C33" s="92" t="s">
        <v>300</v>
      </c>
      <c r="D33" s="92" t="s">
        <v>303</v>
      </c>
      <c r="L33" s="5"/>
      <c r="M33" s="66"/>
      <c r="N33" s="66"/>
      <c r="O33" s="66"/>
      <c r="Q33" s="66"/>
      <c r="R33" s="66"/>
      <c r="S33" s="68"/>
    </row>
    <row r="34" spans="2:20" x14ac:dyDescent="0.25">
      <c r="B34" s="2" t="s">
        <v>230</v>
      </c>
      <c r="C34" s="92" t="s">
        <v>135</v>
      </c>
      <c r="D34" s="92" t="s">
        <v>147</v>
      </c>
      <c r="L34" s="5"/>
      <c r="M34" s="66"/>
      <c r="N34" s="66"/>
      <c r="O34" s="66"/>
      <c r="Q34" s="66"/>
      <c r="R34" s="66"/>
      <c r="S34" s="68"/>
    </row>
    <row r="35" spans="2:20" x14ac:dyDescent="0.25">
      <c r="B35" s="2" t="s">
        <v>279</v>
      </c>
      <c r="C35" s="92" t="s">
        <v>135</v>
      </c>
      <c r="D35" s="92" t="s">
        <v>147</v>
      </c>
      <c r="L35" s="5"/>
      <c r="M35" s="66"/>
      <c r="N35" s="66"/>
      <c r="O35" s="66"/>
      <c r="Q35" s="66"/>
      <c r="R35" s="66"/>
      <c r="S35" s="68"/>
    </row>
    <row r="36" spans="2:20" x14ac:dyDescent="0.25">
      <c r="B36" s="2" t="s">
        <v>281</v>
      </c>
      <c r="C36" s="92" t="s">
        <v>135</v>
      </c>
      <c r="D36" s="92" t="s">
        <v>147</v>
      </c>
      <c r="L36" s="5"/>
      <c r="M36" s="66"/>
      <c r="N36" s="66"/>
      <c r="O36" s="66"/>
      <c r="Q36" s="66"/>
      <c r="R36" s="66"/>
      <c r="S36" s="68"/>
    </row>
    <row r="37" spans="2:20" x14ac:dyDescent="0.25">
      <c r="B37" s="2" t="s">
        <v>286</v>
      </c>
      <c r="C37" s="92" t="s">
        <v>135</v>
      </c>
      <c r="D37" s="92" t="s">
        <v>147</v>
      </c>
      <c r="L37" s="5"/>
      <c r="M37" s="66"/>
      <c r="N37" s="66"/>
      <c r="O37" s="66"/>
      <c r="Q37" s="66"/>
      <c r="R37" s="66"/>
      <c r="S37" s="68"/>
    </row>
    <row r="38" spans="2:20" x14ac:dyDescent="0.25">
      <c r="C38" s="92"/>
      <c r="D38" s="92"/>
      <c r="L38" s="5"/>
      <c r="M38" s="66"/>
      <c r="N38" s="66"/>
      <c r="O38" s="66"/>
      <c r="Q38" s="66"/>
      <c r="R38" s="66"/>
      <c r="S38" s="68"/>
    </row>
    <row r="39" spans="2:20" x14ac:dyDescent="0.25">
      <c r="B39" s="348" t="s">
        <v>304</v>
      </c>
      <c r="C39" s="336"/>
      <c r="D39" s="336"/>
      <c r="E39" s="336"/>
      <c r="F39" s="336"/>
      <c r="G39" s="336"/>
      <c r="H39" s="336"/>
      <c r="L39" s="5"/>
      <c r="M39" s="66"/>
      <c r="N39" s="66"/>
      <c r="O39" s="66"/>
      <c r="Q39" s="66"/>
      <c r="R39" s="66"/>
      <c r="S39" s="68"/>
    </row>
    <row r="40" spans="2:20" x14ac:dyDescent="0.25">
      <c r="B40" s="242" t="s">
        <v>299</v>
      </c>
      <c r="C40" s="92"/>
      <c r="D40" s="92"/>
      <c r="L40" s="5"/>
      <c r="M40" s="66"/>
      <c r="N40" s="66"/>
      <c r="O40" s="66"/>
      <c r="Q40" s="66"/>
      <c r="R40" s="66"/>
      <c r="S40" s="68"/>
    </row>
    <row r="41" spans="2:20" ht="15" customHeight="1" x14ac:dyDescent="0.25">
      <c r="B41" s="10"/>
      <c r="C41" s="94"/>
      <c r="D41" s="94"/>
      <c r="E41" s="10"/>
      <c r="F41" s="10"/>
      <c r="G41" s="10"/>
      <c r="H41" s="10"/>
      <c r="I41" s="10"/>
      <c r="J41" s="10"/>
      <c r="K41" s="10"/>
      <c r="L41" s="10"/>
      <c r="M41" s="10"/>
      <c r="N41" s="10"/>
      <c r="O41" s="10"/>
      <c r="P41" s="10"/>
      <c r="Q41" s="10"/>
      <c r="R41" s="10"/>
      <c r="S41" s="28"/>
    </row>
    <row r="42" spans="2:20" ht="15" customHeight="1" x14ac:dyDescent="0.25">
      <c r="Q42" s="59" t="s">
        <v>90</v>
      </c>
      <c r="R42" s="50"/>
      <c r="S42" s="164"/>
    </row>
    <row r="43" spans="2:20" ht="15" customHeight="1" x14ac:dyDescent="0.25">
      <c r="B43" s="17" t="s">
        <v>39</v>
      </c>
      <c r="C43" s="96" t="s">
        <v>2</v>
      </c>
      <c r="D43" s="96"/>
      <c r="E43" s="96" t="s">
        <v>34</v>
      </c>
      <c r="F43" s="96" t="s">
        <v>35</v>
      </c>
      <c r="G43" s="120"/>
      <c r="H43" s="120"/>
      <c r="I43" s="114"/>
      <c r="J43" s="96"/>
      <c r="K43" s="96"/>
      <c r="L43" s="96" t="s">
        <v>36</v>
      </c>
      <c r="M43" s="96" t="s">
        <v>37</v>
      </c>
      <c r="N43" s="47"/>
      <c r="O43" s="47"/>
      <c r="P43" s="47"/>
      <c r="Q43" s="54" t="s">
        <v>88</v>
      </c>
      <c r="R43" s="52"/>
      <c r="S43" s="53"/>
      <c r="T43" s="51"/>
    </row>
    <row r="44" spans="2:20" x14ac:dyDescent="0.25">
      <c r="B44" s="63"/>
      <c r="C44" s="9"/>
      <c r="D44" s="9"/>
      <c r="E44" s="9"/>
      <c r="F44" s="9"/>
      <c r="G44" s="9"/>
      <c r="H44" s="9"/>
      <c r="I44" s="9"/>
      <c r="J44" s="9"/>
      <c r="K44" s="9"/>
      <c r="L44" s="9"/>
      <c r="M44" s="9"/>
      <c r="N44" s="45"/>
      <c r="O44" s="45"/>
      <c r="P44" s="45"/>
      <c r="Q44" s="59"/>
      <c r="R44" s="50"/>
      <c r="S44" s="50"/>
      <c r="T44" s="51"/>
    </row>
    <row r="45" spans="2:20" x14ac:dyDescent="0.25">
      <c r="B45" s="63"/>
      <c r="C45" s="9"/>
      <c r="D45" s="9"/>
      <c r="E45" s="9"/>
      <c r="F45" s="9"/>
      <c r="G45" s="9"/>
      <c r="H45" s="9"/>
      <c r="I45" s="9"/>
      <c r="J45" s="9"/>
      <c r="K45" s="9"/>
      <c r="L45" s="9"/>
      <c r="M45" s="9"/>
      <c r="N45" s="45"/>
      <c r="O45" s="45"/>
      <c r="P45" s="45"/>
      <c r="R45" s="51"/>
      <c r="S45" s="51"/>
      <c r="T45" s="51"/>
    </row>
    <row r="46" spans="2:20" x14ac:dyDescent="0.25">
      <c r="B46" s="12"/>
      <c r="C46" s="13"/>
      <c r="D46" s="13"/>
      <c r="E46" s="41"/>
      <c r="F46" s="15"/>
      <c r="G46" s="15"/>
      <c r="H46" s="15"/>
      <c r="I46" s="15"/>
      <c r="J46" s="15"/>
      <c r="K46" s="15"/>
      <c r="L46" s="16"/>
      <c r="M46" s="31"/>
      <c r="Q46" s="51"/>
      <c r="R46" s="51"/>
      <c r="S46" s="51"/>
      <c r="T46" s="51"/>
    </row>
    <row r="47" spans="2:20" x14ac:dyDescent="0.25">
      <c r="B47" s="12"/>
      <c r="C47" s="13"/>
      <c r="D47" s="13"/>
      <c r="E47" s="41"/>
      <c r="F47" s="15"/>
      <c r="G47" s="15"/>
      <c r="H47" s="15"/>
      <c r="I47" s="15"/>
      <c r="J47" s="15"/>
      <c r="K47" s="15"/>
      <c r="L47" s="16"/>
      <c r="M47" s="31"/>
      <c r="Q47" s="51"/>
      <c r="R47" s="51"/>
      <c r="S47" s="51"/>
      <c r="T47" s="51"/>
    </row>
    <row r="48" spans="2:20" x14ac:dyDescent="0.25">
      <c r="B48" s="12"/>
      <c r="C48" s="13"/>
      <c r="D48" s="13"/>
      <c r="E48" s="41"/>
      <c r="F48" s="15"/>
      <c r="G48" s="15"/>
      <c r="H48" s="15"/>
      <c r="I48" s="15"/>
      <c r="J48" s="15"/>
      <c r="K48" s="15"/>
      <c r="L48" s="16"/>
      <c r="M48" s="31"/>
      <c r="Q48" s="51"/>
      <c r="R48" s="51"/>
      <c r="S48" s="51"/>
      <c r="T48" s="51"/>
    </row>
    <row r="49" spans="2:20" x14ac:dyDescent="0.25">
      <c r="B49" s="12"/>
      <c r="C49" s="13"/>
      <c r="D49" s="13"/>
      <c r="E49" s="41"/>
      <c r="F49" s="15"/>
      <c r="G49" s="15"/>
      <c r="H49" s="15"/>
      <c r="I49" s="15"/>
      <c r="J49" s="15"/>
      <c r="K49" s="15"/>
      <c r="L49" s="16"/>
      <c r="M49" s="31"/>
      <c r="Q49" s="51"/>
      <c r="R49" s="51"/>
      <c r="S49" s="51"/>
      <c r="T49" s="51"/>
    </row>
    <row r="50" spans="2:20" x14ac:dyDescent="0.25">
      <c r="B50" s="12"/>
      <c r="C50" s="13"/>
      <c r="D50" s="13"/>
      <c r="E50" s="41"/>
      <c r="F50" s="15"/>
      <c r="G50" s="15"/>
      <c r="H50" s="15"/>
      <c r="I50" s="15"/>
      <c r="J50" s="15"/>
      <c r="K50" s="15"/>
      <c r="L50" s="16"/>
      <c r="M50" s="31"/>
      <c r="Q50" s="51"/>
      <c r="R50" s="51"/>
      <c r="S50" s="51"/>
      <c r="T50" s="51"/>
    </row>
    <row r="51" spans="2:20" x14ac:dyDescent="0.25">
      <c r="B51" s="12"/>
      <c r="C51" s="13"/>
      <c r="D51" s="13"/>
      <c r="E51" s="41"/>
      <c r="F51" s="15"/>
      <c r="G51" s="15"/>
      <c r="H51" s="15"/>
      <c r="I51" s="15"/>
      <c r="J51" s="15"/>
      <c r="K51" s="15"/>
      <c r="L51" s="16"/>
      <c r="M51" s="31"/>
      <c r="Q51" s="51"/>
      <c r="R51" s="51"/>
      <c r="S51" s="51"/>
      <c r="T51" s="51"/>
    </row>
    <row r="52" spans="2:20" x14ac:dyDescent="0.25">
      <c r="B52" s="12"/>
      <c r="C52" s="13"/>
      <c r="D52" s="13"/>
      <c r="E52" s="41"/>
      <c r="F52" s="15"/>
      <c r="G52" s="15"/>
      <c r="H52" s="15"/>
      <c r="I52" s="15"/>
      <c r="J52" s="15"/>
      <c r="K52" s="15"/>
      <c r="L52" s="16"/>
      <c r="M52" s="31"/>
      <c r="T52" s="51"/>
    </row>
    <row r="53" spans="2:20" ht="15" customHeight="1" x14ac:dyDescent="0.25">
      <c r="B53" s="36"/>
      <c r="C53" s="40"/>
      <c r="D53" s="40"/>
      <c r="E53" s="41"/>
      <c r="F53" s="38"/>
      <c r="G53" s="38"/>
      <c r="H53" s="38"/>
      <c r="I53" s="38"/>
      <c r="J53" s="38"/>
      <c r="K53" s="38"/>
      <c r="L53" s="16"/>
      <c r="M53" s="34"/>
      <c r="N53" s="104"/>
      <c r="O53" s="29"/>
      <c r="P53" s="29"/>
    </row>
    <row r="54" spans="2:20" x14ac:dyDescent="0.25">
      <c r="B54" s="36"/>
      <c r="C54" s="40"/>
      <c r="D54" s="40"/>
      <c r="E54" s="41"/>
      <c r="F54" s="38"/>
      <c r="G54" s="38"/>
      <c r="H54" s="38"/>
      <c r="I54" s="38"/>
      <c r="J54" s="38"/>
      <c r="K54" s="38"/>
      <c r="L54" s="39"/>
      <c r="M54" s="34"/>
      <c r="N54" s="104"/>
      <c r="O54" s="29"/>
      <c r="P54" s="29"/>
    </row>
    <row r="55" spans="2:20" x14ac:dyDescent="0.25">
      <c r="B55" s="36"/>
      <c r="C55" s="40"/>
      <c r="D55" s="40"/>
      <c r="E55" s="41"/>
      <c r="F55" s="38"/>
      <c r="G55" s="38"/>
      <c r="H55" s="38"/>
      <c r="I55" s="38"/>
      <c r="J55" s="38"/>
      <c r="K55" s="38"/>
      <c r="L55" s="33"/>
      <c r="M55" s="31"/>
      <c r="N55" s="99"/>
      <c r="O55" s="99"/>
      <c r="P55" s="29"/>
      <c r="Q55" s="309" t="s">
        <v>316</v>
      </c>
      <c r="R55" s="309"/>
      <c r="S55" s="310">
        <f>S20</f>
        <v>50598.1</v>
      </c>
    </row>
    <row r="56" spans="2:20" x14ac:dyDescent="0.25">
      <c r="B56" s="36"/>
      <c r="C56" s="40"/>
      <c r="D56" s="40"/>
      <c r="E56" s="41"/>
      <c r="F56" s="38"/>
      <c r="G56" s="38"/>
      <c r="H56" s="38"/>
      <c r="I56" s="38"/>
      <c r="J56" s="38"/>
      <c r="K56" s="38"/>
      <c r="L56" s="33"/>
      <c r="M56" s="31"/>
      <c r="N56" s="99"/>
      <c r="O56" s="99"/>
      <c r="P56" s="29"/>
    </row>
    <row r="57" spans="2:20" ht="16.5" customHeight="1" x14ac:dyDescent="0.25">
      <c r="B57" s="36"/>
      <c r="C57" s="40"/>
      <c r="D57" s="40"/>
      <c r="E57" s="41"/>
      <c r="F57" s="38"/>
      <c r="G57" s="38"/>
      <c r="H57" s="38"/>
      <c r="I57" s="38"/>
      <c r="J57" s="38"/>
      <c r="K57" s="38"/>
      <c r="L57" s="39"/>
      <c r="M57" s="20"/>
      <c r="N57" s="99"/>
      <c r="O57" s="99"/>
      <c r="P57" s="29"/>
    </row>
    <row r="58" spans="2:20" ht="15" hidden="1" customHeight="1" x14ac:dyDescent="0.25"/>
    <row r="59" spans="2:20" ht="15" customHeight="1" x14ac:dyDescent="0.25">
      <c r="E59" s="21"/>
      <c r="F59" s="102"/>
      <c r="G59" s="102"/>
      <c r="H59" s="102"/>
      <c r="I59" s="102"/>
      <c r="J59" s="102"/>
      <c r="K59" s="102"/>
    </row>
    <row r="62" spans="2:20" ht="15" customHeight="1" x14ac:dyDescent="0.25"/>
  </sheetData>
  <mergeCells count="7">
    <mergeCell ref="B39:H39"/>
    <mergeCell ref="B28:F28"/>
    <mergeCell ref="Q2:S2"/>
    <mergeCell ref="Q1:S1"/>
    <mergeCell ref="B23:F23"/>
    <mergeCell ref="B25:F25"/>
    <mergeCell ref="B27:F27"/>
  </mergeCells>
  <hyperlinks>
    <hyperlink ref="B28" r:id="rId1"/>
  </hyperlinks>
  <printOptions horizontalCentered="1" gridLines="1"/>
  <pageMargins left="0" right="0" top="0.75" bottom="0.75" header="0.3" footer="0.3"/>
  <pageSetup scale="54" orientation="landscape" horizontalDpi="1200" verticalDpi="1200"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3"/>
  <sheetViews>
    <sheetView topLeftCell="C22" zoomScale="90" zoomScaleNormal="90" workbookViewId="0">
      <selection activeCell="C7" sqref="C7"/>
    </sheetView>
  </sheetViews>
  <sheetFormatPr defaultColWidth="9.140625" defaultRowHeight="15" x14ac:dyDescent="0.25"/>
  <cols>
    <col min="1" max="1" width="9.140625" style="2" hidden="1" customWidth="1"/>
    <col min="2" max="2" width="57.42578125" style="2" customWidth="1"/>
    <col min="3" max="3" width="26.85546875" style="2" customWidth="1"/>
    <col min="4" max="4" width="13.7109375" style="2" customWidth="1"/>
    <col min="5" max="5" width="17.42578125" style="2" customWidth="1"/>
    <col min="6" max="6" width="21.5703125" style="2" customWidth="1"/>
    <col min="7" max="7" width="10.28515625" style="2" customWidth="1"/>
    <col min="8" max="8" width="12.85546875" style="2" customWidth="1"/>
    <col min="9" max="9" width="13.42578125" style="2" customWidth="1"/>
    <col min="10" max="10" width="15.7109375" style="2" customWidth="1"/>
    <col min="11" max="11" width="8.85546875" style="2" customWidth="1"/>
    <col min="12" max="12" width="18.28515625" style="2" customWidth="1"/>
    <col min="13" max="13" width="14"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6.7109375" style="2" customWidth="1"/>
    <col min="20" max="16384" width="9.140625" style="2"/>
  </cols>
  <sheetData>
    <row r="1" spans="1:20" ht="15.6" customHeight="1" x14ac:dyDescent="0.25">
      <c r="B1" s="1" t="s">
        <v>215</v>
      </c>
      <c r="Q1" s="338" t="s">
        <v>296</v>
      </c>
      <c r="R1" s="338"/>
      <c r="S1" s="338"/>
    </row>
    <row r="2" spans="1:20" x14ac:dyDescent="0.25">
      <c r="B2" s="88" t="s">
        <v>148</v>
      </c>
      <c r="C2" s="182">
        <v>44742</v>
      </c>
      <c r="M2" s="71"/>
      <c r="N2" s="71"/>
      <c r="P2" s="29"/>
      <c r="Q2" s="337" t="s">
        <v>375</v>
      </c>
      <c r="R2" s="337"/>
      <c r="S2" s="337"/>
    </row>
    <row r="3" spans="1:20" ht="15.75" thickBot="1" x14ac:dyDescent="0.3">
      <c r="A3" s="2" t="s">
        <v>16</v>
      </c>
      <c r="B3" s="44" t="s">
        <v>68</v>
      </c>
      <c r="C3" s="8"/>
      <c r="D3" s="8"/>
      <c r="E3" s="8"/>
      <c r="P3" s="29"/>
      <c r="Q3" s="45"/>
      <c r="R3" s="30"/>
    </row>
    <row r="4" spans="1:20" x14ac:dyDescent="0.25">
      <c r="B4" s="8" t="s">
        <v>174</v>
      </c>
      <c r="M4" s="85" t="s">
        <v>28</v>
      </c>
      <c r="N4" s="85" t="s">
        <v>28</v>
      </c>
      <c r="O4" s="85" t="s">
        <v>28</v>
      </c>
      <c r="P4" s="9"/>
      <c r="Q4" s="89" t="s">
        <v>29</v>
      </c>
      <c r="R4" s="89" t="s">
        <v>31</v>
      </c>
      <c r="S4" s="89" t="s">
        <v>23</v>
      </c>
      <c r="T4" s="7"/>
    </row>
    <row r="5" spans="1:20" ht="15.75" thickBot="1" x14ac:dyDescent="0.3">
      <c r="G5" s="183" t="s">
        <v>295</v>
      </c>
      <c r="H5" s="183" t="s">
        <v>295</v>
      </c>
      <c r="M5" s="86" t="s">
        <v>27</v>
      </c>
      <c r="N5" s="86" t="s">
        <v>26</v>
      </c>
      <c r="O5" s="86" t="s">
        <v>25</v>
      </c>
      <c r="P5" s="9"/>
      <c r="Q5" s="90" t="s">
        <v>30</v>
      </c>
      <c r="R5" s="90" t="s">
        <v>30</v>
      </c>
      <c r="S5" s="90" t="s">
        <v>30</v>
      </c>
      <c r="T5" s="7"/>
    </row>
    <row r="6" spans="1:20" ht="85.5" customHeight="1" thickBot="1" x14ac:dyDescent="0.3">
      <c r="B6" s="84" t="s">
        <v>1</v>
      </c>
      <c r="C6" s="84" t="s">
        <v>389</v>
      </c>
      <c r="D6" s="84" t="s">
        <v>107</v>
      </c>
      <c r="E6" s="84" t="s">
        <v>3</v>
      </c>
      <c r="F6" s="84" t="s">
        <v>4</v>
      </c>
      <c r="G6" s="107" t="s">
        <v>136</v>
      </c>
      <c r="H6" s="107" t="s">
        <v>137</v>
      </c>
      <c r="I6" s="107" t="s">
        <v>133</v>
      </c>
      <c r="J6" s="107" t="s">
        <v>134</v>
      </c>
      <c r="K6" s="107" t="s">
        <v>121</v>
      </c>
      <c r="L6" s="83" t="s">
        <v>5</v>
      </c>
      <c r="M6" s="87" t="s">
        <v>6</v>
      </c>
      <c r="N6" s="87" t="s">
        <v>6</v>
      </c>
      <c r="O6" s="87" t="s">
        <v>6</v>
      </c>
      <c r="P6" s="9"/>
      <c r="Q6" s="91"/>
      <c r="R6" s="97" t="s">
        <v>32</v>
      </c>
      <c r="S6" s="98" t="s">
        <v>33</v>
      </c>
    </row>
    <row r="7" spans="1:20" ht="36.75" customHeight="1" x14ac:dyDescent="0.25">
      <c r="B7" s="2" t="s">
        <v>257</v>
      </c>
      <c r="C7" s="236" t="s">
        <v>260</v>
      </c>
      <c r="D7" s="93" t="s">
        <v>258</v>
      </c>
      <c r="E7" s="2" t="s">
        <v>259</v>
      </c>
      <c r="F7" s="2" t="s">
        <v>7</v>
      </c>
      <c r="G7" s="186">
        <v>2.63E-2</v>
      </c>
      <c r="H7" s="186">
        <v>0.1845</v>
      </c>
      <c r="I7" s="187">
        <v>44439</v>
      </c>
      <c r="J7" s="187">
        <v>44454</v>
      </c>
      <c r="K7" s="187">
        <v>44013</v>
      </c>
      <c r="L7" s="188" t="s">
        <v>290</v>
      </c>
      <c r="M7" s="61">
        <v>9675</v>
      </c>
      <c r="N7" s="80"/>
      <c r="O7" s="61">
        <f>M7+N7</f>
        <v>9675</v>
      </c>
      <c r="P7" s="148"/>
      <c r="Q7" s="61">
        <v>0</v>
      </c>
      <c r="R7" s="60"/>
      <c r="S7" s="81">
        <f>Q7+R7</f>
        <v>0</v>
      </c>
    </row>
    <row r="8" spans="1:20" ht="36.75" customHeight="1" x14ac:dyDescent="0.25">
      <c r="B8" s="2" t="s">
        <v>128</v>
      </c>
      <c r="C8" s="225" t="s">
        <v>122</v>
      </c>
      <c r="D8" s="93" t="s">
        <v>310</v>
      </c>
      <c r="E8" s="2" t="s">
        <v>309</v>
      </c>
      <c r="F8" s="2" t="s">
        <v>7</v>
      </c>
      <c r="G8" s="186">
        <v>2.63E-2</v>
      </c>
      <c r="H8" s="186">
        <v>0.1845</v>
      </c>
      <c r="I8" s="187">
        <v>44742</v>
      </c>
      <c r="J8" s="187">
        <v>44743</v>
      </c>
      <c r="K8" s="187">
        <v>44378</v>
      </c>
      <c r="L8" s="204" t="s">
        <v>297</v>
      </c>
      <c r="M8" s="61"/>
      <c r="N8" s="80"/>
      <c r="O8" s="61">
        <f>M8+N8</f>
        <v>0</v>
      </c>
      <c r="P8" s="148"/>
      <c r="Q8" s="61"/>
      <c r="R8" s="60"/>
      <c r="S8" s="81">
        <f>Q8+R8</f>
        <v>0</v>
      </c>
    </row>
    <row r="9" spans="1:20" ht="36.75" customHeight="1" x14ac:dyDescent="0.25">
      <c r="B9" s="2" t="s">
        <v>223</v>
      </c>
      <c r="C9" s="236" t="s">
        <v>333</v>
      </c>
      <c r="D9" s="93" t="s">
        <v>224</v>
      </c>
      <c r="E9" s="2" t="s">
        <v>225</v>
      </c>
      <c r="F9" s="2" t="s">
        <v>7</v>
      </c>
      <c r="G9" s="186">
        <v>2.63E-2</v>
      </c>
      <c r="H9" s="186">
        <v>0.1845</v>
      </c>
      <c r="I9" s="187">
        <v>44834</v>
      </c>
      <c r="J9" s="187">
        <v>44849</v>
      </c>
      <c r="K9" s="187">
        <v>43614</v>
      </c>
      <c r="L9" s="188" t="s">
        <v>274</v>
      </c>
      <c r="M9" s="61">
        <v>95247.6</v>
      </c>
      <c r="N9" s="80"/>
      <c r="O9" s="61">
        <f>M9+N9</f>
        <v>95247.6</v>
      </c>
      <c r="P9" s="148"/>
      <c r="Q9" s="61">
        <v>0</v>
      </c>
      <c r="R9" s="60"/>
      <c r="S9" s="81">
        <f>Q9+R9</f>
        <v>0</v>
      </c>
    </row>
    <row r="10" spans="1:20" ht="28.5" customHeight="1" x14ac:dyDescent="0.25">
      <c r="B10" s="2" t="s">
        <v>275</v>
      </c>
      <c r="C10" s="236" t="s">
        <v>333</v>
      </c>
      <c r="D10" s="93" t="s">
        <v>224</v>
      </c>
      <c r="E10" s="2" t="s">
        <v>276</v>
      </c>
      <c r="F10" s="2" t="s">
        <v>7</v>
      </c>
      <c r="G10" s="186">
        <v>2.63E-2</v>
      </c>
      <c r="H10" s="186">
        <v>0.1845</v>
      </c>
      <c r="I10" s="297">
        <v>44773</v>
      </c>
      <c r="J10" s="297">
        <v>44788</v>
      </c>
      <c r="K10" s="187">
        <v>43980</v>
      </c>
      <c r="L10" s="188" t="s">
        <v>277</v>
      </c>
      <c r="M10" s="79">
        <v>3780.29</v>
      </c>
      <c r="N10" s="70"/>
      <c r="O10" s="67">
        <f>M10+N10</f>
        <v>3780.29</v>
      </c>
      <c r="P10" s="67"/>
      <c r="Q10" s="67"/>
      <c r="R10" s="67"/>
      <c r="S10" s="68">
        <f>Q10+R10</f>
        <v>0</v>
      </c>
    </row>
    <row r="11" spans="1:20" ht="28.5" customHeight="1" x14ac:dyDescent="0.25">
      <c r="B11" s="2" t="s">
        <v>279</v>
      </c>
      <c r="C11" s="236" t="s">
        <v>333</v>
      </c>
      <c r="D11" s="93" t="s">
        <v>224</v>
      </c>
      <c r="E11" s="2" t="s">
        <v>280</v>
      </c>
      <c r="F11" s="2" t="s">
        <v>7</v>
      </c>
      <c r="G11" s="186">
        <v>2.63E-2</v>
      </c>
      <c r="H11" s="186">
        <v>0.1845</v>
      </c>
      <c r="I11" s="187">
        <v>44592</v>
      </c>
      <c r="J11" s="187">
        <v>44592</v>
      </c>
      <c r="K11" s="187">
        <v>43980</v>
      </c>
      <c r="L11" s="188" t="s">
        <v>332</v>
      </c>
      <c r="M11" s="79">
        <v>3000</v>
      </c>
      <c r="N11" s="67"/>
      <c r="O11" s="67">
        <f t="shared" ref="O11:O13" si="0">M11+N11</f>
        <v>3000</v>
      </c>
      <c r="P11" s="66"/>
      <c r="Q11" s="67"/>
      <c r="R11" s="67"/>
      <c r="S11" s="68">
        <f t="shared" ref="S11:S13" si="1">Q11+R11</f>
        <v>0</v>
      </c>
    </row>
    <row r="12" spans="1:20" ht="28.5" customHeight="1" x14ac:dyDescent="0.25">
      <c r="B12" s="2" t="s">
        <v>281</v>
      </c>
      <c r="C12" s="236" t="s">
        <v>334</v>
      </c>
      <c r="D12" s="93" t="s">
        <v>231</v>
      </c>
      <c r="E12" s="2" t="s">
        <v>282</v>
      </c>
      <c r="F12" s="2" t="s">
        <v>7</v>
      </c>
      <c r="G12" s="186">
        <v>2.63E-2</v>
      </c>
      <c r="H12" s="186">
        <v>0.1845</v>
      </c>
      <c r="I12" s="187">
        <v>44742</v>
      </c>
      <c r="J12" s="187">
        <v>44757</v>
      </c>
      <c r="K12" s="187">
        <v>43979</v>
      </c>
      <c r="L12" s="188" t="s">
        <v>283</v>
      </c>
      <c r="M12" s="79">
        <v>1027</v>
      </c>
      <c r="N12" s="67"/>
      <c r="O12" s="67">
        <f t="shared" si="0"/>
        <v>1027</v>
      </c>
      <c r="P12" s="66"/>
      <c r="Q12" s="67"/>
      <c r="R12" s="67"/>
      <c r="S12" s="68">
        <f t="shared" si="1"/>
        <v>0</v>
      </c>
    </row>
    <row r="13" spans="1:20" ht="28.5" customHeight="1" x14ac:dyDescent="0.25">
      <c r="B13" s="2" t="s">
        <v>287</v>
      </c>
      <c r="C13" s="236" t="s">
        <v>333</v>
      </c>
      <c r="D13" s="93" t="s">
        <v>288</v>
      </c>
      <c r="E13" s="2" t="s">
        <v>289</v>
      </c>
      <c r="F13" s="2" t="s">
        <v>7</v>
      </c>
      <c r="G13" s="186">
        <v>2.63E-2</v>
      </c>
      <c r="H13" s="186">
        <v>0.1845</v>
      </c>
      <c r="I13" s="187">
        <v>45199</v>
      </c>
      <c r="J13" s="187">
        <v>45199</v>
      </c>
      <c r="K13" s="187">
        <v>44201</v>
      </c>
      <c r="L13" s="188" t="s">
        <v>320</v>
      </c>
      <c r="M13" s="79">
        <v>187034.17</v>
      </c>
      <c r="N13" s="67"/>
      <c r="O13" s="67">
        <f t="shared" si="0"/>
        <v>187034.17</v>
      </c>
      <c r="P13" s="66"/>
      <c r="Q13" s="67">
        <v>104473.06</v>
      </c>
      <c r="R13" s="67"/>
      <c r="S13" s="68">
        <f t="shared" si="1"/>
        <v>104473.06</v>
      </c>
    </row>
    <row r="14" spans="1:20" x14ac:dyDescent="0.25">
      <c r="G14" s="186"/>
      <c r="H14" s="186"/>
      <c r="I14" s="187"/>
      <c r="J14" s="187"/>
      <c r="K14" s="187"/>
      <c r="L14" s="188"/>
      <c r="M14" s="25"/>
      <c r="N14" s="25"/>
      <c r="O14" s="25"/>
      <c r="P14" s="29"/>
      <c r="Q14" s="25"/>
      <c r="R14" s="25"/>
      <c r="S14" s="26"/>
    </row>
    <row r="15" spans="1:20" ht="23.25" customHeight="1" x14ac:dyDescent="0.25">
      <c r="C15" s="92"/>
      <c r="D15" s="92"/>
      <c r="G15" s="202"/>
      <c r="H15" s="186"/>
      <c r="I15" s="187"/>
      <c r="J15" s="187"/>
      <c r="K15" s="187"/>
      <c r="L15" s="205" t="s">
        <v>38</v>
      </c>
      <c r="M15" s="66">
        <f>SUM(M8:M14)</f>
        <v>290089.06</v>
      </c>
      <c r="N15" s="66">
        <f>SUM(N14:N14)</f>
        <v>0</v>
      </c>
      <c r="O15" s="66">
        <f>SUM(O8:O14)</f>
        <v>290089.06</v>
      </c>
      <c r="Q15" s="66">
        <f>SUM(Q8:Q14)</f>
        <v>104473.06</v>
      </c>
      <c r="R15" s="66">
        <f>SUM(R8:R14)</f>
        <v>0</v>
      </c>
      <c r="S15" s="68">
        <f>SUM(S8:S14)</f>
        <v>104473.06</v>
      </c>
    </row>
    <row r="16" spans="1:20" x14ac:dyDescent="0.25">
      <c r="C16" s="92"/>
      <c r="D16" s="92"/>
      <c r="I16" s="116"/>
      <c r="J16" s="116"/>
      <c r="K16" s="116"/>
      <c r="L16" s="5"/>
      <c r="M16" s="66"/>
      <c r="N16" s="66"/>
      <c r="O16" s="66"/>
      <c r="Q16" s="66"/>
      <c r="R16" s="66"/>
      <c r="S16" s="68"/>
    </row>
    <row r="17" spans="2:19" x14ac:dyDescent="0.25">
      <c r="C17" s="92"/>
      <c r="D17" s="92"/>
      <c r="I17" s="116"/>
      <c r="J17" s="116"/>
      <c r="K17" s="116"/>
      <c r="L17" s="5"/>
      <c r="M17" s="66"/>
      <c r="N17" s="66"/>
      <c r="O17" s="66"/>
      <c r="Q17" s="66"/>
      <c r="R17" s="66"/>
      <c r="S17" s="68"/>
    </row>
    <row r="18" spans="2:19" x14ac:dyDescent="0.25">
      <c r="C18" s="92"/>
      <c r="D18" s="92"/>
      <c r="L18" s="5"/>
      <c r="M18" s="66"/>
      <c r="N18" s="66"/>
      <c r="O18" s="66"/>
      <c r="Q18" s="66"/>
      <c r="R18" s="66"/>
      <c r="S18" s="68"/>
    </row>
    <row r="19" spans="2:19" x14ac:dyDescent="0.25">
      <c r="B19" s="8" t="s">
        <v>125</v>
      </c>
      <c r="C19" s="92"/>
      <c r="D19" s="92"/>
      <c r="L19" s="5"/>
      <c r="M19" s="66"/>
      <c r="N19" s="66"/>
      <c r="O19" s="66"/>
      <c r="Q19" s="66"/>
      <c r="R19" s="66"/>
      <c r="S19" s="68"/>
    </row>
    <row r="20" spans="2:19" ht="35.450000000000003" customHeight="1" x14ac:dyDescent="0.25">
      <c r="B20" s="341" t="s">
        <v>126</v>
      </c>
      <c r="C20" s="341"/>
      <c r="D20" s="341"/>
      <c r="E20" s="341"/>
      <c r="F20" s="108"/>
      <c r="G20" s="117"/>
      <c r="H20" s="117"/>
      <c r="I20" s="111"/>
      <c r="L20" s="5"/>
      <c r="M20" s="66"/>
      <c r="N20" s="66"/>
      <c r="O20" s="66"/>
      <c r="Q20" s="66"/>
      <c r="R20" s="66"/>
      <c r="S20" s="68"/>
    </row>
    <row r="21" spans="2:19" x14ac:dyDescent="0.25">
      <c r="C21" s="92"/>
      <c r="D21" s="92"/>
      <c r="L21" s="5"/>
      <c r="M21" s="66"/>
      <c r="N21" s="66"/>
      <c r="O21" s="66"/>
      <c r="Q21" s="66"/>
      <c r="R21" s="66"/>
      <c r="S21" s="68"/>
    </row>
    <row r="22" spans="2:19" ht="61.5" customHeight="1" x14ac:dyDescent="0.25">
      <c r="B22" s="341" t="s">
        <v>129</v>
      </c>
      <c r="C22" s="341"/>
      <c r="D22" s="341"/>
      <c r="E22" s="341"/>
      <c r="F22" s="108"/>
      <c r="G22" s="117"/>
      <c r="H22" s="117"/>
      <c r="I22" s="111"/>
      <c r="L22" s="5"/>
      <c r="M22" s="66"/>
      <c r="N22" s="66"/>
      <c r="O22" s="66"/>
      <c r="Q22" s="66"/>
      <c r="R22" s="66"/>
      <c r="S22" s="68"/>
    </row>
    <row r="23" spans="2:19" x14ac:dyDescent="0.25">
      <c r="B23" s="108"/>
      <c r="C23" s="108"/>
      <c r="D23" s="108"/>
      <c r="E23" s="108"/>
      <c r="F23" s="108"/>
      <c r="G23" s="117"/>
      <c r="H23" s="117"/>
      <c r="I23" s="111"/>
      <c r="L23" s="5"/>
      <c r="M23" s="66"/>
      <c r="N23" s="66"/>
      <c r="O23" s="66"/>
      <c r="Q23" s="66"/>
      <c r="R23" s="66"/>
      <c r="S23" s="68"/>
    </row>
    <row r="24" spans="2:19" ht="31.5" customHeight="1" x14ac:dyDescent="0.25">
      <c r="B24" s="341" t="s">
        <v>160</v>
      </c>
      <c r="C24" s="341"/>
      <c r="D24" s="341"/>
      <c r="E24" s="341"/>
      <c r="F24" s="341"/>
      <c r="G24" s="193"/>
      <c r="H24" s="193"/>
      <c r="I24" s="193"/>
      <c r="L24" s="5"/>
      <c r="M24" s="66"/>
      <c r="N24" s="66"/>
      <c r="O24" s="66"/>
      <c r="Q24" s="66"/>
      <c r="R24" s="66"/>
      <c r="S24" s="68"/>
    </row>
    <row r="25" spans="2:19" ht="15" customHeight="1" x14ac:dyDescent="0.25">
      <c r="B25" s="347" t="s">
        <v>159</v>
      </c>
      <c r="C25" s="341"/>
      <c r="D25" s="341"/>
      <c r="E25" s="341"/>
      <c r="F25" s="341"/>
      <c r="G25" s="193"/>
      <c r="H25" s="193"/>
      <c r="I25" s="193"/>
      <c r="L25" s="5"/>
      <c r="M25" s="66"/>
      <c r="N25" s="66"/>
      <c r="O25" s="66"/>
      <c r="Q25" s="66"/>
      <c r="R25" s="66"/>
      <c r="S25" s="68"/>
    </row>
    <row r="26" spans="2:19" ht="15" customHeight="1" x14ac:dyDescent="0.25">
      <c r="B26" s="195"/>
      <c r="C26" s="195"/>
      <c r="D26" s="195"/>
      <c r="E26" s="195"/>
      <c r="F26" s="195"/>
      <c r="G26" s="195"/>
      <c r="H26" s="195"/>
      <c r="I26" s="195"/>
      <c r="L26" s="5"/>
      <c r="M26" s="66"/>
      <c r="N26" s="66"/>
      <c r="O26" s="66"/>
      <c r="Q26" s="66"/>
      <c r="R26" s="66"/>
      <c r="S26" s="68"/>
    </row>
    <row r="27" spans="2:19" x14ac:dyDescent="0.25">
      <c r="B27" s="7" t="s">
        <v>109</v>
      </c>
      <c r="C27" s="101" t="s">
        <v>112</v>
      </c>
      <c r="D27" s="101" t="s">
        <v>113</v>
      </c>
      <c r="E27" s="108"/>
      <c r="F27" s="108"/>
      <c r="G27" s="117"/>
      <c r="H27" s="117"/>
      <c r="I27" s="111"/>
      <c r="L27" s="5"/>
      <c r="M27" s="66"/>
      <c r="N27" s="66"/>
      <c r="O27" s="66"/>
      <c r="Q27" s="66"/>
      <c r="R27" s="66"/>
      <c r="S27" s="68"/>
    </row>
    <row r="28" spans="2:19" x14ac:dyDescent="0.25">
      <c r="B28" s="2" t="s">
        <v>262</v>
      </c>
      <c r="C28" s="92" t="s">
        <v>180</v>
      </c>
      <c r="D28" s="92" t="s">
        <v>181</v>
      </c>
      <c r="E28" s="318"/>
      <c r="F28" s="318"/>
      <c r="G28" s="318"/>
      <c r="H28" s="318"/>
      <c r="I28" s="318"/>
      <c r="L28" s="5"/>
      <c r="M28" s="66"/>
      <c r="N28" s="66"/>
      <c r="O28" s="66"/>
      <c r="Q28" s="66"/>
      <c r="R28" s="66"/>
      <c r="S28" s="68"/>
    </row>
    <row r="29" spans="2:19" x14ac:dyDescent="0.25">
      <c r="B29" s="103" t="s">
        <v>111</v>
      </c>
      <c r="C29" s="92" t="s">
        <v>300</v>
      </c>
      <c r="D29" s="92" t="s">
        <v>303</v>
      </c>
      <c r="L29" s="5"/>
      <c r="M29" s="66"/>
      <c r="N29" s="66"/>
      <c r="O29" s="66"/>
      <c r="Q29" s="66"/>
      <c r="R29" s="66"/>
      <c r="S29" s="68"/>
    </row>
    <row r="30" spans="2:19" x14ac:dyDescent="0.25">
      <c r="B30" s="2" t="s">
        <v>230</v>
      </c>
      <c r="C30" s="92" t="s">
        <v>135</v>
      </c>
      <c r="D30" s="92" t="s">
        <v>147</v>
      </c>
      <c r="L30" s="5"/>
      <c r="M30" s="66"/>
      <c r="N30" s="66"/>
      <c r="O30" s="66"/>
      <c r="Q30" s="66"/>
      <c r="R30" s="66"/>
      <c r="S30" s="68"/>
    </row>
    <row r="31" spans="2:19" x14ac:dyDescent="0.25">
      <c r="B31" s="2" t="s">
        <v>275</v>
      </c>
      <c r="C31" s="92" t="s">
        <v>135</v>
      </c>
      <c r="D31" s="92" t="s">
        <v>147</v>
      </c>
      <c r="L31" s="5"/>
      <c r="M31" s="66"/>
      <c r="N31" s="66"/>
      <c r="O31" s="66"/>
      <c r="Q31" s="66"/>
      <c r="R31" s="66"/>
      <c r="S31" s="68"/>
    </row>
    <row r="32" spans="2:19" x14ac:dyDescent="0.25">
      <c r="B32" s="2" t="s">
        <v>279</v>
      </c>
      <c r="C32" s="92" t="s">
        <v>135</v>
      </c>
      <c r="D32" s="92" t="s">
        <v>147</v>
      </c>
      <c r="L32" s="5"/>
      <c r="M32" s="66"/>
      <c r="N32" s="66"/>
      <c r="O32" s="66"/>
      <c r="Q32" s="66"/>
      <c r="R32" s="66"/>
      <c r="S32" s="68"/>
    </row>
    <row r="33" spans="2:20" x14ac:dyDescent="0.25">
      <c r="B33" s="2" t="s">
        <v>281</v>
      </c>
      <c r="C33" s="92" t="s">
        <v>135</v>
      </c>
      <c r="D33" s="92" t="s">
        <v>147</v>
      </c>
      <c r="L33" s="5"/>
      <c r="M33" s="66"/>
      <c r="N33" s="66"/>
      <c r="O33" s="66"/>
      <c r="Q33" s="66"/>
      <c r="R33" s="66"/>
      <c r="S33" s="68"/>
    </row>
    <row r="34" spans="2:20" x14ac:dyDescent="0.25">
      <c r="B34" s="2" t="s">
        <v>286</v>
      </c>
      <c r="C34" s="92" t="s">
        <v>135</v>
      </c>
      <c r="D34" s="92" t="s">
        <v>147</v>
      </c>
      <c r="L34" s="5"/>
      <c r="M34" s="66"/>
      <c r="N34" s="66"/>
      <c r="O34" s="66"/>
      <c r="Q34" s="66"/>
      <c r="R34" s="66"/>
      <c r="S34" s="68"/>
    </row>
    <row r="35" spans="2:20" x14ac:dyDescent="0.25">
      <c r="C35" s="92"/>
      <c r="D35" s="92"/>
      <c r="L35" s="5"/>
      <c r="M35" s="66"/>
      <c r="N35" s="66"/>
      <c r="O35" s="66"/>
      <c r="Q35" s="66"/>
      <c r="R35" s="66"/>
      <c r="S35" s="68"/>
    </row>
    <row r="36" spans="2:20" x14ac:dyDescent="0.25">
      <c r="B36" s="259" t="s">
        <v>298</v>
      </c>
      <c r="C36" s="92"/>
      <c r="D36" s="92"/>
      <c r="L36" s="5"/>
      <c r="M36" s="66"/>
      <c r="N36" s="66"/>
      <c r="O36" s="66"/>
      <c r="Q36" s="66"/>
      <c r="R36" s="66"/>
      <c r="S36" s="68"/>
    </row>
    <row r="37" spans="2:20" x14ac:dyDescent="0.25">
      <c r="B37" s="220" t="s">
        <v>299</v>
      </c>
      <c r="C37" s="221"/>
      <c r="D37" s="221"/>
      <c r="E37" s="10"/>
      <c r="F37" s="10"/>
      <c r="G37" s="10"/>
      <c r="H37" s="10"/>
      <c r="I37" s="10"/>
      <c r="J37" s="10"/>
      <c r="K37" s="10"/>
      <c r="L37" s="219"/>
      <c r="M37" s="25"/>
      <c r="N37" s="25"/>
      <c r="O37" s="25"/>
      <c r="P37" s="10"/>
      <c r="Q37" s="25"/>
      <c r="R37" s="25"/>
      <c r="S37" s="26"/>
    </row>
    <row r="38" spans="2:20" x14ac:dyDescent="0.25">
      <c r="P38" s="29"/>
      <c r="Q38" s="58" t="s">
        <v>90</v>
      </c>
      <c r="R38" s="51"/>
      <c r="S38" s="167"/>
    </row>
    <row r="39" spans="2:20" ht="15" customHeight="1" x14ac:dyDescent="0.25">
      <c r="B39" s="17" t="s">
        <v>39</v>
      </c>
      <c r="C39" s="96" t="s">
        <v>2</v>
      </c>
      <c r="D39" s="96"/>
      <c r="E39" s="96" t="s">
        <v>34</v>
      </c>
      <c r="F39" s="96" t="s">
        <v>35</v>
      </c>
      <c r="G39" s="120"/>
      <c r="H39" s="120"/>
      <c r="I39" s="114"/>
      <c r="J39" s="96"/>
      <c r="K39" s="96"/>
      <c r="L39" s="96" t="s">
        <v>36</v>
      </c>
      <c r="M39" s="96" t="s">
        <v>37</v>
      </c>
      <c r="N39" s="10"/>
      <c r="O39" s="10"/>
      <c r="P39" s="10"/>
      <c r="Q39" s="54" t="s">
        <v>88</v>
      </c>
      <c r="R39" s="54"/>
      <c r="S39" s="55"/>
    </row>
    <row r="40" spans="2:20" ht="15" customHeight="1" x14ac:dyDescent="0.25">
      <c r="B40" s="63"/>
      <c r="C40" s="9"/>
      <c r="D40" s="9"/>
      <c r="E40" s="9"/>
      <c r="F40" s="9"/>
      <c r="G40" s="9"/>
      <c r="H40" s="9"/>
      <c r="I40" s="9"/>
      <c r="J40" s="9"/>
      <c r="K40" s="9"/>
      <c r="L40" s="9"/>
      <c r="M40" s="9"/>
    </row>
    <row r="41" spans="2:20" ht="15" customHeight="1" x14ac:dyDescent="0.25">
      <c r="B41" s="63"/>
      <c r="C41" s="9"/>
      <c r="D41" s="9"/>
      <c r="E41" s="9"/>
      <c r="F41" s="9"/>
      <c r="G41" s="9"/>
      <c r="H41" s="9"/>
      <c r="I41" s="9"/>
      <c r="J41" s="9"/>
      <c r="K41" s="9"/>
      <c r="L41" s="9"/>
      <c r="M41" s="9"/>
      <c r="Q41" s="58"/>
      <c r="R41" s="51"/>
      <c r="S41" s="51"/>
    </row>
    <row r="42" spans="2:20" x14ac:dyDescent="0.25">
      <c r="B42" s="12"/>
      <c r="C42" s="13"/>
      <c r="D42" s="13"/>
      <c r="E42" s="41"/>
      <c r="F42" s="15"/>
      <c r="G42" s="15"/>
      <c r="H42" s="15"/>
      <c r="I42" s="15"/>
      <c r="J42" s="15"/>
      <c r="K42" s="15"/>
      <c r="L42" s="16"/>
      <c r="M42" s="20"/>
      <c r="N42" s="46"/>
      <c r="O42" s="46"/>
      <c r="P42" s="46"/>
      <c r="R42" s="51"/>
      <c r="S42" s="51"/>
      <c r="T42" s="51"/>
    </row>
    <row r="43" spans="2:20" x14ac:dyDescent="0.25">
      <c r="B43" s="12"/>
      <c r="C43" s="13"/>
      <c r="D43" s="13"/>
      <c r="E43" s="41"/>
      <c r="F43" s="15"/>
      <c r="G43" s="15"/>
      <c r="H43" s="15"/>
      <c r="I43" s="15"/>
      <c r="J43" s="15"/>
      <c r="K43" s="15"/>
      <c r="L43" s="16"/>
      <c r="M43" s="20"/>
      <c r="N43" s="46"/>
      <c r="O43" s="46"/>
      <c r="P43" s="46"/>
      <c r="R43" s="51"/>
      <c r="S43" s="51"/>
      <c r="T43" s="51"/>
    </row>
    <row r="44" spans="2:20" x14ac:dyDescent="0.25">
      <c r="B44" s="12"/>
      <c r="C44" s="13"/>
      <c r="D44" s="13"/>
      <c r="E44" s="41"/>
      <c r="F44" s="15"/>
      <c r="G44" s="15"/>
      <c r="H44" s="15"/>
      <c r="I44" s="15"/>
      <c r="J44" s="15"/>
      <c r="K44" s="15"/>
      <c r="L44" s="16"/>
      <c r="M44" s="20"/>
      <c r="N44" s="46"/>
      <c r="O44" s="46"/>
      <c r="P44" s="46"/>
      <c r="R44" s="51"/>
      <c r="S44" s="51"/>
      <c r="T44" s="51"/>
    </row>
    <row r="45" spans="2:20" x14ac:dyDescent="0.25">
      <c r="B45" s="12"/>
      <c r="C45" s="13"/>
      <c r="D45" s="13"/>
      <c r="E45" s="41"/>
      <c r="F45" s="15"/>
      <c r="G45" s="15"/>
      <c r="H45" s="15"/>
      <c r="I45" s="15"/>
      <c r="J45" s="15"/>
      <c r="K45" s="15"/>
      <c r="L45" s="16"/>
      <c r="M45" s="20"/>
      <c r="N45" s="46"/>
      <c r="O45" s="46"/>
      <c r="P45" s="46"/>
      <c r="R45" s="51"/>
      <c r="S45" s="51"/>
      <c r="T45" s="51"/>
    </row>
    <row r="46" spans="2:20" x14ac:dyDescent="0.25">
      <c r="B46" s="12"/>
      <c r="C46" s="13"/>
      <c r="D46" s="13"/>
      <c r="E46" s="41"/>
      <c r="F46" s="15"/>
      <c r="G46" s="15"/>
      <c r="H46" s="15"/>
      <c r="I46" s="15"/>
      <c r="J46" s="15"/>
      <c r="K46" s="15"/>
      <c r="L46" s="16"/>
      <c r="M46" s="20"/>
      <c r="N46" s="46"/>
      <c r="O46" s="46"/>
      <c r="P46" s="46"/>
      <c r="R46" s="51"/>
      <c r="S46" s="51"/>
      <c r="T46" s="51"/>
    </row>
    <row r="47" spans="2:20" ht="15" customHeight="1" x14ac:dyDescent="0.25">
      <c r="B47" s="12"/>
      <c r="C47" s="13"/>
      <c r="D47" s="13"/>
      <c r="E47" s="41"/>
      <c r="F47" s="15"/>
      <c r="G47" s="15"/>
      <c r="H47" s="15"/>
      <c r="I47" s="15"/>
      <c r="J47" s="15"/>
      <c r="K47" s="15"/>
      <c r="L47" s="16"/>
      <c r="M47" s="20"/>
      <c r="N47" s="18"/>
      <c r="O47" s="18"/>
      <c r="P47" s="18"/>
      <c r="Q47" s="51"/>
      <c r="R47" s="51"/>
      <c r="S47" s="51"/>
      <c r="T47" s="51"/>
    </row>
    <row r="48" spans="2:20" ht="15" customHeight="1" x14ac:dyDescent="0.25">
      <c r="B48" s="12"/>
      <c r="C48" s="13"/>
      <c r="D48" s="13"/>
      <c r="E48" s="41"/>
      <c r="F48" s="15"/>
      <c r="G48" s="15"/>
      <c r="H48" s="15"/>
      <c r="I48" s="15"/>
      <c r="J48" s="15"/>
      <c r="K48" s="15"/>
      <c r="L48" s="16"/>
      <c r="M48" s="20"/>
      <c r="N48" s="18"/>
      <c r="O48" s="18"/>
      <c r="P48" s="18"/>
      <c r="Q48" s="51"/>
      <c r="R48" s="51"/>
      <c r="S48" s="51"/>
      <c r="T48" s="51"/>
    </row>
    <row r="49" spans="2:20" ht="15" customHeight="1" x14ac:dyDescent="0.25">
      <c r="B49" s="12"/>
      <c r="C49" s="13"/>
      <c r="D49" s="13"/>
      <c r="E49" s="41"/>
      <c r="F49" s="15"/>
      <c r="G49" s="15"/>
      <c r="H49" s="15"/>
      <c r="I49" s="15"/>
      <c r="J49" s="15"/>
      <c r="K49" s="15"/>
      <c r="L49" s="16"/>
      <c r="M49" s="20"/>
      <c r="N49" s="18"/>
      <c r="O49" s="18"/>
      <c r="P49" s="18"/>
      <c r="Q49" s="51"/>
      <c r="R49" s="51"/>
      <c r="S49" s="51"/>
      <c r="T49" s="51"/>
    </row>
    <row r="50" spans="2:20" x14ac:dyDescent="0.25">
      <c r="B50" s="36"/>
      <c r="C50" s="40"/>
      <c r="D50" s="40"/>
      <c r="E50" s="41"/>
      <c r="F50" s="38"/>
      <c r="G50" s="38"/>
      <c r="H50" s="38"/>
      <c r="I50" s="38"/>
      <c r="J50" s="38"/>
      <c r="K50" s="38"/>
      <c r="L50" s="39"/>
      <c r="M50" s="34"/>
      <c r="N50" s="104"/>
      <c r="O50" s="29"/>
      <c r="P50" s="29"/>
    </row>
    <row r="51" spans="2:20" x14ac:dyDescent="0.25">
      <c r="C51" s="40"/>
      <c r="D51" s="40"/>
      <c r="E51" s="41"/>
      <c r="F51" s="69"/>
      <c r="G51" s="69"/>
      <c r="H51" s="69"/>
      <c r="I51" s="69"/>
      <c r="J51" s="69"/>
      <c r="K51" s="69"/>
      <c r="L51" s="33"/>
      <c r="M51" s="31"/>
      <c r="N51" s="104"/>
    </row>
    <row r="52" spans="2:20" x14ac:dyDescent="0.25">
      <c r="C52" s="40"/>
      <c r="D52" s="40"/>
      <c r="E52" s="41"/>
      <c r="F52" s="69"/>
      <c r="G52" s="69"/>
      <c r="H52" s="69"/>
      <c r="I52" s="69"/>
      <c r="J52" s="69"/>
      <c r="K52" s="69"/>
      <c r="L52" s="33"/>
      <c r="M52" s="31"/>
      <c r="N52" s="105"/>
    </row>
    <row r="53" spans="2:20" x14ac:dyDescent="0.25">
      <c r="C53" s="40"/>
      <c r="D53" s="40"/>
      <c r="E53" s="41"/>
      <c r="F53" s="69"/>
      <c r="G53" s="69"/>
      <c r="H53" s="69"/>
      <c r="I53" s="69"/>
      <c r="J53" s="69"/>
      <c r="K53" s="69"/>
      <c r="L53" s="33"/>
      <c r="M53" s="31"/>
      <c r="N53" s="105"/>
    </row>
    <row r="54" spans="2:20" x14ac:dyDescent="0.25">
      <c r="C54" s="40"/>
      <c r="D54" s="40"/>
      <c r="E54" s="41"/>
      <c r="F54" s="69"/>
      <c r="G54" s="69"/>
      <c r="H54" s="69"/>
      <c r="I54" s="69"/>
      <c r="J54" s="69"/>
      <c r="K54" s="69"/>
      <c r="L54" s="33"/>
      <c r="M54" s="31"/>
      <c r="N54" s="105"/>
    </row>
    <row r="55" spans="2:20" ht="15" customHeight="1" x14ac:dyDescent="0.25">
      <c r="B55" s="36"/>
      <c r="C55" s="40"/>
      <c r="D55" s="40"/>
      <c r="E55" s="41"/>
      <c r="F55" s="38"/>
      <c r="G55" s="38"/>
      <c r="H55" s="38"/>
      <c r="I55" s="38"/>
      <c r="J55" s="38"/>
      <c r="K55" s="38"/>
      <c r="L55" s="33"/>
      <c r="M55" s="31"/>
      <c r="N55" s="99"/>
      <c r="O55" s="99"/>
      <c r="P55" s="29"/>
      <c r="Q55" s="309" t="s">
        <v>316</v>
      </c>
      <c r="R55" s="309"/>
      <c r="S55" s="310">
        <f>S15</f>
        <v>104473.06</v>
      </c>
    </row>
    <row r="56" spans="2:20" x14ac:dyDescent="0.25">
      <c r="B56" s="36"/>
      <c r="C56" s="40"/>
      <c r="D56" s="40"/>
      <c r="E56" s="41"/>
      <c r="F56" s="38"/>
      <c r="G56" s="38"/>
      <c r="H56" s="38"/>
      <c r="I56" s="38"/>
      <c r="J56" s="38"/>
      <c r="K56" s="38"/>
      <c r="L56" s="33"/>
      <c r="M56" s="31"/>
      <c r="N56" s="99"/>
      <c r="O56" s="99"/>
      <c r="P56" s="29"/>
    </row>
    <row r="57" spans="2:20" x14ac:dyDescent="0.25">
      <c r="B57" s="36"/>
      <c r="C57" s="40"/>
      <c r="D57" s="40"/>
      <c r="E57" s="41"/>
      <c r="F57" s="38"/>
      <c r="G57" s="38"/>
      <c r="H57" s="38"/>
      <c r="I57" s="38"/>
      <c r="J57" s="38"/>
      <c r="K57" s="38"/>
      <c r="L57" s="33"/>
      <c r="M57" s="31"/>
      <c r="N57" s="99"/>
      <c r="O57" s="99"/>
      <c r="P57" s="29"/>
    </row>
    <row r="58" spans="2:20" ht="16.5" customHeight="1" x14ac:dyDescent="0.25">
      <c r="B58" s="36"/>
      <c r="C58" s="40"/>
      <c r="D58" s="40"/>
      <c r="E58" s="41"/>
      <c r="F58" s="38"/>
      <c r="G58" s="38"/>
      <c r="H58" s="38"/>
      <c r="I58" s="38"/>
      <c r="J58" s="38"/>
      <c r="K58" s="38"/>
      <c r="L58" s="39"/>
      <c r="M58" s="20"/>
      <c r="N58" s="99"/>
      <c r="O58" s="99"/>
      <c r="P58" s="29"/>
    </row>
    <row r="59" spans="2:20" ht="15" hidden="1" customHeight="1" x14ac:dyDescent="0.25"/>
    <row r="60" spans="2:20" ht="15" customHeight="1" x14ac:dyDescent="0.25">
      <c r="E60" s="21"/>
      <c r="F60" s="102"/>
      <c r="G60" s="102"/>
      <c r="H60" s="102"/>
      <c r="I60" s="102"/>
      <c r="J60" s="102"/>
      <c r="K60" s="102"/>
    </row>
    <row r="63" spans="2:20" ht="15" customHeight="1" x14ac:dyDescent="0.25"/>
  </sheetData>
  <mergeCells count="6">
    <mergeCell ref="B25:F25"/>
    <mergeCell ref="Q2:S2"/>
    <mergeCell ref="Q1:S1"/>
    <mergeCell ref="B20:E20"/>
    <mergeCell ref="B22:E22"/>
    <mergeCell ref="B24:F24"/>
  </mergeCells>
  <hyperlinks>
    <hyperlink ref="B25" r:id="rId1"/>
  </hyperlinks>
  <printOptions horizontalCentered="1" gridLines="1"/>
  <pageMargins left="0" right="0" top="0.75" bottom="0.75" header="0.3" footer="0.3"/>
  <pageSetup scale="54" orientation="landscape" horizontalDpi="1200" verticalDpi="1200"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6"/>
  <sheetViews>
    <sheetView topLeftCell="B6" zoomScale="90" zoomScaleNormal="90" workbookViewId="0">
      <selection activeCell="S7" sqref="S7"/>
    </sheetView>
  </sheetViews>
  <sheetFormatPr defaultColWidth="9.140625" defaultRowHeight="15" x14ac:dyDescent="0.25"/>
  <cols>
    <col min="1" max="1" width="9.140625" style="2" hidden="1" customWidth="1"/>
    <col min="2" max="2" width="60.140625" style="2" customWidth="1"/>
    <col min="3" max="3" width="26.7109375" style="2" customWidth="1"/>
    <col min="4" max="4" width="13.7109375" style="2" customWidth="1"/>
    <col min="5" max="5" width="18.28515625" style="2" customWidth="1"/>
    <col min="6" max="6" width="21.85546875" style="2" customWidth="1"/>
    <col min="7" max="7" width="10.28515625" style="2" customWidth="1"/>
    <col min="8" max="8" width="12.85546875" style="2" customWidth="1"/>
    <col min="9" max="9" width="13.42578125" style="2" customWidth="1"/>
    <col min="10" max="10" width="15.7109375" style="2" customWidth="1"/>
    <col min="11" max="11" width="8.85546875" style="2" customWidth="1"/>
    <col min="12" max="12" width="17.5703125" style="2" customWidth="1"/>
    <col min="13" max="13" width="16.5703125" style="2" customWidth="1"/>
    <col min="14" max="14" width="13.7109375" style="2" customWidth="1"/>
    <col min="15" max="15" width="14.42578125" style="2" customWidth="1"/>
    <col min="16" max="16" width="3.140625" style="2" customWidth="1"/>
    <col min="17" max="17" width="14.5703125" style="2" customWidth="1"/>
    <col min="18" max="18" width="14.140625" style="2" customWidth="1"/>
    <col min="19" max="19" width="16.7109375" style="2" customWidth="1"/>
    <col min="20" max="16384" width="9.140625" style="2"/>
  </cols>
  <sheetData>
    <row r="1" spans="1:20" ht="18" customHeight="1" x14ac:dyDescent="0.25">
      <c r="B1" s="1" t="s">
        <v>91</v>
      </c>
      <c r="Q1" s="338" t="s">
        <v>296</v>
      </c>
      <c r="R1" s="338"/>
      <c r="S1" s="338"/>
    </row>
    <row r="2" spans="1:20" ht="18" customHeight="1" x14ac:dyDescent="0.25">
      <c r="B2" s="88" t="s">
        <v>148</v>
      </c>
      <c r="C2" s="182">
        <v>44742</v>
      </c>
      <c r="M2" s="71"/>
      <c r="N2" s="71"/>
      <c r="P2" s="29"/>
      <c r="Q2" s="337" t="s">
        <v>375</v>
      </c>
      <c r="R2" s="337"/>
      <c r="S2" s="337"/>
    </row>
    <row r="3" spans="1:20" ht="18" customHeight="1" thickBot="1" x14ac:dyDescent="0.3">
      <c r="A3" s="2" t="s">
        <v>16</v>
      </c>
      <c r="B3" s="44" t="s">
        <v>87</v>
      </c>
      <c r="C3" s="8"/>
      <c r="D3" s="8"/>
      <c r="E3" s="8"/>
      <c r="P3" s="29"/>
      <c r="Q3" s="45"/>
      <c r="R3" s="30"/>
    </row>
    <row r="4" spans="1:20" ht="18.75" customHeight="1" x14ac:dyDescent="0.25">
      <c r="B4" s="8" t="s">
        <v>174</v>
      </c>
      <c r="M4" s="85" t="s">
        <v>28</v>
      </c>
      <c r="N4" s="85" t="s">
        <v>28</v>
      </c>
      <c r="O4" s="85" t="s">
        <v>28</v>
      </c>
      <c r="P4" s="9"/>
      <c r="Q4" s="89" t="s">
        <v>29</v>
      </c>
      <c r="R4" s="89" t="s">
        <v>31</v>
      </c>
      <c r="S4" s="89" t="s">
        <v>23</v>
      </c>
      <c r="T4" s="7"/>
    </row>
    <row r="5" spans="1:20" ht="15.75" thickBot="1" x14ac:dyDescent="0.3">
      <c r="G5" s="183" t="s">
        <v>295</v>
      </c>
      <c r="H5" s="183" t="s">
        <v>295</v>
      </c>
      <c r="M5" s="86" t="s">
        <v>27</v>
      </c>
      <c r="N5" s="86" t="s">
        <v>26</v>
      </c>
      <c r="O5" s="86" t="s">
        <v>25</v>
      </c>
      <c r="P5" s="9"/>
      <c r="Q5" s="90" t="s">
        <v>30</v>
      </c>
      <c r="R5" s="90" t="s">
        <v>30</v>
      </c>
      <c r="S5" s="90" t="s">
        <v>30</v>
      </c>
      <c r="T5" s="7"/>
    </row>
    <row r="6" spans="1:20" ht="85.5" customHeight="1" thickBot="1" x14ac:dyDescent="0.3">
      <c r="B6" s="84" t="s">
        <v>1</v>
      </c>
      <c r="C6" s="84" t="s">
        <v>389</v>
      </c>
      <c r="D6" s="84" t="s">
        <v>107</v>
      </c>
      <c r="E6" s="84" t="s">
        <v>3</v>
      </c>
      <c r="F6" s="84" t="s">
        <v>4</v>
      </c>
      <c r="G6" s="107" t="s">
        <v>136</v>
      </c>
      <c r="H6" s="107" t="s">
        <v>137</v>
      </c>
      <c r="I6" s="107" t="s">
        <v>133</v>
      </c>
      <c r="J6" s="107" t="s">
        <v>134</v>
      </c>
      <c r="K6" s="107" t="s">
        <v>121</v>
      </c>
      <c r="L6" s="83" t="s">
        <v>5</v>
      </c>
      <c r="M6" s="87" t="s">
        <v>6</v>
      </c>
      <c r="N6" s="87" t="s">
        <v>6</v>
      </c>
      <c r="O6" s="87" t="s">
        <v>6</v>
      </c>
      <c r="P6" s="9"/>
      <c r="Q6" s="91"/>
      <c r="R6" s="97" t="s">
        <v>32</v>
      </c>
      <c r="S6" s="98" t="s">
        <v>33</v>
      </c>
    </row>
    <row r="7" spans="1:20" ht="30.75" customHeight="1" x14ac:dyDescent="0.25">
      <c r="B7" s="2" t="s">
        <v>8</v>
      </c>
      <c r="C7" s="92" t="s">
        <v>106</v>
      </c>
      <c r="D7" s="92" t="s">
        <v>306</v>
      </c>
      <c r="E7" s="2" t="s">
        <v>307</v>
      </c>
      <c r="F7" s="2" t="s">
        <v>7</v>
      </c>
      <c r="G7" s="186">
        <v>2.63E-2</v>
      </c>
      <c r="H7" s="186">
        <v>0.1845</v>
      </c>
      <c r="I7" s="187">
        <v>44742</v>
      </c>
      <c r="J7" s="187">
        <v>44743</v>
      </c>
      <c r="K7" s="187">
        <v>44378</v>
      </c>
      <c r="L7" s="188" t="s">
        <v>297</v>
      </c>
      <c r="M7" s="67">
        <v>188292</v>
      </c>
      <c r="N7" s="144"/>
      <c r="O7" s="67">
        <f t="shared" ref="O7:O21" si="0">M7+N7</f>
        <v>188292</v>
      </c>
      <c r="P7" s="29"/>
      <c r="Q7" s="67">
        <f>37286.84+56338.73+50609.4+27160.39</f>
        <v>171395.36</v>
      </c>
      <c r="R7" s="67"/>
      <c r="S7" s="68">
        <f>SUM(Q7:R7)</f>
        <v>171395.36</v>
      </c>
    </row>
    <row r="8" spans="1:20" ht="37.5" customHeight="1" x14ac:dyDescent="0.25">
      <c r="B8" s="2" t="s">
        <v>257</v>
      </c>
      <c r="C8" s="236" t="s">
        <v>260</v>
      </c>
      <c r="D8" s="93" t="s">
        <v>258</v>
      </c>
      <c r="E8" s="2" t="s">
        <v>259</v>
      </c>
      <c r="F8" s="2" t="s">
        <v>7</v>
      </c>
      <c r="G8" s="186">
        <v>2.63E-2</v>
      </c>
      <c r="H8" s="186">
        <v>0.1845</v>
      </c>
      <c r="I8" s="187">
        <v>44439</v>
      </c>
      <c r="J8" s="187">
        <v>44454</v>
      </c>
      <c r="K8" s="187">
        <v>44013</v>
      </c>
      <c r="L8" s="188" t="s">
        <v>290</v>
      </c>
      <c r="M8" s="79">
        <v>2000</v>
      </c>
      <c r="N8" s="67">
        <f>2093.15+730.57</f>
        <v>2823.7200000000003</v>
      </c>
      <c r="O8" s="67">
        <f>M8+N8</f>
        <v>4823.72</v>
      </c>
      <c r="P8" s="67"/>
      <c r="Q8" s="67">
        <v>0</v>
      </c>
      <c r="R8" s="67"/>
      <c r="S8" s="68">
        <f>Q8+R8</f>
        <v>0</v>
      </c>
    </row>
    <row r="9" spans="1:20" ht="34.5" customHeight="1" x14ac:dyDescent="0.25">
      <c r="B9" s="2" t="s">
        <v>128</v>
      </c>
      <c r="C9" s="225" t="s">
        <v>122</v>
      </c>
      <c r="D9" s="93" t="s">
        <v>310</v>
      </c>
      <c r="E9" s="2" t="s">
        <v>309</v>
      </c>
      <c r="F9" s="2" t="s">
        <v>7</v>
      </c>
      <c r="G9" s="186">
        <v>2.63E-2</v>
      </c>
      <c r="H9" s="186">
        <v>0.1845</v>
      </c>
      <c r="I9" s="187">
        <v>44742</v>
      </c>
      <c r="J9" s="187">
        <v>44743</v>
      </c>
      <c r="K9" s="187">
        <v>44378</v>
      </c>
      <c r="L9" s="204" t="s">
        <v>297</v>
      </c>
      <c r="M9" s="67"/>
      <c r="N9" s="144"/>
      <c r="O9" s="67">
        <f t="shared" si="0"/>
        <v>0</v>
      </c>
      <c r="P9" s="29"/>
      <c r="Q9" s="67"/>
      <c r="R9" s="67"/>
      <c r="S9" s="68">
        <f>SUM(Q9:R9)</f>
        <v>0</v>
      </c>
    </row>
    <row r="10" spans="1:20" ht="37.5" customHeight="1" x14ac:dyDescent="0.25">
      <c r="B10" s="2" t="s">
        <v>223</v>
      </c>
      <c r="C10" s="236" t="s">
        <v>333</v>
      </c>
      <c r="D10" s="93" t="s">
        <v>224</v>
      </c>
      <c r="E10" s="2" t="s">
        <v>225</v>
      </c>
      <c r="F10" s="2" t="s">
        <v>7</v>
      </c>
      <c r="G10" s="186">
        <v>2.63E-2</v>
      </c>
      <c r="H10" s="186">
        <v>0.1845</v>
      </c>
      <c r="I10" s="187">
        <v>44834</v>
      </c>
      <c r="J10" s="187">
        <v>44849</v>
      </c>
      <c r="K10" s="187">
        <v>43614</v>
      </c>
      <c r="L10" s="188" t="s">
        <v>274</v>
      </c>
      <c r="M10" s="67">
        <v>100765.51</v>
      </c>
      <c r="N10" s="144"/>
      <c r="O10" s="67">
        <f t="shared" si="0"/>
        <v>100765.51</v>
      </c>
      <c r="P10" s="29"/>
      <c r="Q10" s="67">
        <v>100765.51</v>
      </c>
      <c r="R10" s="67"/>
      <c r="S10" s="68">
        <f>SUM(Q10:R10)</f>
        <v>100765.51</v>
      </c>
    </row>
    <row r="11" spans="1:20" ht="29.25" customHeight="1" x14ac:dyDescent="0.25">
      <c r="B11" s="2" t="s">
        <v>275</v>
      </c>
      <c r="C11" s="236" t="s">
        <v>333</v>
      </c>
      <c r="D11" s="93" t="s">
        <v>224</v>
      </c>
      <c r="E11" s="2" t="s">
        <v>276</v>
      </c>
      <c r="F11" s="2" t="s">
        <v>7</v>
      </c>
      <c r="G11" s="186">
        <v>2.63E-2</v>
      </c>
      <c r="H11" s="186">
        <v>0.1845</v>
      </c>
      <c r="I11" s="297">
        <v>44773</v>
      </c>
      <c r="J11" s="297">
        <v>44788</v>
      </c>
      <c r="K11" s="187">
        <v>43980</v>
      </c>
      <c r="L11" s="188" t="s">
        <v>277</v>
      </c>
      <c r="M11" s="79">
        <v>5423.71</v>
      </c>
      <c r="N11" s="70"/>
      <c r="O11" s="67">
        <f t="shared" si="0"/>
        <v>5423.71</v>
      </c>
      <c r="P11" s="67"/>
      <c r="Q11" s="67"/>
      <c r="R11" s="67"/>
      <c r="S11" s="68">
        <f>Q11+R11</f>
        <v>0</v>
      </c>
    </row>
    <row r="12" spans="1:20" ht="29.25" customHeight="1" x14ac:dyDescent="0.25">
      <c r="B12" s="2" t="s">
        <v>279</v>
      </c>
      <c r="C12" s="236" t="s">
        <v>333</v>
      </c>
      <c r="D12" s="93" t="s">
        <v>224</v>
      </c>
      <c r="E12" s="2" t="s">
        <v>280</v>
      </c>
      <c r="F12" s="2" t="s">
        <v>7</v>
      </c>
      <c r="G12" s="186">
        <v>2.63E-2</v>
      </c>
      <c r="H12" s="186">
        <v>0.1845</v>
      </c>
      <c r="I12" s="187">
        <v>44592</v>
      </c>
      <c r="J12" s="187">
        <v>44592</v>
      </c>
      <c r="K12" s="187">
        <v>43980</v>
      </c>
      <c r="L12" s="188" t="s">
        <v>332</v>
      </c>
      <c r="M12" s="79">
        <v>3000</v>
      </c>
      <c r="N12" s="67"/>
      <c r="O12" s="67">
        <f t="shared" si="0"/>
        <v>3000</v>
      </c>
      <c r="P12" s="66"/>
      <c r="Q12" s="67"/>
      <c r="R12" s="67"/>
      <c r="S12" s="68">
        <f t="shared" ref="S12:S21" si="1">Q12+R12</f>
        <v>0</v>
      </c>
    </row>
    <row r="13" spans="1:20" ht="29.25" customHeight="1" x14ac:dyDescent="0.25">
      <c r="B13" s="2" t="s">
        <v>281</v>
      </c>
      <c r="C13" s="236" t="s">
        <v>334</v>
      </c>
      <c r="D13" s="93" t="s">
        <v>231</v>
      </c>
      <c r="E13" s="2" t="s">
        <v>282</v>
      </c>
      <c r="F13" s="2" t="s">
        <v>7</v>
      </c>
      <c r="G13" s="186">
        <v>2.63E-2</v>
      </c>
      <c r="H13" s="186">
        <v>0.1845</v>
      </c>
      <c r="I13" s="187">
        <v>44742</v>
      </c>
      <c r="J13" s="187">
        <v>44757</v>
      </c>
      <c r="K13" s="187">
        <v>43979</v>
      </c>
      <c r="L13" s="188" t="s">
        <v>283</v>
      </c>
      <c r="M13" s="79">
        <v>1027</v>
      </c>
      <c r="N13" s="67"/>
      <c r="O13" s="67">
        <f t="shared" si="0"/>
        <v>1027</v>
      </c>
      <c r="P13" s="66"/>
      <c r="Q13" s="67"/>
      <c r="R13" s="67"/>
      <c r="S13" s="68">
        <f t="shared" si="1"/>
        <v>0</v>
      </c>
    </row>
    <row r="14" spans="1:20" ht="29.25" customHeight="1" x14ac:dyDescent="0.25">
      <c r="B14" s="2" t="s">
        <v>321</v>
      </c>
      <c r="C14" s="236" t="s">
        <v>333</v>
      </c>
      <c r="D14" s="93" t="s">
        <v>288</v>
      </c>
      <c r="E14" s="2" t="s">
        <v>322</v>
      </c>
      <c r="F14" s="2" t="s">
        <v>7</v>
      </c>
      <c r="G14" s="186">
        <f>G13:H13</f>
        <v>2.63E-2</v>
      </c>
      <c r="H14" s="186">
        <f>H13</f>
        <v>0.1845</v>
      </c>
      <c r="I14" s="187">
        <v>45199</v>
      </c>
      <c r="J14" s="187">
        <v>45214</v>
      </c>
      <c r="K14" s="187">
        <v>44201</v>
      </c>
      <c r="L14" s="188" t="s">
        <v>323</v>
      </c>
      <c r="M14" s="79">
        <v>99075.89</v>
      </c>
      <c r="N14" s="67"/>
      <c r="O14" s="67">
        <f t="shared" si="0"/>
        <v>99075.89</v>
      </c>
      <c r="P14" s="66"/>
      <c r="Q14" s="67"/>
      <c r="R14" s="67"/>
      <c r="S14" s="68">
        <f t="shared" si="1"/>
        <v>0</v>
      </c>
    </row>
    <row r="15" spans="1:20" ht="29.25" customHeight="1" x14ac:dyDescent="0.25">
      <c r="B15" s="2" t="s">
        <v>324</v>
      </c>
      <c r="C15" s="236" t="s">
        <v>333</v>
      </c>
      <c r="D15" s="93" t="s">
        <v>288</v>
      </c>
      <c r="E15" s="2" t="s">
        <v>329</v>
      </c>
      <c r="F15" s="2" t="s">
        <v>7</v>
      </c>
      <c r="G15" s="186">
        <f>G14:H14</f>
        <v>2.63E-2</v>
      </c>
      <c r="H15" s="186">
        <f>H14</f>
        <v>0.1845</v>
      </c>
      <c r="I15" s="187">
        <v>45199</v>
      </c>
      <c r="J15" s="187">
        <v>45214</v>
      </c>
      <c r="K15" s="187">
        <v>44201</v>
      </c>
      <c r="L15" s="188" t="s">
        <v>325</v>
      </c>
      <c r="M15" s="79">
        <v>37843</v>
      </c>
      <c r="N15" s="67"/>
      <c r="O15" s="67">
        <f t="shared" si="0"/>
        <v>37843</v>
      </c>
      <c r="P15" s="66"/>
      <c r="Q15" s="67"/>
      <c r="R15" s="67"/>
      <c r="S15" s="68">
        <f t="shared" si="1"/>
        <v>0</v>
      </c>
    </row>
    <row r="16" spans="1:20" ht="29.25" customHeight="1" x14ac:dyDescent="0.25">
      <c r="B16" s="2" t="s">
        <v>326</v>
      </c>
      <c r="C16" s="236" t="s">
        <v>333</v>
      </c>
      <c r="D16" s="93" t="s">
        <v>288</v>
      </c>
      <c r="E16" s="2" t="s">
        <v>330</v>
      </c>
      <c r="F16" s="2" t="s">
        <v>7</v>
      </c>
      <c r="G16" s="186">
        <f>G15:H15</f>
        <v>2.63E-2</v>
      </c>
      <c r="H16" s="186">
        <f>H15</f>
        <v>0.1845</v>
      </c>
      <c r="I16" s="187">
        <v>45199</v>
      </c>
      <c r="J16" s="187">
        <v>45214</v>
      </c>
      <c r="K16" s="187">
        <v>44201</v>
      </c>
      <c r="L16" s="188" t="s">
        <v>323</v>
      </c>
      <c r="M16" s="79">
        <v>26007.42</v>
      </c>
      <c r="N16" s="67"/>
      <c r="O16" s="67">
        <f t="shared" si="0"/>
        <v>26007.42</v>
      </c>
      <c r="P16" s="66"/>
      <c r="Q16" s="67"/>
      <c r="R16" s="67"/>
      <c r="S16" s="68">
        <f t="shared" si="1"/>
        <v>0</v>
      </c>
    </row>
    <row r="17" spans="2:19" ht="29.25" customHeight="1" x14ac:dyDescent="0.25">
      <c r="B17" s="2" t="s">
        <v>370</v>
      </c>
      <c r="C17" s="236" t="s">
        <v>333</v>
      </c>
      <c r="D17" s="93" t="s">
        <v>288</v>
      </c>
      <c r="E17" s="2" t="s">
        <v>331</v>
      </c>
      <c r="F17" s="2" t="s">
        <v>7</v>
      </c>
      <c r="G17" s="186">
        <f t="shared" ref="G17" si="2">G16:H16</f>
        <v>2.63E-2</v>
      </c>
      <c r="H17" s="186">
        <f t="shared" ref="H17" si="3">H16</f>
        <v>0.1845</v>
      </c>
      <c r="I17" s="187">
        <v>45199</v>
      </c>
      <c r="J17" s="187">
        <v>45214</v>
      </c>
      <c r="K17" s="187">
        <v>44201</v>
      </c>
      <c r="L17" s="188" t="s">
        <v>325</v>
      </c>
      <c r="M17" s="79">
        <v>123101.79</v>
      </c>
      <c r="N17" s="67"/>
      <c r="O17" s="67">
        <f t="shared" si="0"/>
        <v>123101.79</v>
      </c>
      <c r="P17" s="66"/>
      <c r="Q17" s="67"/>
      <c r="R17" s="67"/>
      <c r="S17" s="68">
        <f t="shared" si="1"/>
        <v>0</v>
      </c>
    </row>
    <row r="18" spans="2:19" ht="29.25" customHeight="1" x14ac:dyDescent="0.25">
      <c r="B18" s="2" t="s">
        <v>287</v>
      </c>
      <c r="C18" s="236" t="s">
        <v>333</v>
      </c>
      <c r="D18" s="93" t="s">
        <v>288</v>
      </c>
      <c r="E18" s="2" t="s">
        <v>289</v>
      </c>
      <c r="F18" s="2" t="s">
        <v>7</v>
      </c>
      <c r="G18" s="186">
        <v>2.63E-2</v>
      </c>
      <c r="H18" s="186">
        <v>0.1845</v>
      </c>
      <c r="I18" s="187">
        <v>45199</v>
      </c>
      <c r="J18" s="187">
        <v>45199</v>
      </c>
      <c r="K18" s="187">
        <v>44201</v>
      </c>
      <c r="L18" s="188" t="s">
        <v>320</v>
      </c>
      <c r="M18" s="79">
        <v>227874.55</v>
      </c>
      <c r="N18" s="67"/>
      <c r="O18" s="67">
        <f t="shared" si="0"/>
        <v>227874.55</v>
      </c>
      <c r="P18" s="66"/>
      <c r="Q18" s="67">
        <v>0</v>
      </c>
      <c r="R18" s="67"/>
      <c r="S18" s="68">
        <f t="shared" si="1"/>
        <v>0</v>
      </c>
    </row>
    <row r="19" spans="2:19" ht="29.25" customHeight="1" x14ac:dyDescent="0.25">
      <c r="B19" s="2" t="s">
        <v>352</v>
      </c>
      <c r="C19" s="236" t="s">
        <v>353</v>
      </c>
      <c r="D19" s="93" t="s">
        <v>354</v>
      </c>
      <c r="E19" s="2" t="s">
        <v>355</v>
      </c>
      <c r="F19" s="2" t="s">
        <v>7</v>
      </c>
      <c r="G19" s="186">
        <v>2.63E-2</v>
      </c>
      <c r="H19" s="186">
        <v>0.1845</v>
      </c>
      <c r="I19" s="187">
        <v>45565</v>
      </c>
      <c r="J19" s="187">
        <v>45580</v>
      </c>
      <c r="K19" s="187">
        <v>44279</v>
      </c>
      <c r="L19" s="188" t="s">
        <v>356</v>
      </c>
      <c r="M19" s="79">
        <v>890958.63</v>
      </c>
      <c r="N19" s="67"/>
      <c r="O19" s="67">
        <f t="shared" si="0"/>
        <v>890958.63</v>
      </c>
      <c r="P19" s="66"/>
      <c r="Q19" s="67"/>
      <c r="R19" s="67"/>
      <c r="S19" s="68">
        <f t="shared" si="1"/>
        <v>0</v>
      </c>
    </row>
    <row r="20" spans="2:19" ht="29.25" customHeight="1" x14ac:dyDescent="0.25">
      <c r="B20" s="2" t="s">
        <v>357</v>
      </c>
      <c r="C20" s="236" t="s">
        <v>353</v>
      </c>
      <c r="D20" s="93" t="s">
        <v>354</v>
      </c>
      <c r="E20" s="2" t="s">
        <v>358</v>
      </c>
      <c r="F20" s="2" t="s">
        <v>7</v>
      </c>
      <c r="G20" s="186">
        <v>2.63E-2</v>
      </c>
      <c r="H20" s="186">
        <v>0.1845</v>
      </c>
      <c r="I20" s="187">
        <v>45565</v>
      </c>
      <c r="J20" s="187">
        <v>45580</v>
      </c>
      <c r="K20" s="187">
        <v>44279</v>
      </c>
      <c r="L20" s="188" t="s">
        <v>356</v>
      </c>
      <c r="M20" s="79">
        <v>222739.66</v>
      </c>
      <c r="N20" s="67"/>
      <c r="O20" s="67">
        <f t="shared" si="0"/>
        <v>222739.66</v>
      </c>
      <c r="P20" s="66"/>
      <c r="Q20" s="67"/>
      <c r="R20" s="67"/>
      <c r="S20" s="68">
        <f t="shared" si="1"/>
        <v>0</v>
      </c>
    </row>
    <row r="21" spans="2:19" ht="29.25" customHeight="1" x14ac:dyDescent="0.25">
      <c r="B21" s="2" t="s">
        <v>366</v>
      </c>
      <c r="C21" s="236" t="s">
        <v>333</v>
      </c>
      <c r="D21" s="93" t="s">
        <v>367</v>
      </c>
      <c r="E21" s="2" t="s">
        <v>368</v>
      </c>
      <c r="F21" s="2" t="s">
        <v>7</v>
      </c>
      <c r="G21" s="186">
        <v>2.63E-2</v>
      </c>
      <c r="H21" s="186">
        <v>0.1845</v>
      </c>
      <c r="I21" s="187">
        <v>45199</v>
      </c>
      <c r="J21" s="187">
        <v>45214</v>
      </c>
      <c r="K21" s="187">
        <v>44201</v>
      </c>
      <c r="L21" s="188" t="s">
        <v>369</v>
      </c>
      <c r="M21" s="79">
        <v>18142.810000000001</v>
      </c>
      <c r="N21" s="67"/>
      <c r="O21" s="67">
        <f t="shared" si="0"/>
        <v>18142.810000000001</v>
      </c>
      <c r="P21" s="66"/>
      <c r="Q21" s="67">
        <v>4619</v>
      </c>
      <c r="R21" s="67"/>
      <c r="S21" s="68">
        <f t="shared" si="1"/>
        <v>4619</v>
      </c>
    </row>
    <row r="22" spans="2:19" x14ac:dyDescent="0.25">
      <c r="G22" s="186"/>
      <c r="H22" s="186"/>
      <c r="I22" s="187"/>
      <c r="J22" s="187"/>
      <c r="K22" s="187"/>
      <c r="L22" s="188"/>
      <c r="M22" s="25"/>
      <c r="N22" s="25"/>
      <c r="O22" s="25"/>
      <c r="P22" s="29"/>
      <c r="Q22" s="25"/>
      <c r="R22" s="25"/>
      <c r="S22" s="26"/>
    </row>
    <row r="23" spans="2:19" ht="22.5" customHeight="1" x14ac:dyDescent="0.25">
      <c r="C23" s="92"/>
      <c r="D23" s="92"/>
      <c r="G23" s="123"/>
      <c r="H23" s="124"/>
      <c r="I23" s="116"/>
      <c r="J23" s="116"/>
      <c r="K23" s="116"/>
      <c r="L23" s="5" t="s">
        <v>38</v>
      </c>
      <c r="M23" s="66">
        <f>SUM(M7:M22)</f>
        <v>1946251.97</v>
      </c>
      <c r="N23" s="66">
        <f t="shared" ref="N23:S23" si="4">SUM(N7:N22)</f>
        <v>2823.7200000000003</v>
      </c>
      <c r="O23" s="66">
        <f t="shared" si="4"/>
        <v>1949075.6900000002</v>
      </c>
      <c r="P23" s="66"/>
      <c r="Q23" s="66">
        <f t="shared" si="4"/>
        <v>276779.87</v>
      </c>
      <c r="R23" s="66">
        <f t="shared" si="4"/>
        <v>0</v>
      </c>
      <c r="S23" s="23">
        <f t="shared" si="4"/>
        <v>276779.87</v>
      </c>
    </row>
    <row r="24" spans="2:19" x14ac:dyDescent="0.25">
      <c r="C24" s="92"/>
      <c r="D24" s="92"/>
      <c r="I24" s="116"/>
      <c r="J24" s="116"/>
      <c r="K24" s="116"/>
      <c r="L24" s="5"/>
      <c r="M24" s="66"/>
      <c r="N24" s="145"/>
      <c r="O24" s="66"/>
      <c r="Q24" s="66"/>
      <c r="R24" s="66"/>
      <c r="S24" s="68"/>
    </row>
    <row r="25" spans="2:19" x14ac:dyDescent="0.25">
      <c r="C25" s="92"/>
      <c r="D25" s="92"/>
      <c r="I25" s="116"/>
      <c r="J25" s="116"/>
      <c r="K25" s="116"/>
      <c r="L25" s="5"/>
      <c r="M25" s="66"/>
      <c r="N25" s="145"/>
      <c r="O25" s="66"/>
      <c r="Q25" s="66"/>
      <c r="R25" s="66"/>
      <c r="S25" s="68"/>
    </row>
    <row r="26" spans="2:19" x14ac:dyDescent="0.25">
      <c r="B26" s="8" t="s">
        <v>125</v>
      </c>
      <c r="C26" s="92"/>
      <c r="D26" s="92"/>
      <c r="L26" s="5"/>
      <c r="M26" s="66"/>
      <c r="N26" s="66"/>
      <c r="O26" s="66"/>
      <c r="Q26" s="66"/>
      <c r="R26" s="66"/>
      <c r="S26" s="68"/>
    </row>
    <row r="27" spans="2:19" ht="30" customHeight="1" x14ac:dyDescent="0.25">
      <c r="B27" s="341" t="s">
        <v>126</v>
      </c>
      <c r="C27" s="341"/>
      <c r="D27" s="341"/>
      <c r="E27" s="341"/>
      <c r="L27" s="5"/>
      <c r="M27" s="66"/>
      <c r="N27" s="66"/>
      <c r="O27" s="66"/>
      <c r="Q27" s="66"/>
      <c r="R27" s="66"/>
      <c r="S27" s="68"/>
    </row>
    <row r="28" spans="2:19" x14ac:dyDescent="0.25">
      <c r="C28" s="92"/>
      <c r="D28" s="92"/>
      <c r="L28" s="5"/>
      <c r="M28" s="66"/>
      <c r="N28" s="66"/>
      <c r="O28" s="66"/>
      <c r="Q28" s="66"/>
      <c r="R28" s="66"/>
      <c r="S28" s="68"/>
    </row>
    <row r="29" spans="2:19" ht="57.75" customHeight="1" x14ac:dyDescent="0.25">
      <c r="B29" s="341" t="s">
        <v>129</v>
      </c>
      <c r="C29" s="341"/>
      <c r="D29" s="341"/>
      <c r="E29" s="341"/>
      <c r="L29" s="5"/>
      <c r="M29" s="66"/>
      <c r="N29" s="66"/>
      <c r="O29" s="66"/>
      <c r="Q29" s="66"/>
      <c r="R29" s="66"/>
      <c r="S29" s="68"/>
    </row>
    <row r="30" spans="2:19" x14ac:dyDescent="0.25">
      <c r="B30" s="193"/>
      <c r="C30" s="193"/>
      <c r="D30" s="193"/>
      <c r="E30" s="193"/>
      <c r="L30" s="5"/>
      <c r="M30" s="66"/>
      <c r="N30" s="66"/>
      <c r="O30" s="66"/>
      <c r="Q30" s="66"/>
      <c r="R30" s="66"/>
      <c r="S30" s="68"/>
    </row>
    <row r="31" spans="2:19" ht="31.5" customHeight="1" x14ac:dyDescent="0.25">
      <c r="B31" s="341" t="s">
        <v>160</v>
      </c>
      <c r="C31" s="341"/>
      <c r="D31" s="341"/>
      <c r="E31" s="341"/>
      <c r="F31" s="341"/>
      <c r="L31" s="5"/>
      <c r="M31" s="66"/>
      <c r="N31" s="66"/>
      <c r="O31" s="66"/>
      <c r="Q31" s="66"/>
      <c r="R31" s="66"/>
      <c r="S31" s="68"/>
    </row>
    <row r="32" spans="2:19" ht="15" customHeight="1" x14ac:dyDescent="0.25">
      <c r="B32" s="347" t="s">
        <v>159</v>
      </c>
      <c r="C32" s="341"/>
      <c r="D32" s="341"/>
      <c r="E32" s="341"/>
      <c r="F32" s="341"/>
      <c r="L32" s="5"/>
      <c r="M32" s="66"/>
      <c r="N32" s="66"/>
      <c r="O32" s="66"/>
      <c r="Q32" s="66"/>
      <c r="R32" s="66"/>
      <c r="S32" s="68"/>
    </row>
    <row r="33" spans="2:19" ht="15" customHeight="1" x14ac:dyDescent="0.25">
      <c r="B33" s="195"/>
      <c r="C33" s="195"/>
      <c r="D33" s="195"/>
      <c r="E33" s="195"/>
      <c r="L33" s="5"/>
      <c r="M33" s="66"/>
      <c r="N33" s="66"/>
      <c r="O33" s="66"/>
      <c r="Q33" s="66"/>
      <c r="R33" s="66"/>
      <c r="S33" s="68"/>
    </row>
    <row r="34" spans="2:19" x14ac:dyDescent="0.25">
      <c r="B34" s="108"/>
      <c r="C34" s="108"/>
      <c r="D34" s="108"/>
      <c r="E34" s="108"/>
      <c r="L34" s="5"/>
      <c r="M34" s="66"/>
      <c r="N34" s="66"/>
      <c r="O34" s="66"/>
      <c r="Q34" s="66"/>
      <c r="R34" s="66"/>
      <c r="S34" s="68"/>
    </row>
    <row r="35" spans="2:19" x14ac:dyDescent="0.25">
      <c r="B35" s="7" t="s">
        <v>109</v>
      </c>
      <c r="C35" s="101" t="s">
        <v>112</v>
      </c>
      <c r="D35" s="101" t="s">
        <v>113</v>
      </c>
      <c r="E35" s="108"/>
      <c r="L35" s="5"/>
      <c r="M35" s="66"/>
      <c r="N35" s="66"/>
      <c r="O35" s="66"/>
      <c r="Q35" s="66"/>
      <c r="R35" s="66"/>
      <c r="S35" s="68"/>
    </row>
    <row r="36" spans="2:19" x14ac:dyDescent="0.25">
      <c r="B36" s="2" t="s">
        <v>110</v>
      </c>
      <c r="C36" s="92" t="s">
        <v>327</v>
      </c>
      <c r="D36" s="92" t="s">
        <v>118</v>
      </c>
      <c r="E36" s="108"/>
      <c r="L36" s="5"/>
      <c r="M36" s="66"/>
      <c r="N36" s="66"/>
      <c r="O36" s="66"/>
      <c r="Q36" s="66"/>
      <c r="R36" s="66"/>
      <c r="S36" s="68"/>
    </row>
    <row r="37" spans="2:19" x14ac:dyDescent="0.25">
      <c r="B37" s="2" t="s">
        <v>262</v>
      </c>
      <c r="C37" s="92" t="s">
        <v>180</v>
      </c>
      <c r="D37" s="92" t="s">
        <v>181</v>
      </c>
      <c r="L37" s="5"/>
      <c r="M37" s="66"/>
      <c r="N37" s="66"/>
      <c r="O37" s="66"/>
      <c r="Q37" s="66"/>
      <c r="R37" s="66"/>
      <c r="S37" s="68"/>
    </row>
    <row r="38" spans="2:19" x14ac:dyDescent="0.25">
      <c r="B38" s="2" t="s">
        <v>230</v>
      </c>
      <c r="C38" s="92" t="s">
        <v>135</v>
      </c>
      <c r="D38" s="92" t="s">
        <v>147</v>
      </c>
      <c r="L38" s="5"/>
      <c r="M38" s="66"/>
      <c r="N38" s="66"/>
      <c r="O38" s="66"/>
      <c r="Q38" s="66"/>
      <c r="R38" s="66"/>
      <c r="S38" s="68"/>
    </row>
    <row r="39" spans="2:19" x14ac:dyDescent="0.25">
      <c r="B39" s="2" t="s">
        <v>275</v>
      </c>
      <c r="C39" s="92" t="s">
        <v>135</v>
      </c>
      <c r="D39" s="92" t="s">
        <v>147</v>
      </c>
      <c r="L39" s="5"/>
      <c r="M39" s="66"/>
      <c r="N39" s="66"/>
      <c r="O39" s="66"/>
      <c r="Q39" s="66"/>
      <c r="R39" s="66"/>
      <c r="S39" s="68"/>
    </row>
    <row r="40" spans="2:19" x14ac:dyDescent="0.25">
      <c r="B40" s="2" t="s">
        <v>279</v>
      </c>
      <c r="C40" s="92" t="s">
        <v>135</v>
      </c>
      <c r="D40" s="92" t="s">
        <v>147</v>
      </c>
      <c r="L40" s="5"/>
      <c r="M40" s="66"/>
      <c r="N40" s="66"/>
      <c r="O40" s="66"/>
      <c r="Q40" s="66"/>
      <c r="R40" s="66"/>
      <c r="S40" s="68"/>
    </row>
    <row r="41" spans="2:19" x14ac:dyDescent="0.25">
      <c r="B41" s="2" t="s">
        <v>281</v>
      </c>
      <c r="C41" s="92" t="s">
        <v>135</v>
      </c>
      <c r="D41" s="92" t="s">
        <v>147</v>
      </c>
      <c r="L41" s="5"/>
      <c r="M41" s="66"/>
      <c r="N41" s="66"/>
      <c r="O41" s="66"/>
      <c r="Q41" s="66"/>
      <c r="R41" s="66"/>
      <c r="S41" s="68"/>
    </row>
    <row r="42" spans="2:19" x14ac:dyDescent="0.25">
      <c r="B42" s="2" t="s">
        <v>286</v>
      </c>
      <c r="C42" s="92" t="s">
        <v>135</v>
      </c>
      <c r="D42" s="92" t="s">
        <v>147</v>
      </c>
      <c r="L42" s="5"/>
      <c r="M42" s="66"/>
      <c r="N42" s="66"/>
      <c r="O42" s="66"/>
      <c r="Q42" s="66"/>
      <c r="R42" s="66"/>
      <c r="S42" s="68"/>
    </row>
    <row r="43" spans="2:19" x14ac:dyDescent="0.25">
      <c r="C43" s="92"/>
      <c r="D43" s="92"/>
      <c r="L43" s="5"/>
      <c r="M43" s="66"/>
      <c r="N43" s="66"/>
      <c r="O43" s="66"/>
      <c r="Q43" s="66"/>
      <c r="R43" s="66"/>
      <c r="S43" s="68"/>
    </row>
    <row r="44" spans="2:19" x14ac:dyDescent="0.25">
      <c r="B44" s="258" t="s">
        <v>298</v>
      </c>
      <c r="C44" s="92"/>
      <c r="D44" s="92"/>
      <c r="L44" s="5"/>
      <c r="M44" s="66"/>
      <c r="N44" s="66"/>
      <c r="O44" s="66"/>
      <c r="Q44" s="66"/>
      <c r="R44" s="66"/>
      <c r="S44" s="68"/>
    </row>
    <row r="45" spans="2:19" x14ac:dyDescent="0.25">
      <c r="B45" s="336" t="s">
        <v>299</v>
      </c>
      <c r="C45" s="336"/>
      <c r="D45" s="336"/>
      <c r="E45" s="336"/>
      <c r="F45" s="336"/>
      <c r="G45" s="336"/>
      <c r="H45" s="336"/>
      <c r="L45" s="5"/>
      <c r="M45" s="66"/>
      <c r="N45" s="66"/>
      <c r="O45" s="66"/>
      <c r="Q45" s="66"/>
      <c r="R45" s="66"/>
      <c r="S45" s="68"/>
    </row>
    <row r="46" spans="2:19" ht="15" customHeight="1" x14ac:dyDescent="0.25">
      <c r="B46" s="222"/>
      <c r="C46" s="218"/>
      <c r="D46" s="218"/>
      <c r="E46" s="10"/>
      <c r="F46" s="10"/>
      <c r="G46" s="10"/>
      <c r="H46" s="10"/>
      <c r="I46" s="10"/>
      <c r="J46" s="10"/>
      <c r="K46" s="10"/>
      <c r="L46" s="219"/>
      <c r="M46" s="25"/>
      <c r="N46" s="25"/>
      <c r="O46" s="25"/>
      <c r="P46" s="10"/>
      <c r="Q46" s="25"/>
      <c r="R46" s="25"/>
      <c r="S46" s="26"/>
    </row>
    <row r="47" spans="2:19" ht="15" customHeight="1" x14ac:dyDescent="0.25">
      <c r="P47" s="29"/>
      <c r="Q47" s="58" t="s">
        <v>90</v>
      </c>
      <c r="R47" s="51"/>
      <c r="S47" s="167"/>
    </row>
    <row r="48" spans="2:19" ht="15" customHeight="1" x14ac:dyDescent="0.25">
      <c r="B48" s="17" t="s">
        <v>39</v>
      </c>
      <c r="C48" s="96" t="s">
        <v>2</v>
      </c>
      <c r="D48" s="96"/>
      <c r="E48" s="96" t="s">
        <v>34</v>
      </c>
      <c r="F48" s="96" t="s">
        <v>35</v>
      </c>
      <c r="G48" s="120"/>
      <c r="H48" s="120"/>
      <c r="I48" s="114"/>
      <c r="J48" s="96"/>
      <c r="K48" s="96"/>
      <c r="L48" s="96" t="s">
        <v>36</v>
      </c>
      <c r="M48" s="211" t="s">
        <v>37</v>
      </c>
      <c r="N48" s="10"/>
      <c r="O48" s="10"/>
      <c r="P48" s="10"/>
      <c r="Q48" s="54" t="s">
        <v>88</v>
      </c>
      <c r="R48" s="54"/>
      <c r="S48" s="55"/>
    </row>
    <row r="49" spans="2:20" x14ac:dyDescent="0.25">
      <c r="B49" s="63"/>
      <c r="C49" s="9"/>
      <c r="D49" s="9"/>
      <c r="E49" s="9"/>
      <c r="F49" s="9"/>
      <c r="G49" s="9"/>
      <c r="H49" s="9"/>
      <c r="I49" s="9"/>
      <c r="J49" s="9"/>
      <c r="K49" s="9"/>
      <c r="L49" s="9"/>
      <c r="M49" s="9"/>
    </row>
    <row r="50" spans="2:20" x14ac:dyDescent="0.25">
      <c r="B50" s="63"/>
      <c r="C50" s="148"/>
      <c r="D50" s="148"/>
      <c r="E50" s="148"/>
      <c r="F50" s="148"/>
      <c r="G50" s="148"/>
      <c r="H50" s="148"/>
      <c r="I50" s="148"/>
      <c r="J50" s="148"/>
      <c r="K50" s="148"/>
      <c r="L50" s="148"/>
      <c r="M50" s="148"/>
    </row>
    <row r="51" spans="2:20" x14ac:dyDescent="0.25">
      <c r="B51" s="63"/>
      <c r="C51" s="148"/>
      <c r="D51" s="148"/>
      <c r="E51" s="148"/>
      <c r="F51" s="148"/>
      <c r="G51" s="148"/>
      <c r="H51" s="148"/>
      <c r="I51" s="148"/>
      <c r="J51" s="148"/>
      <c r="K51" s="148"/>
      <c r="L51" s="148"/>
      <c r="M51" s="148"/>
    </row>
    <row r="52" spans="2:20" x14ac:dyDescent="0.25">
      <c r="B52" s="63"/>
      <c r="C52" s="9"/>
      <c r="D52" s="9"/>
      <c r="E52" s="9"/>
      <c r="F52" s="9"/>
      <c r="G52" s="9"/>
      <c r="H52" s="9"/>
      <c r="I52" s="9"/>
      <c r="J52" s="9"/>
      <c r="K52" s="9"/>
      <c r="L52" s="9"/>
      <c r="M52" s="9"/>
      <c r="Q52" s="58"/>
      <c r="R52" s="51"/>
      <c r="S52" s="51"/>
    </row>
    <row r="53" spans="2:20" x14ac:dyDescent="0.25">
      <c r="B53" s="12"/>
      <c r="C53" s="13"/>
      <c r="D53" s="13"/>
      <c r="E53" s="41"/>
      <c r="F53" s="15"/>
      <c r="G53" s="15"/>
      <c r="H53" s="15"/>
      <c r="I53" s="15"/>
      <c r="J53" s="15"/>
      <c r="K53" s="15"/>
      <c r="L53" s="16"/>
      <c r="M53" s="20"/>
      <c r="N53" s="46"/>
      <c r="O53" s="46"/>
      <c r="P53" s="46"/>
      <c r="R53" s="51"/>
      <c r="S53" s="51"/>
      <c r="T53" s="51"/>
    </row>
    <row r="54" spans="2:20" ht="15" customHeight="1" x14ac:dyDescent="0.25">
      <c r="B54" s="12"/>
      <c r="C54" s="13"/>
      <c r="D54" s="13"/>
      <c r="E54" s="41"/>
      <c r="F54" s="15"/>
      <c r="G54" s="15"/>
      <c r="H54" s="15"/>
      <c r="I54" s="15"/>
      <c r="J54" s="15"/>
      <c r="K54" s="15"/>
      <c r="L54" s="16"/>
      <c r="M54" s="20"/>
      <c r="N54" s="18"/>
      <c r="O54" s="18"/>
      <c r="P54" s="18"/>
      <c r="Q54" s="51"/>
      <c r="R54" s="51"/>
      <c r="S54" s="51"/>
      <c r="T54" s="51"/>
    </row>
    <row r="55" spans="2:20" x14ac:dyDescent="0.25">
      <c r="C55" s="40"/>
      <c r="D55" s="40"/>
      <c r="E55" s="41"/>
      <c r="F55" s="69"/>
      <c r="G55" s="69"/>
      <c r="H55" s="69"/>
      <c r="I55" s="69"/>
      <c r="J55" s="69"/>
      <c r="K55" s="69"/>
      <c r="L55" s="33"/>
      <c r="M55" s="31"/>
      <c r="N55" s="104"/>
      <c r="Q55" s="309" t="s">
        <v>316</v>
      </c>
      <c r="R55" s="309"/>
      <c r="S55" s="310">
        <f>S23</f>
        <v>276779.87</v>
      </c>
    </row>
    <row r="56" spans="2:20" x14ac:dyDescent="0.25">
      <c r="C56" s="40"/>
      <c r="D56" s="40"/>
      <c r="E56" s="41"/>
      <c r="F56" s="69"/>
      <c r="G56" s="69"/>
      <c r="H56" s="69"/>
      <c r="I56" s="69"/>
      <c r="J56" s="69"/>
      <c r="K56" s="69"/>
      <c r="L56" s="33"/>
      <c r="M56" s="31"/>
      <c r="N56" s="105"/>
    </row>
    <row r="57" spans="2:20" x14ac:dyDescent="0.25">
      <c r="C57" s="40"/>
      <c r="D57" s="40"/>
      <c r="E57" s="41"/>
      <c r="F57" s="69"/>
      <c r="G57" s="69"/>
      <c r="H57" s="69"/>
      <c r="I57" s="69"/>
      <c r="J57" s="69"/>
      <c r="K57" s="69"/>
      <c r="L57" s="33"/>
      <c r="M57" s="35"/>
      <c r="N57" s="37"/>
      <c r="O57" s="37"/>
      <c r="P57" s="29"/>
    </row>
    <row r="58" spans="2:20" ht="15" customHeight="1" x14ac:dyDescent="0.25">
      <c r="B58" s="36"/>
      <c r="C58" s="40"/>
      <c r="D58" s="40"/>
      <c r="E58" s="41"/>
      <c r="F58" s="38"/>
      <c r="G58" s="38"/>
      <c r="H58" s="38"/>
      <c r="I58" s="38"/>
      <c r="J58" s="38"/>
      <c r="K58" s="38"/>
      <c r="L58" s="33"/>
      <c r="M58" s="31"/>
      <c r="N58" s="99"/>
      <c r="O58" s="99"/>
      <c r="P58" s="29"/>
    </row>
    <row r="59" spans="2:20" x14ac:dyDescent="0.25">
      <c r="B59" s="36"/>
      <c r="C59" s="40"/>
      <c r="D59" s="40"/>
      <c r="E59" s="41"/>
      <c r="F59" s="38"/>
      <c r="G59" s="38"/>
      <c r="H59" s="38"/>
      <c r="I59" s="38"/>
      <c r="J59" s="38"/>
      <c r="K59" s="38"/>
      <c r="L59" s="33"/>
      <c r="M59" s="31"/>
      <c r="N59" s="99"/>
      <c r="O59" s="99"/>
      <c r="P59" s="29"/>
    </row>
    <row r="60" spans="2:20" x14ac:dyDescent="0.25">
      <c r="B60" s="36"/>
      <c r="C60" s="40"/>
      <c r="D60" s="40"/>
      <c r="E60" s="41"/>
      <c r="F60" s="38"/>
      <c r="G60" s="38"/>
      <c r="H60" s="38"/>
      <c r="I60" s="38"/>
      <c r="J60" s="38"/>
      <c r="K60" s="38"/>
      <c r="L60" s="33"/>
      <c r="M60" s="31"/>
      <c r="N60" s="99"/>
      <c r="O60" s="99"/>
      <c r="P60" s="29"/>
    </row>
    <row r="61" spans="2:20" ht="16.5" customHeight="1" x14ac:dyDescent="0.25">
      <c r="B61" s="36"/>
      <c r="C61" s="40"/>
      <c r="D61" s="40"/>
      <c r="E61" s="41"/>
      <c r="F61" s="38"/>
      <c r="G61" s="38"/>
      <c r="H61" s="38"/>
      <c r="I61" s="38"/>
      <c r="J61" s="38"/>
      <c r="K61" s="38"/>
      <c r="L61" s="39"/>
      <c r="M61" s="20"/>
      <c r="N61" s="99"/>
      <c r="O61" s="99"/>
      <c r="P61" s="29"/>
    </row>
    <row r="62" spans="2:20" ht="15" hidden="1" customHeight="1" x14ac:dyDescent="0.25"/>
    <row r="63" spans="2:20" ht="15" customHeight="1" x14ac:dyDescent="0.25">
      <c r="E63" s="21"/>
      <c r="F63" s="102"/>
      <c r="G63" s="102"/>
      <c r="H63" s="102"/>
      <c r="I63" s="102"/>
      <c r="J63" s="102"/>
      <c r="K63" s="102"/>
    </row>
    <row r="66" ht="15" customHeight="1" x14ac:dyDescent="0.25"/>
  </sheetData>
  <mergeCells count="7">
    <mergeCell ref="B45:H45"/>
    <mergeCell ref="B32:F32"/>
    <mergeCell ref="Q1:S1"/>
    <mergeCell ref="Q2:S2"/>
    <mergeCell ref="B27:E27"/>
    <mergeCell ref="B29:E29"/>
    <mergeCell ref="B31:F31"/>
  </mergeCells>
  <hyperlinks>
    <hyperlink ref="B32" r:id="rId1"/>
  </hyperlinks>
  <printOptions horizontalCentered="1" gridLines="1"/>
  <pageMargins left="0" right="0" top="0.75" bottom="0.75" header="0.3" footer="0.3"/>
  <pageSetup scale="54" orientation="landscape" horizontalDpi="1200" verticalDpi="1200"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6"/>
  <sheetViews>
    <sheetView topLeftCell="B6" zoomScale="90" zoomScaleNormal="90" workbookViewId="0">
      <selection activeCell="C14" sqref="C14"/>
    </sheetView>
  </sheetViews>
  <sheetFormatPr defaultColWidth="9.140625" defaultRowHeight="15" x14ac:dyDescent="0.25"/>
  <cols>
    <col min="1" max="1" width="9.140625" style="2" hidden="1" customWidth="1"/>
    <col min="2" max="2" width="63.140625" style="2" customWidth="1"/>
    <col min="3" max="3" width="27.28515625" style="2" customWidth="1"/>
    <col min="4" max="4" width="13.7109375" style="2" customWidth="1"/>
    <col min="5" max="5" width="18" style="2" customWidth="1"/>
    <col min="6" max="6" width="22.28515625" style="2" customWidth="1"/>
    <col min="7" max="7" width="10.28515625" style="2" customWidth="1"/>
    <col min="8" max="8" width="12.85546875" style="2" customWidth="1"/>
    <col min="9" max="9" width="13.42578125" style="2" customWidth="1"/>
    <col min="10" max="10" width="15.7109375" style="2" customWidth="1"/>
    <col min="11" max="11" width="8.85546875" style="2" customWidth="1"/>
    <col min="12" max="12" width="18" style="2" customWidth="1"/>
    <col min="13" max="13" width="14" style="2" bestFit="1" customWidth="1"/>
    <col min="14" max="14" width="13.7109375" style="2" customWidth="1"/>
    <col min="15" max="15" width="14.42578125" style="2" customWidth="1"/>
    <col min="16" max="16" width="3.140625" style="2" customWidth="1"/>
    <col min="17" max="17" width="13.85546875" style="2" customWidth="1"/>
    <col min="18" max="18" width="14.140625" style="2" customWidth="1"/>
    <col min="19" max="19" width="16.7109375" style="2" customWidth="1"/>
    <col min="20" max="16384" width="9.140625" style="2"/>
  </cols>
  <sheetData>
    <row r="1" spans="1:20" ht="18" customHeight="1" x14ac:dyDescent="0.25">
      <c r="B1" s="1" t="s">
        <v>24</v>
      </c>
      <c r="Q1" s="338" t="s">
        <v>296</v>
      </c>
      <c r="R1" s="338"/>
      <c r="S1" s="338"/>
    </row>
    <row r="2" spans="1:20" ht="18" customHeight="1" x14ac:dyDescent="0.25">
      <c r="B2" s="88" t="s">
        <v>148</v>
      </c>
      <c r="C2" s="182">
        <v>44742</v>
      </c>
      <c r="M2" s="71"/>
      <c r="N2" s="71"/>
      <c r="P2" s="29"/>
      <c r="Q2" s="337" t="s">
        <v>375</v>
      </c>
      <c r="R2" s="337"/>
      <c r="S2" s="337"/>
    </row>
    <row r="3" spans="1:20" ht="18" customHeight="1" thickBot="1" x14ac:dyDescent="0.3">
      <c r="A3" s="2" t="s">
        <v>16</v>
      </c>
      <c r="B3" s="44" t="s">
        <v>69</v>
      </c>
      <c r="C3" s="8"/>
      <c r="D3" s="8"/>
      <c r="E3" s="8"/>
      <c r="P3" s="29"/>
      <c r="Q3" s="45"/>
      <c r="R3" s="30"/>
    </row>
    <row r="4" spans="1:20" ht="18.75" customHeight="1" x14ac:dyDescent="0.25">
      <c r="B4" s="8" t="s">
        <v>174</v>
      </c>
      <c r="M4" s="85" t="s">
        <v>28</v>
      </c>
      <c r="N4" s="85" t="s">
        <v>28</v>
      </c>
      <c r="O4" s="85" t="s">
        <v>28</v>
      </c>
      <c r="P4" s="9"/>
      <c r="Q4" s="89" t="s">
        <v>29</v>
      </c>
      <c r="R4" s="89" t="s">
        <v>31</v>
      </c>
      <c r="S4" s="89" t="s">
        <v>23</v>
      </c>
      <c r="T4" s="7"/>
    </row>
    <row r="5" spans="1:20" ht="15.75" thickBot="1" x14ac:dyDescent="0.3">
      <c r="G5" s="183" t="s">
        <v>295</v>
      </c>
      <c r="H5" s="183" t="s">
        <v>295</v>
      </c>
      <c r="M5" s="86" t="s">
        <v>27</v>
      </c>
      <c r="N5" s="86" t="s">
        <v>26</v>
      </c>
      <c r="O5" s="86" t="s">
        <v>25</v>
      </c>
      <c r="P5" s="9"/>
      <c r="Q5" s="90" t="s">
        <v>30</v>
      </c>
      <c r="R5" s="90" t="s">
        <v>30</v>
      </c>
      <c r="S5" s="90" t="s">
        <v>30</v>
      </c>
      <c r="T5" s="7"/>
    </row>
    <row r="6" spans="1:20" ht="85.5" customHeight="1" thickBot="1" x14ac:dyDescent="0.3">
      <c r="B6" s="84" t="s">
        <v>1</v>
      </c>
      <c r="C6" s="84" t="s">
        <v>389</v>
      </c>
      <c r="D6" s="84" t="s">
        <v>107</v>
      </c>
      <c r="E6" s="84" t="s">
        <v>3</v>
      </c>
      <c r="F6" s="84" t="s">
        <v>4</v>
      </c>
      <c r="G6" s="107" t="s">
        <v>136</v>
      </c>
      <c r="H6" s="107" t="s">
        <v>137</v>
      </c>
      <c r="I6" s="107" t="s">
        <v>133</v>
      </c>
      <c r="J6" s="107" t="s">
        <v>134</v>
      </c>
      <c r="K6" s="107" t="s">
        <v>121</v>
      </c>
      <c r="L6" s="83" t="s">
        <v>5</v>
      </c>
      <c r="M6" s="87" t="s">
        <v>6</v>
      </c>
      <c r="N6" s="87" t="s">
        <v>6</v>
      </c>
      <c r="O6" s="87" t="s">
        <v>6</v>
      </c>
      <c r="P6" s="9"/>
      <c r="Q6" s="91"/>
      <c r="R6" s="97" t="s">
        <v>32</v>
      </c>
      <c r="S6" s="98" t="s">
        <v>33</v>
      </c>
    </row>
    <row r="7" spans="1:20" ht="30.75" customHeight="1" x14ac:dyDescent="0.25">
      <c r="B7" s="2" t="s">
        <v>8</v>
      </c>
      <c r="C7" s="92" t="s">
        <v>106</v>
      </c>
      <c r="D7" s="92" t="s">
        <v>306</v>
      </c>
      <c r="E7" s="2" t="s">
        <v>307</v>
      </c>
      <c r="F7" s="2" t="s">
        <v>7</v>
      </c>
      <c r="G7" s="186">
        <v>2.63E-2</v>
      </c>
      <c r="H7" s="186">
        <v>0.1845</v>
      </c>
      <c r="I7" s="187">
        <v>44742</v>
      </c>
      <c r="J7" s="187">
        <v>44743</v>
      </c>
      <c r="K7" s="187">
        <v>44378</v>
      </c>
      <c r="L7" s="188" t="s">
        <v>297</v>
      </c>
      <c r="M7" s="61">
        <v>431502.5</v>
      </c>
      <c r="N7" s="70"/>
      <c r="O7" s="67">
        <f t="shared" ref="O7:O12" si="0">M7+N7</f>
        <v>431502.5</v>
      </c>
      <c r="P7" s="148"/>
      <c r="Q7" s="73">
        <f>115253.48+83695.23+136136.38+58334.27</f>
        <v>393419.36</v>
      </c>
      <c r="R7" s="60"/>
      <c r="S7" s="68">
        <f>Q7+R7</f>
        <v>393419.36</v>
      </c>
    </row>
    <row r="8" spans="1:20" ht="30.75" customHeight="1" x14ac:dyDescent="0.25">
      <c r="B8" s="2" t="s">
        <v>257</v>
      </c>
      <c r="C8" s="236" t="s">
        <v>260</v>
      </c>
      <c r="D8" s="93" t="s">
        <v>258</v>
      </c>
      <c r="E8" s="2" t="s">
        <v>259</v>
      </c>
      <c r="F8" s="2" t="s">
        <v>7</v>
      </c>
      <c r="G8" s="186">
        <v>2.63E-2</v>
      </c>
      <c r="H8" s="186">
        <v>0.1845</v>
      </c>
      <c r="I8" s="187">
        <v>44439</v>
      </c>
      <c r="J8" s="187">
        <v>44454</v>
      </c>
      <c r="K8" s="187">
        <v>44013</v>
      </c>
      <c r="L8" s="188" t="s">
        <v>290</v>
      </c>
      <c r="M8" s="65">
        <v>20248.740000000002</v>
      </c>
      <c r="N8" s="67"/>
      <c r="O8" s="67">
        <f t="shared" si="0"/>
        <v>20248.740000000002</v>
      </c>
      <c r="P8" s="67"/>
      <c r="Q8" s="67">
        <v>20248.740000000002</v>
      </c>
      <c r="R8" s="67"/>
      <c r="S8" s="68">
        <f t="shared" ref="S8" si="1">Q8+R8</f>
        <v>20248.740000000002</v>
      </c>
    </row>
    <row r="9" spans="1:20" ht="36.75" customHeight="1" x14ac:dyDescent="0.25">
      <c r="B9" s="2" t="s">
        <v>128</v>
      </c>
      <c r="C9" s="225" t="s">
        <v>122</v>
      </c>
      <c r="D9" s="93" t="s">
        <v>310</v>
      </c>
      <c r="E9" s="2" t="s">
        <v>309</v>
      </c>
      <c r="F9" s="2" t="s">
        <v>7</v>
      </c>
      <c r="G9" s="186">
        <v>2.63E-2</v>
      </c>
      <c r="H9" s="186">
        <v>0.1845</v>
      </c>
      <c r="I9" s="187">
        <v>44742</v>
      </c>
      <c r="J9" s="187">
        <v>44743</v>
      </c>
      <c r="K9" s="187">
        <v>44378</v>
      </c>
      <c r="L9" s="204" t="s">
        <v>297</v>
      </c>
      <c r="M9" s="61">
        <v>39558.57</v>
      </c>
      <c r="N9" s="148"/>
      <c r="O9" s="67">
        <f t="shared" si="0"/>
        <v>39558.57</v>
      </c>
      <c r="P9" s="148"/>
      <c r="Q9" s="73">
        <v>39558.57</v>
      </c>
      <c r="R9" s="60"/>
      <c r="S9" s="68">
        <f>Q9+R9</f>
        <v>39558.57</v>
      </c>
    </row>
    <row r="10" spans="1:20" ht="36.75" customHeight="1" x14ac:dyDescent="0.25">
      <c r="B10" s="334" t="s">
        <v>371</v>
      </c>
      <c r="C10" s="335" t="s">
        <v>373</v>
      </c>
      <c r="D10" s="331" t="s">
        <v>372</v>
      </c>
      <c r="E10" s="29" t="s">
        <v>374</v>
      </c>
      <c r="F10" s="2" t="s">
        <v>7</v>
      </c>
      <c r="G10" s="186">
        <v>2.63E-2</v>
      </c>
      <c r="H10" s="186">
        <v>0.1845</v>
      </c>
      <c r="I10" s="187">
        <v>45199</v>
      </c>
      <c r="J10" s="187">
        <v>45214</v>
      </c>
      <c r="K10" s="187">
        <v>44378</v>
      </c>
      <c r="L10" s="188" t="s">
        <v>325</v>
      </c>
      <c r="M10" s="70">
        <v>11842.07</v>
      </c>
      <c r="N10" s="70"/>
      <c r="O10" s="67">
        <f t="shared" si="0"/>
        <v>11842.07</v>
      </c>
      <c r="P10" s="42"/>
      <c r="Q10" s="43">
        <v>11842.07</v>
      </c>
      <c r="R10" s="67"/>
      <c r="S10" s="68">
        <f>SUM(Q10:R10)</f>
        <v>11842.07</v>
      </c>
    </row>
    <row r="11" spans="1:20" ht="36.75" customHeight="1" x14ac:dyDescent="0.25">
      <c r="B11" s="2" t="s">
        <v>223</v>
      </c>
      <c r="C11" s="236" t="s">
        <v>333</v>
      </c>
      <c r="D11" s="93" t="s">
        <v>224</v>
      </c>
      <c r="E11" s="2" t="s">
        <v>225</v>
      </c>
      <c r="F11" s="2" t="s">
        <v>7</v>
      </c>
      <c r="G11" s="186">
        <v>2.63E-2</v>
      </c>
      <c r="H11" s="186">
        <v>0.1845</v>
      </c>
      <c r="I11" s="187">
        <v>44834</v>
      </c>
      <c r="J11" s="187">
        <v>44849</v>
      </c>
      <c r="K11" s="187">
        <v>43614</v>
      </c>
      <c r="L11" s="188" t="s">
        <v>274</v>
      </c>
      <c r="M11" s="61">
        <v>201660.15</v>
      </c>
      <c r="N11" s="148"/>
      <c r="O11" s="67">
        <f t="shared" si="0"/>
        <v>201660.15</v>
      </c>
      <c r="P11" s="148"/>
      <c r="Q11" s="73">
        <v>201660.15</v>
      </c>
      <c r="R11" s="60"/>
      <c r="S11" s="68">
        <f>Q11+R11</f>
        <v>201660.15</v>
      </c>
    </row>
    <row r="12" spans="1:20" ht="27.75" customHeight="1" x14ac:dyDescent="0.25">
      <c r="B12" s="2" t="s">
        <v>275</v>
      </c>
      <c r="C12" s="236" t="s">
        <v>333</v>
      </c>
      <c r="D12" s="93" t="s">
        <v>224</v>
      </c>
      <c r="E12" s="2" t="s">
        <v>276</v>
      </c>
      <c r="F12" s="2" t="s">
        <v>7</v>
      </c>
      <c r="G12" s="186">
        <v>2.63E-2</v>
      </c>
      <c r="H12" s="186">
        <v>0.1845</v>
      </c>
      <c r="I12" s="297">
        <v>44773</v>
      </c>
      <c r="J12" s="297">
        <v>44788</v>
      </c>
      <c r="K12" s="187">
        <v>43980</v>
      </c>
      <c r="L12" s="188" t="s">
        <v>277</v>
      </c>
      <c r="M12" s="79">
        <v>10360.18</v>
      </c>
      <c r="N12" s="70"/>
      <c r="O12" s="67">
        <f t="shared" si="0"/>
        <v>10360.18</v>
      </c>
      <c r="P12" s="67"/>
      <c r="Q12" s="67">
        <v>9328</v>
      </c>
      <c r="R12" s="67"/>
      <c r="S12" s="68">
        <f>Q12+R12</f>
        <v>9328</v>
      </c>
    </row>
    <row r="13" spans="1:20" ht="27.75" customHeight="1" x14ac:dyDescent="0.25">
      <c r="B13" s="2" t="s">
        <v>279</v>
      </c>
      <c r="C13" s="236" t="s">
        <v>333</v>
      </c>
      <c r="D13" s="93" t="s">
        <v>224</v>
      </c>
      <c r="E13" s="2" t="s">
        <v>280</v>
      </c>
      <c r="F13" s="2" t="s">
        <v>7</v>
      </c>
      <c r="G13" s="186">
        <v>2.63E-2</v>
      </c>
      <c r="H13" s="186">
        <v>0.1845</v>
      </c>
      <c r="I13" s="187">
        <v>44592</v>
      </c>
      <c r="J13" s="187">
        <v>44592</v>
      </c>
      <c r="K13" s="187">
        <v>43980</v>
      </c>
      <c r="L13" s="188" t="s">
        <v>332</v>
      </c>
      <c r="M13" s="79">
        <v>3000</v>
      </c>
      <c r="N13" s="67"/>
      <c r="O13" s="67">
        <f t="shared" ref="O13:O23" si="2">M13+N13</f>
        <v>3000</v>
      </c>
      <c r="P13" s="66"/>
      <c r="Q13" s="67"/>
      <c r="R13" s="67"/>
      <c r="S13" s="68">
        <f t="shared" ref="S13:S21" si="3">Q13+R13</f>
        <v>0</v>
      </c>
    </row>
    <row r="14" spans="1:20" ht="27.75" customHeight="1" x14ac:dyDescent="0.25">
      <c r="B14" s="2" t="s">
        <v>281</v>
      </c>
      <c r="C14" s="236" t="s">
        <v>334</v>
      </c>
      <c r="D14" s="93" t="s">
        <v>231</v>
      </c>
      <c r="E14" s="2" t="s">
        <v>282</v>
      </c>
      <c r="F14" s="2" t="s">
        <v>7</v>
      </c>
      <c r="G14" s="186">
        <v>2.63E-2</v>
      </c>
      <c r="H14" s="186">
        <v>0.1845</v>
      </c>
      <c r="I14" s="187">
        <v>44742</v>
      </c>
      <c r="J14" s="187">
        <v>44757</v>
      </c>
      <c r="K14" s="187">
        <v>43979</v>
      </c>
      <c r="L14" s="188" t="s">
        <v>283</v>
      </c>
      <c r="M14" s="79">
        <v>1027</v>
      </c>
      <c r="N14" s="67"/>
      <c r="O14" s="67">
        <f t="shared" si="2"/>
        <v>1027</v>
      </c>
      <c r="P14" s="66"/>
      <c r="Q14" s="67">
        <v>1022.18</v>
      </c>
      <c r="R14" s="67"/>
      <c r="S14" s="68">
        <f t="shared" si="3"/>
        <v>1022.18</v>
      </c>
    </row>
    <row r="15" spans="1:20" ht="27.75" customHeight="1" x14ac:dyDescent="0.25">
      <c r="B15" s="2" t="s">
        <v>321</v>
      </c>
      <c r="C15" s="236" t="s">
        <v>333</v>
      </c>
      <c r="D15" s="93" t="s">
        <v>288</v>
      </c>
      <c r="E15" s="2" t="s">
        <v>322</v>
      </c>
      <c r="F15" s="2" t="s">
        <v>7</v>
      </c>
      <c r="G15" s="186">
        <f>G14:H14</f>
        <v>2.63E-2</v>
      </c>
      <c r="H15" s="186">
        <f>H14</f>
        <v>0.1845</v>
      </c>
      <c r="I15" s="187">
        <v>45199</v>
      </c>
      <c r="J15" s="187">
        <v>45214</v>
      </c>
      <c r="K15" s="187">
        <v>44201</v>
      </c>
      <c r="L15" s="188" t="s">
        <v>323</v>
      </c>
      <c r="M15" s="79">
        <v>194952.83</v>
      </c>
      <c r="N15" s="67"/>
      <c r="O15" s="67">
        <f t="shared" si="2"/>
        <v>194952.83</v>
      </c>
      <c r="P15" s="66"/>
      <c r="Q15" s="67">
        <v>179105.75</v>
      </c>
      <c r="R15" s="67"/>
      <c r="S15" s="68">
        <f t="shared" si="3"/>
        <v>179105.75</v>
      </c>
    </row>
    <row r="16" spans="1:20" ht="27.75" customHeight="1" x14ac:dyDescent="0.25">
      <c r="B16" s="2" t="s">
        <v>324</v>
      </c>
      <c r="C16" s="236" t="s">
        <v>333</v>
      </c>
      <c r="D16" s="93" t="s">
        <v>288</v>
      </c>
      <c r="E16" s="2" t="s">
        <v>329</v>
      </c>
      <c r="F16" s="2" t="s">
        <v>7</v>
      </c>
      <c r="G16" s="186">
        <f>G15:H15</f>
        <v>2.63E-2</v>
      </c>
      <c r="H16" s="186">
        <f>H15</f>
        <v>0.1845</v>
      </c>
      <c r="I16" s="187">
        <v>45199</v>
      </c>
      <c r="J16" s="187">
        <v>45214</v>
      </c>
      <c r="K16" s="187">
        <v>44201</v>
      </c>
      <c r="L16" s="188" t="s">
        <v>325</v>
      </c>
      <c r="M16" s="79">
        <v>81508</v>
      </c>
      <c r="N16" s="67"/>
      <c r="O16" s="67">
        <f t="shared" si="2"/>
        <v>81508</v>
      </c>
      <c r="P16" s="66"/>
      <c r="Q16" s="67">
        <v>3600</v>
      </c>
      <c r="R16" s="67"/>
      <c r="S16" s="68">
        <f t="shared" si="3"/>
        <v>3600</v>
      </c>
    </row>
    <row r="17" spans="2:19" ht="27.75" customHeight="1" x14ac:dyDescent="0.25">
      <c r="B17" s="2" t="s">
        <v>326</v>
      </c>
      <c r="C17" s="236" t="s">
        <v>333</v>
      </c>
      <c r="D17" s="93" t="s">
        <v>288</v>
      </c>
      <c r="E17" s="2" t="s">
        <v>330</v>
      </c>
      <c r="F17" s="2" t="s">
        <v>7</v>
      </c>
      <c r="G17" s="186">
        <f>G16:H16</f>
        <v>2.63E-2</v>
      </c>
      <c r="H17" s="186">
        <f>H16</f>
        <v>0.1845</v>
      </c>
      <c r="I17" s="187">
        <v>45199</v>
      </c>
      <c r="J17" s="187">
        <v>45214</v>
      </c>
      <c r="K17" s="187">
        <v>44201</v>
      </c>
      <c r="L17" s="188" t="s">
        <v>323</v>
      </c>
      <c r="M17" s="79">
        <v>51175.12</v>
      </c>
      <c r="N17" s="67"/>
      <c r="O17" s="67">
        <f t="shared" si="2"/>
        <v>51175.12</v>
      </c>
      <c r="P17" s="66"/>
      <c r="Q17" s="67"/>
      <c r="R17" s="67"/>
      <c r="S17" s="68">
        <f t="shared" si="3"/>
        <v>0</v>
      </c>
    </row>
    <row r="18" spans="2:19" ht="27.75" customHeight="1" x14ac:dyDescent="0.25">
      <c r="B18" s="2" t="s">
        <v>370</v>
      </c>
      <c r="C18" s="236" t="s">
        <v>333</v>
      </c>
      <c r="D18" s="93" t="s">
        <v>288</v>
      </c>
      <c r="E18" s="2" t="s">
        <v>331</v>
      </c>
      <c r="F18" s="2" t="s">
        <v>7</v>
      </c>
      <c r="G18" s="186">
        <f t="shared" ref="G18" si="4">G17:H17</f>
        <v>2.63E-2</v>
      </c>
      <c r="H18" s="186">
        <f t="shared" ref="H18" si="5">H17</f>
        <v>0.1845</v>
      </c>
      <c r="I18" s="187">
        <v>45199</v>
      </c>
      <c r="J18" s="187">
        <v>45214</v>
      </c>
      <c r="K18" s="187">
        <v>44201</v>
      </c>
      <c r="L18" s="188" t="s">
        <v>325</v>
      </c>
      <c r="M18" s="79">
        <v>242228.88</v>
      </c>
      <c r="N18" s="67"/>
      <c r="O18" s="67">
        <f t="shared" si="2"/>
        <v>242228.88</v>
      </c>
      <c r="P18" s="66"/>
      <c r="Q18" s="67"/>
      <c r="R18" s="67"/>
      <c r="S18" s="68">
        <f t="shared" si="3"/>
        <v>0</v>
      </c>
    </row>
    <row r="19" spans="2:19" ht="27.75" customHeight="1" x14ac:dyDescent="0.25">
      <c r="B19" s="2" t="s">
        <v>287</v>
      </c>
      <c r="C19" s="236" t="s">
        <v>333</v>
      </c>
      <c r="D19" s="93" t="s">
        <v>288</v>
      </c>
      <c r="E19" s="2" t="s">
        <v>289</v>
      </c>
      <c r="F19" s="2" t="s">
        <v>7</v>
      </c>
      <c r="G19" s="186">
        <v>2.63E-2</v>
      </c>
      <c r="H19" s="186">
        <v>0.1845</v>
      </c>
      <c r="I19" s="187">
        <v>45199</v>
      </c>
      <c r="J19" s="187">
        <v>45199</v>
      </c>
      <c r="K19" s="187">
        <v>44201</v>
      </c>
      <c r="L19" s="188" t="s">
        <v>320</v>
      </c>
      <c r="M19" s="79">
        <v>448391.5</v>
      </c>
      <c r="N19" s="67"/>
      <c r="O19" s="67">
        <f t="shared" si="2"/>
        <v>448391.5</v>
      </c>
      <c r="P19" s="66"/>
      <c r="Q19" s="67"/>
      <c r="R19" s="67"/>
      <c r="S19" s="68">
        <f t="shared" si="3"/>
        <v>0</v>
      </c>
    </row>
    <row r="20" spans="2:19" ht="27.75" customHeight="1" x14ac:dyDescent="0.25">
      <c r="B20" s="2" t="s">
        <v>352</v>
      </c>
      <c r="C20" s="236" t="s">
        <v>353</v>
      </c>
      <c r="D20" s="93" t="s">
        <v>354</v>
      </c>
      <c r="E20" s="2" t="s">
        <v>355</v>
      </c>
      <c r="F20" s="2" t="s">
        <v>7</v>
      </c>
      <c r="G20" s="186">
        <v>2.63E-2</v>
      </c>
      <c r="H20" s="186">
        <v>0.1845</v>
      </c>
      <c r="I20" s="187">
        <v>45565</v>
      </c>
      <c r="J20" s="187">
        <v>45580</v>
      </c>
      <c r="K20" s="187">
        <v>44279</v>
      </c>
      <c r="L20" s="188" t="s">
        <v>356</v>
      </c>
      <c r="M20" s="79">
        <v>1753150.03</v>
      </c>
      <c r="N20" s="67"/>
      <c r="O20" s="67">
        <f t="shared" si="2"/>
        <v>1753150.03</v>
      </c>
      <c r="P20" s="66"/>
      <c r="Q20" s="67"/>
      <c r="R20" s="67"/>
      <c r="S20" s="68">
        <f t="shared" si="3"/>
        <v>0</v>
      </c>
    </row>
    <row r="21" spans="2:19" ht="27.75" customHeight="1" x14ac:dyDescent="0.25">
      <c r="B21" s="2" t="s">
        <v>357</v>
      </c>
      <c r="C21" s="236" t="s">
        <v>353</v>
      </c>
      <c r="D21" s="93" t="s">
        <v>354</v>
      </c>
      <c r="E21" s="2" t="s">
        <v>358</v>
      </c>
      <c r="F21" s="2" t="s">
        <v>7</v>
      </c>
      <c r="G21" s="186">
        <v>2.63E-2</v>
      </c>
      <c r="H21" s="186">
        <v>0.1845</v>
      </c>
      <c r="I21" s="187">
        <v>45565</v>
      </c>
      <c r="J21" s="187">
        <v>45580</v>
      </c>
      <c r="K21" s="187">
        <v>44279</v>
      </c>
      <c r="L21" s="188" t="s">
        <v>356</v>
      </c>
      <c r="M21" s="79">
        <v>438287.51</v>
      </c>
      <c r="N21" s="67"/>
      <c r="O21" s="67">
        <f t="shared" si="2"/>
        <v>438287.51</v>
      </c>
      <c r="P21" s="66"/>
      <c r="Q21" s="67"/>
      <c r="R21" s="67"/>
      <c r="S21" s="68">
        <f t="shared" si="3"/>
        <v>0</v>
      </c>
    </row>
    <row r="22" spans="2:19" ht="27.75" customHeight="1" x14ac:dyDescent="0.25">
      <c r="B22" s="2" t="s">
        <v>363</v>
      </c>
      <c r="C22" s="236" t="s">
        <v>333</v>
      </c>
      <c r="D22" s="93" t="s">
        <v>288</v>
      </c>
      <c r="E22" s="2" t="s">
        <v>364</v>
      </c>
      <c r="F22" s="2" t="s">
        <v>7</v>
      </c>
      <c r="G22" s="186">
        <v>2.63E-2</v>
      </c>
      <c r="H22" s="186">
        <v>0.1845</v>
      </c>
      <c r="I22" s="187">
        <v>45199</v>
      </c>
      <c r="J22" s="187">
        <v>45214</v>
      </c>
      <c r="K22" s="187">
        <v>44201</v>
      </c>
      <c r="L22" s="188" t="s">
        <v>365</v>
      </c>
      <c r="M22" s="79">
        <v>4126.3900000000003</v>
      </c>
      <c r="N22" s="67"/>
      <c r="O22" s="67">
        <f t="shared" si="2"/>
        <v>4126.3900000000003</v>
      </c>
      <c r="P22" s="66"/>
      <c r="Q22" s="67"/>
      <c r="R22" s="67"/>
      <c r="S22" s="68"/>
    </row>
    <row r="23" spans="2:19" ht="27.75" customHeight="1" x14ac:dyDescent="0.25">
      <c r="B23" s="2" t="s">
        <v>366</v>
      </c>
      <c r="C23" s="236" t="s">
        <v>333</v>
      </c>
      <c r="D23" s="93" t="s">
        <v>367</v>
      </c>
      <c r="E23" s="2" t="s">
        <v>368</v>
      </c>
      <c r="F23" s="2" t="s">
        <v>7</v>
      </c>
      <c r="G23" s="186">
        <v>2.63E-2</v>
      </c>
      <c r="H23" s="186">
        <v>0.1845</v>
      </c>
      <c r="I23" s="187">
        <v>45199</v>
      </c>
      <c r="J23" s="187">
        <v>45214</v>
      </c>
      <c r="K23" s="187">
        <v>44201</v>
      </c>
      <c r="L23" s="188" t="s">
        <v>369</v>
      </c>
      <c r="M23" s="79">
        <v>32851.82</v>
      </c>
      <c r="N23" s="67"/>
      <c r="O23" s="67">
        <f t="shared" si="2"/>
        <v>32851.82</v>
      </c>
      <c r="P23" s="66"/>
      <c r="Q23" s="67"/>
      <c r="R23" s="67"/>
      <c r="S23" s="68"/>
    </row>
    <row r="24" spans="2:19" x14ac:dyDescent="0.25">
      <c r="C24" s="92"/>
      <c r="D24" s="92"/>
      <c r="I24" s="116"/>
      <c r="J24" s="116"/>
      <c r="K24" s="116"/>
      <c r="L24" s="93"/>
      <c r="M24" s="25"/>
      <c r="N24" s="25"/>
      <c r="O24" s="25"/>
      <c r="P24" s="29"/>
      <c r="Q24" s="25"/>
      <c r="R24" s="25"/>
      <c r="S24" s="26"/>
    </row>
    <row r="25" spans="2:19" ht="20.25" customHeight="1" x14ac:dyDescent="0.25">
      <c r="B25" s="29"/>
      <c r="C25" s="92"/>
      <c r="D25" s="92"/>
      <c r="L25" s="5" t="s">
        <v>38</v>
      </c>
      <c r="M25" s="66">
        <f>SUM(M7:M24)</f>
        <v>3965871.29</v>
      </c>
      <c r="N25" s="66">
        <f>SUM(N7:N24)</f>
        <v>0</v>
      </c>
      <c r="O25" s="66">
        <f>SUM(O7:O24)</f>
        <v>3965871.29</v>
      </c>
      <c r="Q25" s="66">
        <f>SUM(Q7:Q24)</f>
        <v>859784.82000000007</v>
      </c>
      <c r="R25" s="66">
        <f>SUM(R7:R24)</f>
        <v>0</v>
      </c>
      <c r="S25" s="68">
        <f>SUM(S7:S24)</f>
        <v>859784.82000000007</v>
      </c>
    </row>
    <row r="26" spans="2:19" ht="20.25" customHeight="1" x14ac:dyDescent="0.25">
      <c r="B26" s="29"/>
      <c r="C26" s="92"/>
      <c r="D26" s="92"/>
      <c r="L26" s="5"/>
      <c r="M26" s="66"/>
      <c r="N26" s="66"/>
      <c r="O26" s="66"/>
      <c r="Q26" s="66"/>
      <c r="R26" s="66"/>
      <c r="S26" s="68"/>
    </row>
    <row r="27" spans="2:19" x14ac:dyDescent="0.25">
      <c r="B27" s="8" t="s">
        <v>125</v>
      </c>
      <c r="C27" s="92"/>
      <c r="D27" s="92"/>
      <c r="L27" s="5"/>
      <c r="M27" s="66"/>
      <c r="N27" s="66"/>
      <c r="O27" s="66"/>
      <c r="Q27" s="67"/>
      <c r="R27" s="67"/>
      <c r="S27" s="68"/>
    </row>
    <row r="28" spans="2:19" ht="30" customHeight="1" x14ac:dyDescent="0.25">
      <c r="B28" s="341" t="s">
        <v>126</v>
      </c>
      <c r="C28" s="341"/>
      <c r="D28" s="341"/>
      <c r="E28" s="341"/>
      <c r="L28" s="5"/>
      <c r="M28" s="66"/>
      <c r="N28" s="66"/>
      <c r="O28" s="66"/>
      <c r="Q28" s="67"/>
      <c r="R28" s="67"/>
      <c r="S28" s="68"/>
    </row>
    <row r="29" spans="2:19" x14ac:dyDescent="0.25">
      <c r="C29" s="92"/>
      <c r="D29" s="92"/>
      <c r="L29" s="5"/>
      <c r="M29" s="66"/>
      <c r="N29" s="66"/>
      <c r="O29" s="66"/>
      <c r="Q29" s="67"/>
      <c r="R29" s="67"/>
      <c r="S29" s="68"/>
    </row>
    <row r="30" spans="2:19" ht="57.75" customHeight="1" x14ac:dyDescent="0.25">
      <c r="B30" s="341" t="s">
        <v>129</v>
      </c>
      <c r="C30" s="341"/>
      <c r="D30" s="341"/>
      <c r="E30" s="341"/>
      <c r="L30" s="5"/>
      <c r="M30" s="66"/>
      <c r="N30" s="66"/>
      <c r="O30" s="66"/>
      <c r="Q30" s="67"/>
      <c r="R30" s="67"/>
      <c r="S30" s="68"/>
    </row>
    <row r="31" spans="2:19" x14ac:dyDescent="0.25">
      <c r="B31" s="193"/>
      <c r="C31" s="193"/>
      <c r="D31" s="193"/>
      <c r="E31" s="193"/>
      <c r="L31" s="5"/>
      <c r="M31" s="66"/>
      <c r="N31" s="66"/>
      <c r="O31" s="66"/>
      <c r="Q31" s="67"/>
      <c r="R31" s="67"/>
      <c r="S31" s="68"/>
    </row>
    <row r="32" spans="2:19" ht="32.25" customHeight="1" x14ac:dyDescent="0.25">
      <c r="B32" s="341" t="s">
        <v>160</v>
      </c>
      <c r="C32" s="341"/>
      <c r="D32" s="341"/>
      <c r="E32" s="341"/>
      <c r="F32" s="341"/>
      <c r="L32" s="5"/>
      <c r="M32" s="66"/>
      <c r="N32" s="66"/>
      <c r="O32" s="66"/>
      <c r="Q32" s="67"/>
      <c r="R32" s="67"/>
      <c r="S32" s="68"/>
    </row>
    <row r="33" spans="2:19" ht="15" customHeight="1" x14ac:dyDescent="0.25">
      <c r="B33" s="347" t="s">
        <v>159</v>
      </c>
      <c r="C33" s="341"/>
      <c r="D33" s="341"/>
      <c r="E33" s="341"/>
      <c r="F33" s="341"/>
      <c r="L33" s="5"/>
      <c r="M33" s="66"/>
      <c r="N33" s="66"/>
      <c r="O33" s="66"/>
      <c r="Q33" s="67"/>
      <c r="R33" s="67"/>
      <c r="S33" s="68"/>
    </row>
    <row r="34" spans="2:19" ht="15" customHeight="1" x14ac:dyDescent="0.25">
      <c r="B34" s="195"/>
      <c r="C34" s="195"/>
      <c r="D34" s="195"/>
      <c r="E34" s="195"/>
      <c r="L34" s="5"/>
      <c r="M34" s="66"/>
      <c r="N34" s="66"/>
      <c r="O34" s="66"/>
      <c r="Q34" s="67"/>
      <c r="R34" s="67"/>
      <c r="S34" s="68"/>
    </row>
    <row r="35" spans="2:19" x14ac:dyDescent="0.25">
      <c r="B35" s="108"/>
      <c r="C35" s="108"/>
      <c r="D35" s="108"/>
      <c r="E35" s="108"/>
      <c r="L35" s="5"/>
      <c r="M35" s="66"/>
      <c r="N35" s="66"/>
      <c r="O35" s="66"/>
      <c r="Q35" s="67"/>
      <c r="R35" s="67"/>
      <c r="S35" s="68"/>
    </row>
    <row r="36" spans="2:19" x14ac:dyDescent="0.25">
      <c r="B36" s="7" t="s">
        <v>109</v>
      </c>
      <c r="C36" s="101" t="s">
        <v>112</v>
      </c>
      <c r="D36" s="101" t="s">
        <v>113</v>
      </c>
      <c r="E36" s="108"/>
      <c r="L36" s="5"/>
      <c r="M36" s="66"/>
      <c r="N36" s="66"/>
      <c r="O36" s="66"/>
      <c r="Q36" s="67"/>
      <c r="R36" s="67"/>
      <c r="S36" s="68"/>
    </row>
    <row r="37" spans="2:19" x14ac:dyDescent="0.25">
      <c r="B37" s="2" t="s">
        <v>110</v>
      </c>
      <c r="C37" s="92" t="s">
        <v>327</v>
      </c>
      <c r="D37" s="92" t="s">
        <v>118</v>
      </c>
      <c r="E37" s="108"/>
      <c r="L37" s="5"/>
      <c r="M37" s="66"/>
      <c r="N37" s="66"/>
      <c r="O37" s="66"/>
      <c r="Q37" s="67"/>
      <c r="R37" s="67"/>
      <c r="S37" s="68"/>
    </row>
    <row r="38" spans="2:19" x14ac:dyDescent="0.25">
      <c r="B38" s="2" t="s">
        <v>262</v>
      </c>
      <c r="C38" s="92" t="s">
        <v>180</v>
      </c>
      <c r="D38" s="92" t="s">
        <v>181</v>
      </c>
      <c r="E38" s="314"/>
      <c r="L38" s="5"/>
      <c r="M38" s="66"/>
      <c r="N38" s="66"/>
      <c r="O38" s="66"/>
      <c r="Q38" s="67"/>
      <c r="R38" s="67"/>
      <c r="S38" s="68"/>
    </row>
    <row r="39" spans="2:19" x14ac:dyDescent="0.25">
      <c r="B39" s="103" t="s">
        <v>111</v>
      </c>
      <c r="C39" s="92" t="s">
        <v>300</v>
      </c>
      <c r="D39" s="92" t="s">
        <v>303</v>
      </c>
      <c r="L39" s="5"/>
      <c r="M39" s="66"/>
      <c r="N39" s="66"/>
      <c r="O39" s="66"/>
      <c r="Q39" s="67"/>
      <c r="R39" s="67"/>
      <c r="S39" s="68"/>
    </row>
    <row r="40" spans="2:19" x14ac:dyDescent="0.25">
      <c r="B40" s="2" t="s">
        <v>230</v>
      </c>
      <c r="C40" s="92" t="s">
        <v>135</v>
      </c>
      <c r="D40" s="92" t="s">
        <v>147</v>
      </c>
      <c r="L40" s="5"/>
      <c r="M40" s="66"/>
      <c r="N40" s="66"/>
      <c r="O40" s="66"/>
      <c r="Q40" s="67"/>
      <c r="R40" s="67"/>
      <c r="S40" s="68"/>
    </row>
    <row r="41" spans="2:19" x14ac:dyDescent="0.25">
      <c r="B41" s="2" t="s">
        <v>275</v>
      </c>
      <c r="C41" s="92" t="s">
        <v>135</v>
      </c>
      <c r="D41" s="92" t="s">
        <v>147</v>
      </c>
      <c r="L41" s="5"/>
      <c r="M41" s="66"/>
      <c r="N41" s="66"/>
      <c r="O41" s="66"/>
      <c r="Q41" s="67"/>
      <c r="R41" s="67"/>
      <c r="S41" s="68"/>
    </row>
    <row r="42" spans="2:19" x14ac:dyDescent="0.25">
      <c r="B42" s="2" t="s">
        <v>279</v>
      </c>
      <c r="C42" s="92" t="s">
        <v>135</v>
      </c>
      <c r="D42" s="92" t="s">
        <v>147</v>
      </c>
      <c r="L42" s="5"/>
      <c r="M42" s="66"/>
      <c r="N42" s="66"/>
      <c r="O42" s="66"/>
      <c r="Q42" s="67"/>
      <c r="R42" s="67"/>
      <c r="S42" s="68"/>
    </row>
    <row r="43" spans="2:19" x14ac:dyDescent="0.25">
      <c r="B43" s="2" t="s">
        <v>281</v>
      </c>
      <c r="C43" s="92" t="s">
        <v>135</v>
      </c>
      <c r="D43" s="92" t="s">
        <v>147</v>
      </c>
      <c r="L43" s="5"/>
      <c r="M43" s="66"/>
      <c r="N43" s="66"/>
      <c r="O43" s="66"/>
      <c r="Q43" s="67"/>
      <c r="R43" s="67"/>
      <c r="S43" s="68"/>
    </row>
    <row r="44" spans="2:19" x14ac:dyDescent="0.25">
      <c r="B44" s="2" t="s">
        <v>286</v>
      </c>
      <c r="C44" s="92" t="s">
        <v>135</v>
      </c>
      <c r="D44" s="92" t="s">
        <v>147</v>
      </c>
      <c r="L44" s="5"/>
      <c r="M44" s="66"/>
      <c r="N44" s="66"/>
      <c r="O44" s="66"/>
      <c r="Q44" s="67"/>
      <c r="R44" s="67"/>
      <c r="S44" s="68"/>
    </row>
    <row r="45" spans="2:19" x14ac:dyDescent="0.25">
      <c r="C45" s="92"/>
      <c r="D45" s="92"/>
      <c r="L45" s="5"/>
      <c r="M45" s="66"/>
      <c r="N45" s="66"/>
      <c r="O45" s="66"/>
      <c r="Q45" s="67"/>
      <c r="R45" s="67"/>
      <c r="S45" s="68"/>
    </row>
    <row r="46" spans="2:19" x14ac:dyDescent="0.25">
      <c r="B46" s="348" t="s">
        <v>298</v>
      </c>
      <c r="C46" s="336"/>
      <c r="D46" s="336"/>
      <c r="E46" s="336"/>
      <c r="F46" s="336"/>
      <c r="G46" s="336"/>
      <c r="H46" s="336"/>
      <c r="L46" s="5"/>
      <c r="M46" s="66"/>
      <c r="N46" s="66"/>
      <c r="O46" s="66"/>
      <c r="Q46" s="67"/>
      <c r="R46" s="67"/>
      <c r="S46" s="68"/>
    </row>
    <row r="47" spans="2:19" x14ac:dyDescent="0.25">
      <c r="B47" s="242" t="s">
        <v>299</v>
      </c>
      <c r="C47" s="92"/>
      <c r="D47" s="92"/>
      <c r="L47" s="5"/>
      <c r="M47" s="66"/>
      <c r="N47" s="66"/>
      <c r="O47" s="66"/>
      <c r="Q47" s="67"/>
      <c r="R47" s="67"/>
      <c r="S47" s="68"/>
    </row>
    <row r="48" spans="2:19" x14ac:dyDescent="0.25">
      <c r="B48" s="10"/>
      <c r="C48" s="94"/>
      <c r="D48" s="94"/>
      <c r="E48" s="10"/>
      <c r="F48" s="10"/>
      <c r="G48" s="10"/>
      <c r="H48" s="10"/>
      <c r="I48" s="10"/>
      <c r="J48" s="10"/>
      <c r="K48" s="10"/>
      <c r="L48" s="10"/>
      <c r="M48" s="10"/>
      <c r="N48" s="10"/>
      <c r="O48" s="10"/>
      <c r="P48" s="10"/>
      <c r="Q48" s="10"/>
      <c r="R48" s="10"/>
      <c r="S48" s="28"/>
    </row>
    <row r="49" spans="2:19" ht="15" customHeight="1" x14ac:dyDescent="0.25">
      <c r="N49" s="109"/>
      <c r="O49" s="109"/>
      <c r="P49" s="109"/>
      <c r="Q49" s="170" t="s">
        <v>90</v>
      </c>
      <c r="R49" s="171"/>
      <c r="S49" s="172"/>
    </row>
    <row r="50" spans="2:19" ht="15" customHeight="1" x14ac:dyDescent="0.25">
      <c r="B50" s="17" t="s">
        <v>39</v>
      </c>
      <c r="C50" s="96" t="s">
        <v>2</v>
      </c>
      <c r="D50" s="96"/>
      <c r="E50" s="96" t="s">
        <v>34</v>
      </c>
      <c r="F50" s="96" t="s">
        <v>35</v>
      </c>
      <c r="G50" s="120"/>
      <c r="H50" s="120"/>
      <c r="I50" s="114"/>
      <c r="J50" s="96"/>
      <c r="K50" s="96"/>
      <c r="L50" s="96" t="s">
        <v>36</v>
      </c>
      <c r="M50" s="96" t="s">
        <v>37</v>
      </c>
      <c r="N50" s="10"/>
      <c r="O50" s="10"/>
      <c r="P50" s="10"/>
      <c r="Q50" s="54" t="s">
        <v>88</v>
      </c>
      <c r="R50" s="54"/>
      <c r="S50" s="55"/>
    </row>
    <row r="51" spans="2:19" ht="15" customHeight="1" x14ac:dyDescent="0.25">
      <c r="B51" s="63"/>
      <c r="C51" s="9"/>
      <c r="D51" s="9"/>
      <c r="E51" s="9"/>
      <c r="F51" s="9"/>
      <c r="G51" s="9"/>
      <c r="H51" s="9"/>
      <c r="I51" s="9"/>
      <c r="J51" s="9"/>
      <c r="K51" s="9"/>
      <c r="L51" s="9"/>
      <c r="M51" s="9"/>
      <c r="Q51" s="51"/>
      <c r="R51" s="51"/>
      <c r="S51" s="51"/>
    </row>
    <row r="52" spans="2:19" ht="15" customHeight="1" x14ac:dyDescent="0.25">
      <c r="B52" s="63"/>
      <c r="C52" s="148"/>
      <c r="D52" s="148"/>
      <c r="E52" s="148"/>
      <c r="F52" s="148"/>
      <c r="G52" s="148"/>
      <c r="H52" s="148"/>
      <c r="I52" s="148"/>
      <c r="J52" s="148"/>
      <c r="K52" s="148"/>
      <c r="L52" s="148"/>
      <c r="M52" s="148"/>
      <c r="Q52" s="51"/>
      <c r="R52" s="51"/>
      <c r="S52" s="51"/>
    </row>
    <row r="53" spans="2:19" ht="15" customHeight="1" x14ac:dyDescent="0.25">
      <c r="B53" s="63"/>
      <c r="C53" s="148"/>
      <c r="D53" s="148"/>
      <c r="E53" s="148"/>
      <c r="F53" s="148"/>
      <c r="G53" s="148"/>
      <c r="H53" s="148"/>
      <c r="I53" s="148"/>
      <c r="J53" s="148"/>
      <c r="K53" s="148"/>
      <c r="L53" s="148"/>
      <c r="M53" s="148"/>
      <c r="Q53" s="51"/>
      <c r="R53" s="51"/>
      <c r="S53" s="51"/>
    </row>
    <row r="54" spans="2:19" x14ac:dyDescent="0.25">
      <c r="B54" s="63"/>
      <c r="C54" s="9"/>
      <c r="D54" s="9"/>
      <c r="E54" s="9"/>
      <c r="F54" s="9"/>
      <c r="G54" s="9"/>
      <c r="H54" s="9"/>
      <c r="I54" s="9"/>
      <c r="J54" s="9"/>
      <c r="K54" s="9"/>
      <c r="L54" s="9"/>
      <c r="M54" s="9"/>
      <c r="Q54" s="58"/>
      <c r="R54" s="51"/>
      <c r="S54" s="51"/>
    </row>
    <row r="55" spans="2:19" x14ac:dyDescent="0.25">
      <c r="C55" s="40"/>
      <c r="D55" s="40"/>
      <c r="E55" s="41"/>
      <c r="F55" s="69"/>
      <c r="G55" s="69"/>
      <c r="H55" s="69"/>
      <c r="I55" s="69"/>
      <c r="J55" s="69"/>
      <c r="K55" s="69"/>
      <c r="L55" s="33"/>
      <c r="M55" s="31"/>
      <c r="N55" s="105"/>
      <c r="Q55" s="309" t="s">
        <v>316</v>
      </c>
      <c r="R55" s="309"/>
      <c r="S55" s="310">
        <f>S25</f>
        <v>859784.82000000007</v>
      </c>
    </row>
    <row r="56" spans="2:19" x14ac:dyDescent="0.25">
      <c r="C56" s="40"/>
      <c r="D56" s="40"/>
      <c r="E56" s="41"/>
      <c r="F56" s="69"/>
      <c r="G56" s="69"/>
      <c r="H56" s="69"/>
      <c r="I56" s="69"/>
      <c r="J56" s="69"/>
      <c r="K56" s="69"/>
      <c r="L56" s="33"/>
      <c r="M56" s="35"/>
      <c r="N56" s="37"/>
      <c r="O56" s="37"/>
      <c r="P56" s="29"/>
    </row>
    <row r="57" spans="2:19" x14ac:dyDescent="0.25">
      <c r="C57" s="40"/>
      <c r="D57" s="40"/>
      <c r="E57" s="41"/>
      <c r="F57" s="69"/>
      <c r="G57" s="69"/>
      <c r="H57" s="69"/>
      <c r="I57" s="69"/>
      <c r="J57" s="69"/>
      <c r="K57" s="69"/>
      <c r="L57" s="33"/>
      <c r="M57" s="31"/>
      <c r="N57" s="99"/>
      <c r="O57" s="99"/>
      <c r="P57" s="29"/>
      <c r="Q57" s="14"/>
      <c r="R57" s="14"/>
      <c r="S57" s="313"/>
    </row>
    <row r="58" spans="2:19" ht="15" customHeight="1" x14ac:dyDescent="0.25">
      <c r="B58" s="36"/>
      <c r="C58" s="40"/>
      <c r="D58" s="40"/>
      <c r="E58" s="41"/>
      <c r="F58" s="38"/>
      <c r="G58" s="38"/>
      <c r="H58" s="38"/>
      <c r="I58" s="38"/>
      <c r="J58" s="38"/>
      <c r="K58" s="38"/>
      <c r="L58" s="33"/>
      <c r="M58" s="31"/>
      <c r="N58" s="99"/>
      <c r="O58" s="99"/>
      <c r="P58" s="29"/>
    </row>
    <row r="59" spans="2:19" x14ac:dyDescent="0.25">
      <c r="B59" s="36"/>
      <c r="C59" s="40"/>
      <c r="D59" s="40"/>
      <c r="E59" s="41"/>
      <c r="F59" s="38"/>
      <c r="G59" s="38"/>
      <c r="H59" s="38"/>
      <c r="I59" s="38"/>
      <c r="J59" s="38"/>
      <c r="K59" s="38"/>
      <c r="L59" s="33"/>
      <c r="M59" s="31"/>
      <c r="N59" s="99"/>
      <c r="O59" s="99"/>
      <c r="P59" s="29"/>
    </row>
    <row r="60" spans="2:19" x14ac:dyDescent="0.25">
      <c r="B60" s="36"/>
      <c r="C60" s="40"/>
      <c r="D60" s="40"/>
      <c r="E60" s="41"/>
      <c r="F60" s="38"/>
      <c r="G60" s="38"/>
      <c r="H60" s="38"/>
      <c r="I60" s="38"/>
      <c r="J60" s="38"/>
      <c r="K60" s="38"/>
      <c r="L60" s="33"/>
      <c r="M60" s="20"/>
      <c r="N60" s="99"/>
      <c r="O60" s="99"/>
      <c r="P60" s="29"/>
    </row>
    <row r="61" spans="2:19" ht="16.5" customHeight="1" x14ac:dyDescent="0.25">
      <c r="B61" s="36"/>
      <c r="C61" s="40"/>
      <c r="D61" s="40"/>
      <c r="E61" s="41"/>
      <c r="F61" s="38"/>
      <c r="G61" s="38"/>
      <c r="H61" s="38"/>
      <c r="I61" s="38"/>
      <c r="J61" s="38"/>
      <c r="K61" s="38"/>
      <c r="L61" s="39"/>
    </row>
    <row r="62" spans="2:19" ht="15" customHeight="1" x14ac:dyDescent="0.25"/>
    <row r="63" spans="2:19" ht="15" customHeight="1" x14ac:dyDescent="0.25">
      <c r="E63" s="21"/>
      <c r="F63" s="102"/>
      <c r="G63" s="102"/>
      <c r="H63" s="102"/>
      <c r="I63" s="102"/>
      <c r="J63" s="102"/>
      <c r="K63" s="102"/>
    </row>
    <row r="66" ht="15" customHeight="1" x14ac:dyDescent="0.25"/>
  </sheetData>
  <mergeCells count="7">
    <mergeCell ref="B46:H46"/>
    <mergeCell ref="B33:F33"/>
    <mergeCell ref="Q2:S2"/>
    <mergeCell ref="Q1:S1"/>
    <mergeCell ref="B28:E28"/>
    <mergeCell ref="B30:E30"/>
    <mergeCell ref="B32:F32"/>
  </mergeCells>
  <hyperlinks>
    <hyperlink ref="B33" r:id="rId1"/>
  </hyperlinks>
  <printOptions horizontalCentered="1" gridLines="1"/>
  <pageMargins left="0" right="0" top="0.75" bottom="0.75" header="0.3" footer="0.3"/>
  <pageSetup scale="47" orientation="landscape" horizontalDpi="1200" verticalDpi="1200"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3"/>
  <sheetViews>
    <sheetView topLeftCell="B2" zoomScale="90" zoomScaleNormal="90" workbookViewId="0">
      <selection activeCell="Q13" sqref="Q13:Q17"/>
    </sheetView>
  </sheetViews>
  <sheetFormatPr defaultColWidth="9.140625" defaultRowHeight="15" x14ac:dyDescent="0.25"/>
  <cols>
    <col min="1" max="1" width="9.140625" style="2" hidden="1" customWidth="1"/>
    <col min="2" max="2" width="62.5703125" style="2" customWidth="1"/>
    <col min="3" max="3" width="27.7109375" style="2" customWidth="1"/>
    <col min="4" max="4" width="15.7109375" style="2" customWidth="1"/>
    <col min="5" max="5" width="17.85546875" style="2" customWidth="1"/>
    <col min="6" max="6" width="22.28515625" style="2" customWidth="1"/>
    <col min="7" max="7" width="16" style="2" customWidth="1"/>
    <col min="8" max="8" width="13" style="2" customWidth="1"/>
    <col min="9" max="9" width="13.140625" style="2" customWidth="1"/>
    <col min="10" max="10" width="15.5703125" style="2" customWidth="1"/>
    <col min="11" max="11" width="8" style="2" customWidth="1"/>
    <col min="12" max="12" width="17.5703125" style="2" customWidth="1"/>
    <col min="13" max="13" width="14"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6.7109375" style="2" customWidth="1"/>
    <col min="20" max="16384" width="9.140625" style="2"/>
  </cols>
  <sheetData>
    <row r="1" spans="1:20" ht="15.6" customHeight="1" x14ac:dyDescent="0.25">
      <c r="B1" s="1" t="s">
        <v>85</v>
      </c>
      <c r="Q1" s="338" t="s">
        <v>296</v>
      </c>
      <c r="R1" s="338"/>
      <c r="S1" s="338"/>
    </row>
    <row r="2" spans="1:20" x14ac:dyDescent="0.25">
      <c r="B2" s="88" t="s">
        <v>148</v>
      </c>
      <c r="C2" s="182">
        <v>44742</v>
      </c>
      <c r="M2" s="71"/>
      <c r="N2" s="71"/>
      <c r="P2" s="29"/>
      <c r="Q2" s="337" t="s">
        <v>375</v>
      </c>
      <c r="R2" s="337"/>
      <c r="S2" s="337"/>
    </row>
    <row r="3" spans="1:20" ht="15.75" thickBot="1" x14ac:dyDescent="0.3">
      <c r="A3" s="2" t="s">
        <v>16</v>
      </c>
      <c r="B3" s="44" t="s">
        <v>86</v>
      </c>
      <c r="C3" s="8"/>
      <c r="D3" s="8"/>
      <c r="E3" s="8"/>
      <c r="P3" s="29"/>
      <c r="Q3" s="45"/>
      <c r="R3" s="30"/>
    </row>
    <row r="4" spans="1:20" x14ac:dyDescent="0.25">
      <c r="B4" s="8" t="s">
        <v>174</v>
      </c>
      <c r="M4" s="85" t="s">
        <v>28</v>
      </c>
      <c r="N4" s="85" t="s">
        <v>28</v>
      </c>
      <c r="O4" s="85" t="s">
        <v>28</v>
      </c>
      <c r="P4" s="9"/>
      <c r="Q4" s="89" t="s">
        <v>29</v>
      </c>
      <c r="R4" s="89" t="s">
        <v>31</v>
      </c>
      <c r="S4" s="89" t="s">
        <v>23</v>
      </c>
      <c r="T4" s="7"/>
    </row>
    <row r="5" spans="1:20" ht="15.75" thickBot="1" x14ac:dyDescent="0.3">
      <c r="G5" s="183" t="s">
        <v>295</v>
      </c>
      <c r="H5" s="183" t="s">
        <v>295</v>
      </c>
      <c r="M5" s="86" t="s">
        <v>27</v>
      </c>
      <c r="N5" s="86" t="s">
        <v>26</v>
      </c>
      <c r="O5" s="86" t="s">
        <v>25</v>
      </c>
      <c r="P5" s="9"/>
      <c r="Q5" s="90" t="s">
        <v>30</v>
      </c>
      <c r="R5" s="90" t="s">
        <v>30</v>
      </c>
      <c r="S5" s="90" t="s">
        <v>30</v>
      </c>
      <c r="T5" s="7"/>
    </row>
    <row r="6" spans="1:20" ht="85.5" customHeight="1" thickBot="1" x14ac:dyDescent="0.3">
      <c r="B6" s="84" t="s">
        <v>1</v>
      </c>
      <c r="C6" s="84" t="s">
        <v>389</v>
      </c>
      <c r="D6" s="84" t="s">
        <v>107</v>
      </c>
      <c r="E6" s="84" t="s">
        <v>3</v>
      </c>
      <c r="F6" s="84" t="s">
        <v>4</v>
      </c>
      <c r="G6" s="107" t="s">
        <v>136</v>
      </c>
      <c r="H6" s="107" t="s">
        <v>137</v>
      </c>
      <c r="I6" s="107" t="s">
        <v>133</v>
      </c>
      <c r="J6" s="107" t="s">
        <v>134</v>
      </c>
      <c r="K6" s="107" t="s">
        <v>121</v>
      </c>
      <c r="L6" s="83" t="s">
        <v>5</v>
      </c>
      <c r="M6" s="87" t="s">
        <v>6</v>
      </c>
      <c r="N6" s="87" t="s">
        <v>6</v>
      </c>
      <c r="O6" s="87" t="s">
        <v>6</v>
      </c>
      <c r="P6" s="9"/>
      <c r="Q6" s="91"/>
      <c r="R6" s="97" t="s">
        <v>32</v>
      </c>
      <c r="S6" s="98" t="s">
        <v>33</v>
      </c>
    </row>
    <row r="7" spans="1:20" s="14" customFormat="1" ht="31.5" customHeight="1" x14ac:dyDescent="0.25">
      <c r="B7" s="2" t="s">
        <v>257</v>
      </c>
      <c r="C7" s="236" t="s">
        <v>260</v>
      </c>
      <c r="D7" s="93" t="s">
        <v>258</v>
      </c>
      <c r="E7" s="2" t="s">
        <v>259</v>
      </c>
      <c r="F7" s="2" t="s">
        <v>7</v>
      </c>
      <c r="G7" s="186">
        <v>2.63E-2</v>
      </c>
      <c r="H7" s="186">
        <v>0.1845</v>
      </c>
      <c r="I7" s="187">
        <v>44439</v>
      </c>
      <c r="J7" s="187">
        <v>44454</v>
      </c>
      <c r="K7" s="187">
        <v>44013</v>
      </c>
      <c r="L7" s="188" t="s">
        <v>290</v>
      </c>
      <c r="M7" s="65">
        <v>16115.78</v>
      </c>
      <c r="N7" s="67"/>
      <c r="O7" s="67">
        <f>M7+N7</f>
        <v>16115.78</v>
      </c>
      <c r="P7" s="67"/>
      <c r="Q7" s="67">
        <v>16115.78</v>
      </c>
      <c r="R7" s="67"/>
      <c r="S7" s="68">
        <f t="shared" ref="S7" si="0">Q7+R7</f>
        <v>16115.78</v>
      </c>
    </row>
    <row r="8" spans="1:20" ht="32.25" customHeight="1" x14ac:dyDescent="0.25">
      <c r="B8" s="2" t="s">
        <v>128</v>
      </c>
      <c r="C8" s="225" t="s">
        <v>122</v>
      </c>
      <c r="D8" s="93" t="s">
        <v>310</v>
      </c>
      <c r="E8" s="2" t="s">
        <v>309</v>
      </c>
      <c r="F8" s="2" t="s">
        <v>7</v>
      </c>
      <c r="G8" s="186">
        <v>2.63E-2</v>
      </c>
      <c r="H8" s="186">
        <v>0.1845</v>
      </c>
      <c r="I8" s="187">
        <v>44742</v>
      </c>
      <c r="J8" s="187">
        <v>44743</v>
      </c>
      <c r="K8" s="187">
        <v>44378</v>
      </c>
      <c r="L8" s="204" t="s">
        <v>297</v>
      </c>
      <c r="M8" s="61">
        <v>18044.259999999998</v>
      </c>
      <c r="N8" s="80"/>
      <c r="O8" s="61">
        <f>M8+N8</f>
        <v>18044.259999999998</v>
      </c>
      <c r="P8" s="148"/>
      <c r="Q8" s="70">
        <v>18044.259999999998</v>
      </c>
      <c r="R8" s="60"/>
      <c r="S8" s="68">
        <f>Q8+R8</f>
        <v>18044.259999999998</v>
      </c>
    </row>
    <row r="9" spans="1:20" ht="24" hidden="1" customHeight="1" x14ac:dyDescent="0.25">
      <c r="B9" s="2" t="s">
        <v>22</v>
      </c>
      <c r="C9" s="95" t="s">
        <v>185</v>
      </c>
      <c r="D9" s="92" t="s">
        <v>172</v>
      </c>
      <c r="E9" s="2" t="s">
        <v>218</v>
      </c>
      <c r="F9" s="2" t="s">
        <v>7</v>
      </c>
      <c r="G9" s="186">
        <f>+G8</f>
        <v>2.63E-2</v>
      </c>
      <c r="H9" s="186">
        <f t="shared" ref="H9:L9" si="1">+H8</f>
        <v>0.1845</v>
      </c>
      <c r="I9" s="187">
        <f t="shared" si="1"/>
        <v>44742</v>
      </c>
      <c r="J9" s="187">
        <f t="shared" si="1"/>
        <v>44743</v>
      </c>
      <c r="K9" s="187">
        <f t="shared" si="1"/>
        <v>44378</v>
      </c>
      <c r="L9" s="188" t="str">
        <f t="shared" si="1"/>
        <v>07/01/21 - 06/30/22</v>
      </c>
      <c r="M9" s="70"/>
      <c r="N9" s="70"/>
      <c r="O9" s="61">
        <f>M9+N9</f>
        <v>0</v>
      </c>
      <c r="P9" s="42"/>
      <c r="Q9" s="43"/>
      <c r="R9" s="67"/>
      <c r="S9" s="68">
        <f>+R9</f>
        <v>0</v>
      </c>
    </row>
    <row r="10" spans="1:20" ht="30" customHeight="1" x14ac:dyDescent="0.25">
      <c r="B10" s="2" t="s">
        <v>223</v>
      </c>
      <c r="C10" s="236" t="s">
        <v>333</v>
      </c>
      <c r="D10" s="93" t="s">
        <v>224</v>
      </c>
      <c r="E10" s="2" t="s">
        <v>225</v>
      </c>
      <c r="F10" s="2" t="s">
        <v>7</v>
      </c>
      <c r="G10" s="186">
        <v>2.63E-2</v>
      </c>
      <c r="H10" s="186">
        <v>0.1845</v>
      </c>
      <c r="I10" s="187">
        <v>44834</v>
      </c>
      <c r="J10" s="187">
        <v>44849</v>
      </c>
      <c r="K10" s="187">
        <v>43614</v>
      </c>
      <c r="L10" s="188" t="s">
        <v>274</v>
      </c>
      <c r="M10" s="70">
        <v>153236.96</v>
      </c>
      <c r="N10" s="70"/>
      <c r="O10" s="61">
        <f>M10+N10</f>
        <v>153236.96</v>
      </c>
      <c r="P10" s="42"/>
      <c r="Q10" s="43">
        <v>0</v>
      </c>
      <c r="R10" s="67"/>
      <c r="S10" s="68">
        <f>Q10+R10</f>
        <v>0</v>
      </c>
    </row>
    <row r="11" spans="1:20" ht="30" customHeight="1" x14ac:dyDescent="0.25">
      <c r="B11" s="2" t="s">
        <v>279</v>
      </c>
      <c r="C11" s="236" t="s">
        <v>333</v>
      </c>
      <c r="D11" s="93" t="s">
        <v>224</v>
      </c>
      <c r="E11" s="2" t="s">
        <v>280</v>
      </c>
      <c r="F11" s="2" t="s">
        <v>7</v>
      </c>
      <c r="G11" s="186">
        <v>2.63E-2</v>
      </c>
      <c r="H11" s="186">
        <v>0.1845</v>
      </c>
      <c r="I11" s="187">
        <v>44592</v>
      </c>
      <c r="J11" s="187">
        <v>44592</v>
      </c>
      <c r="K11" s="187">
        <v>43980</v>
      </c>
      <c r="L11" s="188" t="s">
        <v>332</v>
      </c>
      <c r="M11" s="79">
        <v>3000</v>
      </c>
      <c r="N11" s="67"/>
      <c r="O11" s="67">
        <f t="shared" ref="O11:O20" si="2">M11+N11</f>
        <v>3000</v>
      </c>
      <c r="P11" s="66"/>
      <c r="Q11" s="67">
        <v>3000</v>
      </c>
      <c r="R11" s="67"/>
      <c r="S11" s="68">
        <f t="shared" ref="S11:S19" si="3">Q11+R11</f>
        <v>3000</v>
      </c>
    </row>
    <row r="12" spans="1:20" ht="30" customHeight="1" x14ac:dyDescent="0.25">
      <c r="B12" s="2" t="s">
        <v>281</v>
      </c>
      <c r="C12" s="236" t="s">
        <v>334</v>
      </c>
      <c r="D12" s="93" t="s">
        <v>231</v>
      </c>
      <c r="E12" s="2" t="s">
        <v>282</v>
      </c>
      <c r="F12" s="2" t="s">
        <v>7</v>
      </c>
      <c r="G12" s="186">
        <v>2.63E-2</v>
      </c>
      <c r="H12" s="186">
        <v>0.1845</v>
      </c>
      <c r="I12" s="187">
        <v>44742</v>
      </c>
      <c r="J12" s="187">
        <v>44757</v>
      </c>
      <c r="K12" s="187">
        <v>43979</v>
      </c>
      <c r="L12" s="188" t="s">
        <v>283</v>
      </c>
      <c r="M12" s="79">
        <v>1027</v>
      </c>
      <c r="N12" s="67"/>
      <c r="O12" s="67">
        <f t="shared" si="2"/>
        <v>1027</v>
      </c>
      <c r="P12" s="66"/>
      <c r="Q12" s="67">
        <v>816.56</v>
      </c>
      <c r="R12" s="67"/>
      <c r="S12" s="68">
        <f t="shared" si="3"/>
        <v>816.56</v>
      </c>
    </row>
    <row r="13" spans="1:20" ht="30" customHeight="1" x14ac:dyDescent="0.25">
      <c r="B13" s="2" t="s">
        <v>321</v>
      </c>
      <c r="C13" s="236" t="s">
        <v>333</v>
      </c>
      <c r="D13" s="93" t="s">
        <v>288</v>
      </c>
      <c r="E13" s="2" t="s">
        <v>322</v>
      </c>
      <c r="F13" s="2" t="s">
        <v>7</v>
      </c>
      <c r="G13" s="186">
        <f>G12:H12</f>
        <v>2.63E-2</v>
      </c>
      <c r="H13" s="186">
        <f>H12</f>
        <v>0.1845</v>
      </c>
      <c r="I13" s="187">
        <v>45199</v>
      </c>
      <c r="J13" s="187">
        <v>45214</v>
      </c>
      <c r="K13" s="187">
        <v>44201</v>
      </c>
      <c r="L13" s="188" t="s">
        <v>323</v>
      </c>
      <c r="M13" s="79">
        <v>123505.9</v>
      </c>
      <c r="N13" s="67"/>
      <c r="O13" s="67">
        <f t="shared" si="2"/>
        <v>123505.9</v>
      </c>
      <c r="P13" s="66"/>
      <c r="Q13" s="67">
        <v>112515.8</v>
      </c>
      <c r="R13" s="67"/>
      <c r="S13" s="68">
        <f t="shared" si="3"/>
        <v>112515.8</v>
      </c>
    </row>
    <row r="14" spans="1:20" ht="30" customHeight="1" x14ac:dyDescent="0.25">
      <c r="B14" s="2" t="s">
        <v>324</v>
      </c>
      <c r="C14" s="236" t="s">
        <v>333</v>
      </c>
      <c r="D14" s="93" t="s">
        <v>288</v>
      </c>
      <c r="E14" s="2" t="s">
        <v>329</v>
      </c>
      <c r="F14" s="2" t="s">
        <v>7</v>
      </c>
      <c r="G14" s="186">
        <f>G13:H13</f>
        <v>2.63E-2</v>
      </c>
      <c r="H14" s="186">
        <f>H13</f>
        <v>0.1845</v>
      </c>
      <c r="I14" s="187">
        <v>45199</v>
      </c>
      <c r="J14" s="187">
        <v>45214</v>
      </c>
      <c r="K14" s="187">
        <v>44201</v>
      </c>
      <c r="L14" s="188" t="s">
        <v>325</v>
      </c>
      <c r="M14" s="79">
        <v>11644</v>
      </c>
      <c r="N14" s="67"/>
      <c r="O14" s="67">
        <f t="shared" si="2"/>
        <v>11644</v>
      </c>
      <c r="P14" s="66"/>
      <c r="Q14" s="67"/>
      <c r="R14" s="67"/>
      <c r="S14" s="68">
        <f t="shared" si="3"/>
        <v>0</v>
      </c>
    </row>
    <row r="15" spans="1:20" ht="30" customHeight="1" x14ac:dyDescent="0.25">
      <c r="B15" s="2" t="s">
        <v>326</v>
      </c>
      <c r="C15" s="236" t="s">
        <v>333</v>
      </c>
      <c r="D15" s="93" t="s">
        <v>288</v>
      </c>
      <c r="E15" s="2" t="s">
        <v>330</v>
      </c>
      <c r="F15" s="2" t="s">
        <v>7</v>
      </c>
      <c r="G15" s="186">
        <f>G14:H14</f>
        <v>2.63E-2</v>
      </c>
      <c r="H15" s="186">
        <f>H14</f>
        <v>0.1845</v>
      </c>
      <c r="I15" s="187">
        <v>45199</v>
      </c>
      <c r="J15" s="187">
        <v>45214</v>
      </c>
      <c r="K15" s="187">
        <v>44201</v>
      </c>
      <c r="L15" s="188" t="s">
        <v>323</v>
      </c>
      <c r="M15" s="79">
        <v>32420.3</v>
      </c>
      <c r="N15" s="67"/>
      <c r="O15" s="67">
        <f t="shared" si="2"/>
        <v>32420.3</v>
      </c>
      <c r="P15" s="66"/>
      <c r="Q15" s="67"/>
      <c r="R15" s="67"/>
      <c r="S15" s="68">
        <f t="shared" si="3"/>
        <v>0</v>
      </c>
    </row>
    <row r="16" spans="1:20" ht="30" customHeight="1" x14ac:dyDescent="0.25">
      <c r="B16" s="2" t="s">
        <v>370</v>
      </c>
      <c r="C16" s="236" t="s">
        <v>333</v>
      </c>
      <c r="D16" s="93" t="s">
        <v>288</v>
      </c>
      <c r="E16" s="2" t="s">
        <v>331</v>
      </c>
      <c r="F16" s="2" t="s">
        <v>7</v>
      </c>
      <c r="G16" s="186">
        <f t="shared" ref="G16" si="4">G15:H15</f>
        <v>2.63E-2</v>
      </c>
      <c r="H16" s="186">
        <f t="shared" ref="H16" si="5">H15</f>
        <v>0.1845</v>
      </c>
      <c r="I16" s="187">
        <v>45199</v>
      </c>
      <c r="J16" s="187">
        <v>45214</v>
      </c>
      <c r="K16" s="187">
        <v>44201</v>
      </c>
      <c r="L16" s="188" t="s">
        <v>325</v>
      </c>
      <c r="M16" s="79">
        <v>153456.07999999999</v>
      </c>
      <c r="N16" s="67"/>
      <c r="O16" s="67">
        <f t="shared" si="2"/>
        <v>153456.07999999999</v>
      </c>
      <c r="P16" s="66"/>
      <c r="Q16" s="67"/>
      <c r="R16" s="67"/>
      <c r="S16" s="68">
        <f t="shared" si="3"/>
        <v>0</v>
      </c>
    </row>
    <row r="17" spans="2:19" ht="30" customHeight="1" x14ac:dyDescent="0.25">
      <c r="B17" s="2" t="s">
        <v>287</v>
      </c>
      <c r="C17" s="236" t="s">
        <v>333</v>
      </c>
      <c r="D17" s="93" t="s">
        <v>288</v>
      </c>
      <c r="E17" s="2" t="s">
        <v>289</v>
      </c>
      <c r="F17" s="2" t="s">
        <v>7</v>
      </c>
      <c r="G17" s="186">
        <v>2.63E-2</v>
      </c>
      <c r="H17" s="186">
        <v>0.1845</v>
      </c>
      <c r="I17" s="187">
        <v>45199</v>
      </c>
      <c r="J17" s="187">
        <v>45199</v>
      </c>
      <c r="K17" s="187">
        <v>44201</v>
      </c>
      <c r="L17" s="188" t="s">
        <v>320</v>
      </c>
      <c r="M17" s="79">
        <v>284063.58</v>
      </c>
      <c r="N17" s="67"/>
      <c r="O17" s="67">
        <f t="shared" si="2"/>
        <v>284063.58</v>
      </c>
      <c r="P17" s="66"/>
      <c r="Q17" s="67">
        <f>263758.6+13478.4+5519.28</f>
        <v>282756.28000000003</v>
      </c>
      <c r="R17" s="67"/>
      <c r="S17" s="68">
        <f t="shared" si="3"/>
        <v>282756.28000000003</v>
      </c>
    </row>
    <row r="18" spans="2:19" ht="30" customHeight="1" x14ac:dyDescent="0.25">
      <c r="B18" s="2" t="s">
        <v>352</v>
      </c>
      <c r="C18" s="236" t="s">
        <v>353</v>
      </c>
      <c r="D18" s="93" t="s">
        <v>354</v>
      </c>
      <c r="E18" s="2" t="s">
        <v>355</v>
      </c>
      <c r="F18" s="2" t="s">
        <v>7</v>
      </c>
      <c r="G18" s="186">
        <v>2.63E-2</v>
      </c>
      <c r="H18" s="186">
        <v>0.1845</v>
      </c>
      <c r="I18" s="187">
        <v>45565</v>
      </c>
      <c r="J18" s="187">
        <v>45580</v>
      </c>
      <c r="K18" s="187">
        <v>44279</v>
      </c>
      <c r="L18" s="188" t="s">
        <v>356</v>
      </c>
      <c r="M18" s="79">
        <v>1110650.1100000001</v>
      </c>
      <c r="N18" s="67"/>
      <c r="O18" s="67">
        <f t="shared" si="2"/>
        <v>1110650.1100000001</v>
      </c>
      <c r="P18" s="66"/>
      <c r="Q18" s="67">
        <v>50561</v>
      </c>
      <c r="R18" s="67"/>
      <c r="S18" s="68">
        <f t="shared" si="3"/>
        <v>50561</v>
      </c>
    </row>
    <row r="19" spans="2:19" ht="30" customHeight="1" x14ac:dyDescent="0.25">
      <c r="B19" s="2" t="s">
        <v>357</v>
      </c>
      <c r="C19" s="236" t="s">
        <v>353</v>
      </c>
      <c r="D19" s="93" t="s">
        <v>354</v>
      </c>
      <c r="E19" s="2" t="s">
        <v>358</v>
      </c>
      <c r="F19" s="2" t="s">
        <v>7</v>
      </c>
      <c r="G19" s="186">
        <v>2.63E-2</v>
      </c>
      <c r="H19" s="186">
        <v>0.1845</v>
      </c>
      <c r="I19" s="187">
        <v>45565</v>
      </c>
      <c r="J19" s="187">
        <v>45580</v>
      </c>
      <c r="K19" s="187">
        <v>44279</v>
      </c>
      <c r="L19" s="188" t="s">
        <v>356</v>
      </c>
      <c r="M19" s="79">
        <v>277662.53000000003</v>
      </c>
      <c r="N19" s="67"/>
      <c r="O19" s="67">
        <f t="shared" si="2"/>
        <v>277662.53000000003</v>
      </c>
      <c r="P19" s="66"/>
      <c r="Q19" s="67"/>
      <c r="R19" s="67"/>
      <c r="S19" s="68">
        <f t="shared" si="3"/>
        <v>0</v>
      </c>
    </row>
    <row r="20" spans="2:19" ht="30" customHeight="1" x14ac:dyDescent="0.25">
      <c r="B20" s="2" t="s">
        <v>363</v>
      </c>
      <c r="C20" s="236" t="s">
        <v>333</v>
      </c>
      <c r="D20" s="93" t="s">
        <v>288</v>
      </c>
      <c r="E20" s="2" t="s">
        <v>364</v>
      </c>
      <c r="F20" s="2" t="s">
        <v>7</v>
      </c>
      <c r="G20" s="186">
        <v>2.63E-2</v>
      </c>
      <c r="H20" s="186">
        <v>0.1845</v>
      </c>
      <c r="I20" s="187">
        <v>45199</v>
      </c>
      <c r="J20" s="187">
        <v>45214</v>
      </c>
      <c r="K20" s="187">
        <v>44201</v>
      </c>
      <c r="L20" s="188" t="s">
        <v>365</v>
      </c>
      <c r="M20" s="79">
        <v>2614.14</v>
      </c>
      <c r="N20" s="67"/>
      <c r="O20" s="67">
        <f t="shared" si="2"/>
        <v>2614.14</v>
      </c>
      <c r="P20" s="66"/>
      <c r="Q20" s="67"/>
      <c r="R20" s="67"/>
      <c r="S20" s="68"/>
    </row>
    <row r="21" spans="2:19" ht="17.25" customHeight="1" x14ac:dyDescent="0.25">
      <c r="C21" s="110"/>
      <c r="D21" s="92"/>
      <c r="G21" s="186"/>
      <c r="H21" s="186"/>
      <c r="I21" s="187"/>
      <c r="J21" s="187"/>
      <c r="K21" s="187"/>
      <c r="L21" s="188"/>
      <c r="M21" s="25"/>
      <c r="N21" s="25"/>
      <c r="O21" s="25"/>
      <c r="P21" s="29"/>
      <c r="Q21" s="25"/>
      <c r="R21" s="25"/>
      <c r="S21" s="26"/>
    </row>
    <row r="22" spans="2:19" ht="24.75" customHeight="1" x14ac:dyDescent="0.25">
      <c r="C22" s="92"/>
      <c r="D22" s="92"/>
      <c r="I22" s="116"/>
      <c r="J22" s="116"/>
      <c r="K22" s="116"/>
      <c r="L22" s="5" t="s">
        <v>38</v>
      </c>
      <c r="M22" s="66">
        <f>SUM(M7:M21)</f>
        <v>2187440.64</v>
      </c>
      <c r="N22" s="66">
        <f>SUM(N7:N21)</f>
        <v>0</v>
      </c>
      <c r="O22" s="66">
        <f>SUM(O7:O21)</f>
        <v>2187440.64</v>
      </c>
      <c r="Q22" s="66">
        <f>SUM(Q7:Q21)</f>
        <v>483809.68000000005</v>
      </c>
      <c r="R22" s="66">
        <f>SUM(R7:R21)</f>
        <v>0</v>
      </c>
      <c r="S22" s="23">
        <f>SUM(S7:S21)</f>
        <v>483809.68000000005</v>
      </c>
    </row>
    <row r="23" spans="2:19" ht="18.75" customHeight="1" x14ac:dyDescent="0.25">
      <c r="C23" s="92"/>
      <c r="D23" s="92"/>
      <c r="I23" s="116"/>
      <c r="J23" s="116"/>
      <c r="K23" s="116"/>
      <c r="L23" s="5"/>
      <c r="M23" s="66"/>
      <c r="N23" s="66"/>
      <c r="O23" s="66"/>
      <c r="Q23" s="72"/>
      <c r="R23" s="72"/>
      <c r="S23" s="77"/>
    </row>
    <row r="24" spans="2:19" x14ac:dyDescent="0.25">
      <c r="C24" s="92"/>
      <c r="D24" s="92"/>
      <c r="L24" s="5"/>
      <c r="M24" s="66"/>
      <c r="N24" s="66"/>
      <c r="O24" s="66"/>
      <c r="Q24" s="72"/>
      <c r="R24" s="72"/>
      <c r="S24" s="77"/>
    </row>
    <row r="25" spans="2:19" x14ac:dyDescent="0.25">
      <c r="B25" s="8" t="s">
        <v>125</v>
      </c>
      <c r="C25" s="92"/>
      <c r="D25" s="92"/>
      <c r="L25" s="5"/>
      <c r="M25" s="66"/>
      <c r="N25" s="66"/>
      <c r="O25" s="66"/>
      <c r="Q25" s="66"/>
      <c r="R25" s="66"/>
      <c r="S25" s="68"/>
    </row>
    <row r="26" spans="2:19" ht="35.25" customHeight="1" x14ac:dyDescent="0.25">
      <c r="B26" s="341" t="s">
        <v>126</v>
      </c>
      <c r="C26" s="341"/>
      <c r="D26" s="341"/>
      <c r="E26" s="341"/>
      <c r="F26" s="341"/>
      <c r="L26" s="5"/>
      <c r="M26" s="66"/>
      <c r="N26" s="66"/>
      <c r="O26" s="66"/>
      <c r="Q26" s="66"/>
      <c r="R26" s="66"/>
      <c r="S26" s="68"/>
    </row>
    <row r="27" spans="2:19" x14ac:dyDescent="0.25">
      <c r="C27" s="92"/>
      <c r="D27" s="92"/>
      <c r="L27" s="5"/>
      <c r="M27" s="66"/>
      <c r="N27" s="66"/>
      <c r="O27" s="66"/>
      <c r="Q27" s="66"/>
      <c r="R27" s="66"/>
      <c r="S27" s="68"/>
    </row>
    <row r="28" spans="2:19" ht="49.5" customHeight="1" x14ac:dyDescent="0.25">
      <c r="B28" s="341" t="s">
        <v>129</v>
      </c>
      <c r="C28" s="341"/>
      <c r="D28" s="341"/>
      <c r="E28" s="341"/>
      <c r="F28" s="341"/>
      <c r="L28" s="5"/>
      <c r="M28" s="66"/>
      <c r="N28" s="66"/>
      <c r="O28" s="66"/>
      <c r="Q28" s="66"/>
      <c r="R28" s="66"/>
      <c r="S28" s="68"/>
    </row>
    <row r="29" spans="2:19" x14ac:dyDescent="0.25">
      <c r="B29" s="108"/>
      <c r="C29" s="108"/>
      <c r="D29" s="108"/>
      <c r="E29" s="108"/>
      <c r="L29" s="5"/>
      <c r="M29" s="66"/>
      <c r="N29" s="66"/>
      <c r="O29" s="66"/>
      <c r="Q29" s="66"/>
      <c r="R29" s="66"/>
      <c r="S29" s="68"/>
    </row>
    <row r="30" spans="2:19" ht="30.75" customHeight="1" x14ac:dyDescent="0.25">
      <c r="B30" s="341" t="s">
        <v>160</v>
      </c>
      <c r="C30" s="341"/>
      <c r="D30" s="341"/>
      <c r="E30" s="341"/>
      <c r="F30" s="341"/>
      <c r="L30" s="5"/>
      <c r="M30" s="66"/>
      <c r="N30" s="66"/>
      <c r="O30" s="66"/>
      <c r="Q30" s="66"/>
      <c r="R30" s="66"/>
      <c r="S30" s="68"/>
    </row>
    <row r="31" spans="2:19" ht="15" customHeight="1" x14ac:dyDescent="0.25">
      <c r="B31" s="347" t="s">
        <v>159</v>
      </c>
      <c r="C31" s="341"/>
      <c r="D31" s="341"/>
      <c r="E31" s="341"/>
      <c r="F31" s="341"/>
      <c r="L31" s="5"/>
      <c r="M31" s="66"/>
      <c r="N31" s="66"/>
      <c r="O31" s="66"/>
      <c r="Q31" s="66"/>
      <c r="R31" s="66"/>
      <c r="S31" s="68"/>
    </row>
    <row r="32" spans="2:19" ht="15" customHeight="1" x14ac:dyDescent="0.25">
      <c r="B32" s="195"/>
      <c r="C32" s="195"/>
      <c r="D32" s="195"/>
      <c r="E32" s="195"/>
      <c r="L32" s="5"/>
      <c r="M32" s="66"/>
      <c r="N32" s="66"/>
      <c r="O32" s="66"/>
      <c r="Q32" s="66"/>
      <c r="R32" s="66"/>
      <c r="S32" s="68"/>
    </row>
    <row r="33" spans="2:20" x14ac:dyDescent="0.25">
      <c r="B33" s="7" t="s">
        <v>109</v>
      </c>
      <c r="C33" s="101" t="s">
        <v>112</v>
      </c>
      <c r="D33" s="101" t="s">
        <v>113</v>
      </c>
      <c r="E33" s="108"/>
      <c r="L33" s="5"/>
      <c r="M33" s="66"/>
      <c r="N33" s="66"/>
      <c r="O33" s="66"/>
      <c r="Q33" s="66"/>
      <c r="R33" s="66"/>
      <c r="S33" s="68"/>
    </row>
    <row r="34" spans="2:20" x14ac:dyDescent="0.25">
      <c r="B34" s="2" t="s">
        <v>262</v>
      </c>
      <c r="C34" s="92" t="s">
        <v>180</v>
      </c>
      <c r="D34" s="92" t="s">
        <v>181</v>
      </c>
      <c r="E34" s="314"/>
      <c r="L34" s="5"/>
      <c r="M34" s="66"/>
      <c r="N34" s="66"/>
      <c r="O34" s="66"/>
      <c r="Q34" s="66"/>
      <c r="R34" s="66"/>
      <c r="S34" s="68"/>
    </row>
    <row r="35" spans="2:20" x14ac:dyDescent="0.25">
      <c r="B35" s="257" t="s">
        <v>111</v>
      </c>
      <c r="C35" s="92" t="s">
        <v>300</v>
      </c>
      <c r="D35" s="92" t="s">
        <v>303</v>
      </c>
      <c r="E35" s="256"/>
      <c r="L35" s="5"/>
      <c r="M35" s="66"/>
      <c r="N35" s="66"/>
      <c r="O35" s="66"/>
      <c r="Q35" s="66"/>
      <c r="R35" s="66"/>
      <c r="S35" s="68"/>
    </row>
    <row r="36" spans="2:20" x14ac:dyDescent="0.25">
      <c r="B36" s="2" t="s">
        <v>230</v>
      </c>
      <c r="C36" s="92" t="s">
        <v>135</v>
      </c>
      <c r="D36" s="92" t="s">
        <v>147</v>
      </c>
      <c r="L36" s="5"/>
      <c r="M36" s="66"/>
      <c r="N36" s="66"/>
      <c r="O36" s="66"/>
      <c r="Q36" s="66"/>
      <c r="R36" s="66"/>
      <c r="S36" s="68"/>
    </row>
    <row r="37" spans="2:20" x14ac:dyDescent="0.25">
      <c r="B37" s="2" t="s">
        <v>279</v>
      </c>
      <c r="C37" s="92" t="s">
        <v>135</v>
      </c>
      <c r="D37" s="92" t="s">
        <v>147</v>
      </c>
      <c r="L37" s="5"/>
      <c r="M37" s="66"/>
      <c r="N37" s="66"/>
      <c r="O37" s="66"/>
      <c r="Q37" s="66"/>
      <c r="R37" s="66"/>
      <c r="S37" s="68"/>
    </row>
    <row r="38" spans="2:20" x14ac:dyDescent="0.25">
      <c r="B38" s="2" t="s">
        <v>281</v>
      </c>
      <c r="C38" s="92" t="s">
        <v>135</v>
      </c>
      <c r="D38" s="92" t="s">
        <v>147</v>
      </c>
      <c r="L38" s="5"/>
      <c r="M38" s="66"/>
      <c r="N38" s="66"/>
      <c r="O38" s="66"/>
      <c r="Q38" s="66"/>
      <c r="R38" s="66"/>
      <c r="S38" s="68"/>
    </row>
    <row r="39" spans="2:20" x14ac:dyDescent="0.25">
      <c r="B39" s="2" t="s">
        <v>286</v>
      </c>
      <c r="C39" s="92" t="s">
        <v>135</v>
      </c>
      <c r="D39" s="92" t="s">
        <v>147</v>
      </c>
      <c r="L39" s="5"/>
      <c r="M39" s="66"/>
      <c r="N39" s="66"/>
      <c r="O39" s="66"/>
      <c r="Q39" s="66"/>
      <c r="R39" s="66"/>
      <c r="S39" s="68"/>
    </row>
    <row r="40" spans="2:20" x14ac:dyDescent="0.25">
      <c r="C40" s="92"/>
      <c r="D40" s="92"/>
      <c r="L40" s="5"/>
      <c r="M40" s="66"/>
      <c r="N40" s="66"/>
      <c r="O40" s="66"/>
      <c r="Q40" s="66"/>
      <c r="R40" s="66"/>
      <c r="S40" s="68"/>
    </row>
    <row r="41" spans="2:20" x14ac:dyDescent="0.25">
      <c r="B41" s="260" t="s">
        <v>298</v>
      </c>
      <c r="C41" s="94"/>
      <c r="D41" s="94"/>
      <c r="E41" s="10"/>
      <c r="F41" s="10"/>
      <c r="G41" s="10"/>
      <c r="H41" s="29"/>
      <c r="I41" s="29"/>
      <c r="J41" s="29"/>
      <c r="K41" s="29"/>
      <c r="L41" s="29"/>
      <c r="M41" s="29"/>
      <c r="N41" s="29"/>
      <c r="O41" s="29"/>
      <c r="P41" s="29"/>
      <c r="Q41" s="29"/>
      <c r="R41" s="29"/>
      <c r="S41" s="27"/>
    </row>
    <row r="42" spans="2:20" x14ac:dyDescent="0.25">
      <c r="B42" s="255" t="s">
        <v>299</v>
      </c>
      <c r="C42" s="42"/>
      <c r="D42" s="42"/>
      <c r="E42" s="29"/>
      <c r="F42" s="29"/>
      <c r="G42" s="29"/>
      <c r="H42" s="29"/>
      <c r="I42" s="29"/>
      <c r="J42" s="29"/>
      <c r="K42" s="29"/>
      <c r="L42" s="29"/>
      <c r="M42" s="29"/>
      <c r="N42" s="29"/>
      <c r="O42" s="29"/>
      <c r="P42" s="29"/>
      <c r="Q42" s="29"/>
      <c r="R42" s="29"/>
      <c r="S42" s="27"/>
    </row>
    <row r="43" spans="2:20" x14ac:dyDescent="0.25">
      <c r="B43" s="263"/>
      <c r="C43" s="42"/>
      <c r="D43" s="42"/>
      <c r="E43" s="29"/>
      <c r="F43" s="29"/>
      <c r="G43" s="29"/>
      <c r="H43" s="29"/>
      <c r="I43" s="29"/>
      <c r="J43" s="29"/>
      <c r="K43" s="29"/>
      <c r="L43" s="29"/>
      <c r="M43" s="29"/>
      <c r="N43" s="29"/>
      <c r="O43" s="29"/>
      <c r="P43" s="29"/>
      <c r="Q43" s="29"/>
      <c r="R43" s="29"/>
      <c r="S43" s="27"/>
    </row>
    <row r="44" spans="2:20" ht="16.5" customHeight="1" x14ac:dyDescent="0.25">
      <c r="B44" s="109"/>
      <c r="C44" s="109"/>
      <c r="D44" s="109"/>
      <c r="E44" s="109"/>
      <c r="F44" s="109"/>
      <c r="G44" s="109"/>
      <c r="H44" s="109"/>
      <c r="I44" s="109"/>
      <c r="J44" s="109"/>
      <c r="K44" s="109"/>
      <c r="L44" s="109"/>
      <c r="M44" s="109"/>
      <c r="N44" s="109"/>
      <c r="O44" s="109"/>
      <c r="P44" s="109"/>
      <c r="Q44" s="166" t="s">
        <v>90</v>
      </c>
      <c r="R44" s="163"/>
      <c r="S44" s="164"/>
    </row>
    <row r="45" spans="2:20" ht="18" customHeight="1" x14ac:dyDescent="0.25">
      <c r="B45" s="17" t="s">
        <v>39</v>
      </c>
      <c r="C45" s="96" t="s">
        <v>2</v>
      </c>
      <c r="D45" s="96" t="s">
        <v>34</v>
      </c>
      <c r="E45" s="141" t="s">
        <v>35</v>
      </c>
      <c r="F45" s="141" t="s">
        <v>36</v>
      </c>
      <c r="G45" s="141" t="s">
        <v>37</v>
      </c>
      <c r="H45" s="120"/>
      <c r="I45" s="114"/>
      <c r="J45" s="96"/>
      <c r="K45" s="96"/>
      <c r="L45" s="10"/>
      <c r="M45" s="10"/>
      <c r="N45" s="47"/>
      <c r="O45" s="47"/>
      <c r="P45" s="47"/>
      <c r="Q45" s="54" t="s">
        <v>88</v>
      </c>
      <c r="R45" s="52"/>
      <c r="S45" s="53"/>
      <c r="T45" s="51"/>
    </row>
    <row r="46" spans="2:20" ht="15" customHeight="1" x14ac:dyDescent="0.25">
      <c r="B46" s="63"/>
      <c r="C46" s="9"/>
      <c r="D46" s="9"/>
      <c r="E46" s="9"/>
      <c r="F46" s="9"/>
      <c r="G46" s="9"/>
      <c r="H46" s="9"/>
      <c r="I46" s="9"/>
      <c r="J46" s="9"/>
      <c r="K46" s="9"/>
      <c r="L46" s="9"/>
      <c r="M46" s="9"/>
      <c r="N46" s="45"/>
      <c r="O46" s="45"/>
      <c r="P46" s="45"/>
      <c r="Q46" s="59"/>
      <c r="R46" s="50"/>
      <c r="S46" s="50"/>
      <c r="T46" s="51"/>
    </row>
    <row r="47" spans="2:20" ht="15" customHeight="1" x14ac:dyDescent="0.25">
      <c r="B47" s="63"/>
      <c r="C47" s="148"/>
      <c r="D47" s="148"/>
      <c r="E47" s="148"/>
      <c r="F47" s="148"/>
      <c r="G47" s="148"/>
      <c r="H47" s="148"/>
      <c r="I47" s="148"/>
      <c r="J47" s="148"/>
      <c r="K47" s="148"/>
      <c r="L47" s="148"/>
      <c r="M47" s="148"/>
      <c r="N47" s="45"/>
      <c r="O47" s="45"/>
      <c r="P47" s="45"/>
      <c r="Q47" s="59"/>
      <c r="R47" s="50"/>
      <c r="S47" s="50"/>
      <c r="T47" s="51"/>
    </row>
    <row r="48" spans="2:20" ht="15" customHeight="1" x14ac:dyDescent="0.25">
      <c r="B48" s="63"/>
      <c r="C48" s="148"/>
      <c r="D48" s="148"/>
      <c r="E48" s="148"/>
      <c r="F48" s="148"/>
      <c r="G48" s="148"/>
      <c r="H48" s="148"/>
      <c r="I48" s="148"/>
      <c r="J48" s="148"/>
      <c r="K48" s="148"/>
      <c r="L48" s="148"/>
      <c r="M48" s="148"/>
      <c r="N48" s="45"/>
      <c r="O48" s="45"/>
      <c r="P48" s="45"/>
      <c r="Q48" s="59"/>
      <c r="R48" s="50"/>
      <c r="S48" s="50"/>
      <c r="T48" s="51"/>
    </row>
    <row r="49" spans="2:20" ht="15" customHeight="1" x14ac:dyDescent="0.25">
      <c r="B49" s="63"/>
      <c r="C49" s="148"/>
      <c r="D49" s="148"/>
      <c r="E49" s="148"/>
      <c r="F49" s="148"/>
      <c r="G49" s="148"/>
      <c r="H49" s="148"/>
      <c r="I49" s="148"/>
      <c r="J49" s="148"/>
      <c r="K49" s="148"/>
      <c r="L49" s="148"/>
      <c r="M49" s="148"/>
      <c r="N49" s="45"/>
      <c r="O49" s="45"/>
      <c r="P49" s="45"/>
      <c r="Q49" s="59"/>
      <c r="R49" s="50"/>
      <c r="S49" s="50"/>
      <c r="T49" s="51"/>
    </row>
    <row r="50" spans="2:20" ht="15" customHeight="1" x14ac:dyDescent="0.25">
      <c r="C50" s="93"/>
      <c r="D50" s="93"/>
      <c r="E50" s="129"/>
      <c r="F50" s="185"/>
      <c r="G50" s="48"/>
      <c r="I50" s="9"/>
      <c r="J50" s="9"/>
      <c r="K50" s="9"/>
      <c r="L50" s="9"/>
      <c r="N50" s="45"/>
      <c r="O50" s="45"/>
      <c r="P50" s="45"/>
      <c r="R50" s="51"/>
      <c r="S50" s="51"/>
      <c r="T50" s="51"/>
    </row>
    <row r="51" spans="2:20" ht="15" customHeight="1" x14ac:dyDescent="0.25">
      <c r="B51" s="12"/>
      <c r="C51" s="13"/>
      <c r="D51" s="13"/>
      <c r="E51" s="41"/>
      <c r="F51" s="184"/>
      <c r="G51" s="15"/>
      <c r="H51" s="15"/>
      <c r="I51" s="15"/>
      <c r="J51" s="15"/>
      <c r="K51" s="15"/>
      <c r="L51" s="16"/>
      <c r="M51" s="20"/>
      <c r="N51" s="18"/>
      <c r="O51" s="18"/>
      <c r="P51" s="18"/>
      <c r="Q51" s="51"/>
      <c r="R51" s="51"/>
      <c r="S51" s="51"/>
      <c r="T51" s="51"/>
    </row>
    <row r="52" spans="2:20" x14ac:dyDescent="0.25">
      <c r="B52" s="12"/>
      <c r="C52" s="13"/>
      <c r="D52" s="13"/>
      <c r="E52" s="41"/>
      <c r="F52" s="184"/>
      <c r="G52" s="15"/>
      <c r="H52" s="15"/>
      <c r="I52" s="15"/>
      <c r="J52" s="15"/>
      <c r="K52" s="15"/>
      <c r="L52" s="16"/>
      <c r="M52" s="20"/>
      <c r="N52" s="18"/>
      <c r="O52" s="18"/>
      <c r="P52" s="18"/>
      <c r="Q52" s="51"/>
      <c r="R52" s="51"/>
      <c r="S52" s="51"/>
      <c r="T52" s="51"/>
    </row>
    <row r="53" spans="2:20" x14ac:dyDescent="0.25">
      <c r="B53" s="12"/>
      <c r="C53" s="13"/>
      <c r="D53" s="13"/>
      <c r="E53" s="41"/>
      <c r="F53" s="184"/>
      <c r="G53" s="15"/>
      <c r="H53" s="15"/>
      <c r="I53" s="15"/>
      <c r="J53" s="15"/>
      <c r="K53" s="15"/>
      <c r="L53" s="16"/>
      <c r="M53" s="20"/>
      <c r="N53" s="18"/>
      <c r="O53" s="18"/>
      <c r="P53" s="18"/>
      <c r="Q53" s="51"/>
      <c r="R53" s="51"/>
      <c r="S53" s="51"/>
      <c r="T53" s="51"/>
    </row>
    <row r="54" spans="2:20" x14ac:dyDescent="0.25">
      <c r="B54" s="12"/>
      <c r="C54" s="13"/>
      <c r="D54" s="13"/>
      <c r="E54" s="41"/>
      <c r="F54" s="184"/>
      <c r="G54" s="15"/>
      <c r="H54" s="15"/>
      <c r="I54" s="15"/>
      <c r="J54" s="15"/>
      <c r="K54" s="15"/>
      <c r="L54" s="16"/>
      <c r="M54" s="20"/>
      <c r="N54" s="18"/>
      <c r="O54" s="18"/>
      <c r="P54" s="18"/>
      <c r="Q54" s="51"/>
      <c r="R54" s="51"/>
      <c r="S54" s="51"/>
      <c r="T54" s="51"/>
    </row>
    <row r="55" spans="2:20" ht="15" customHeight="1" x14ac:dyDescent="0.25">
      <c r="B55" s="36"/>
      <c r="C55" s="40"/>
      <c r="D55" s="40"/>
      <c r="E55" s="41"/>
      <c r="F55" s="38"/>
      <c r="G55" s="38"/>
      <c r="H55" s="38"/>
      <c r="I55" s="38"/>
      <c r="J55" s="38"/>
      <c r="K55" s="38"/>
      <c r="L55" s="33"/>
      <c r="M55" s="31"/>
      <c r="N55" s="99"/>
      <c r="O55" s="99"/>
      <c r="P55" s="29"/>
      <c r="Q55" s="309" t="s">
        <v>316</v>
      </c>
      <c r="R55" s="309"/>
      <c r="S55" s="310">
        <f>S22</f>
        <v>483809.68000000005</v>
      </c>
    </row>
    <row r="56" spans="2:20" x14ac:dyDescent="0.25">
      <c r="B56" s="36"/>
      <c r="C56" s="40"/>
      <c r="D56" s="40"/>
      <c r="E56" s="41"/>
      <c r="F56" s="38"/>
      <c r="G56" s="38"/>
      <c r="H56" s="38"/>
      <c r="I56" s="38"/>
      <c r="J56" s="38"/>
      <c r="K56" s="38"/>
      <c r="L56" s="33"/>
      <c r="M56" s="31"/>
      <c r="N56" s="99"/>
      <c r="O56" s="99"/>
      <c r="P56" s="29"/>
    </row>
    <row r="57" spans="2:20" x14ac:dyDescent="0.25">
      <c r="B57" s="36"/>
      <c r="C57" s="40"/>
      <c r="D57" s="40"/>
      <c r="E57" s="41"/>
      <c r="F57" s="38"/>
      <c r="G57" s="38"/>
      <c r="H57" s="38"/>
      <c r="I57" s="38"/>
      <c r="J57" s="38"/>
      <c r="K57" s="38"/>
      <c r="L57" s="33"/>
      <c r="M57" s="31"/>
      <c r="N57" s="99"/>
      <c r="O57" s="99"/>
      <c r="P57" s="29"/>
      <c r="Q57" s="14"/>
      <c r="R57" s="14"/>
      <c r="S57" s="313"/>
    </row>
    <row r="58" spans="2:20" ht="16.5" customHeight="1" x14ac:dyDescent="0.25">
      <c r="B58" s="36"/>
      <c r="C58" s="40"/>
      <c r="D58" s="40"/>
      <c r="E58" s="41"/>
      <c r="F58" s="38"/>
      <c r="G58" s="38"/>
      <c r="H58" s="38"/>
      <c r="I58" s="38"/>
      <c r="J58" s="38"/>
      <c r="K58" s="38"/>
      <c r="L58" s="39"/>
      <c r="M58" s="20"/>
      <c r="N58" s="99"/>
      <c r="O58" s="99"/>
      <c r="P58" s="29"/>
    </row>
    <row r="59" spans="2:20" ht="15" hidden="1" customHeight="1" x14ac:dyDescent="0.25"/>
    <row r="60" spans="2:20" ht="15" customHeight="1" x14ac:dyDescent="0.25">
      <c r="E60" s="21"/>
      <c r="F60" s="102"/>
      <c r="G60" s="102"/>
      <c r="H60" s="102"/>
      <c r="I60" s="102"/>
      <c r="J60" s="102"/>
      <c r="K60" s="102"/>
    </row>
    <row r="63" spans="2:20" ht="15" customHeight="1" x14ac:dyDescent="0.25"/>
  </sheetData>
  <mergeCells count="6">
    <mergeCell ref="B31:F31"/>
    <mergeCell ref="Q1:S1"/>
    <mergeCell ref="Q2:S2"/>
    <mergeCell ref="B30:F30"/>
    <mergeCell ref="B28:F28"/>
    <mergeCell ref="B26:F26"/>
  </mergeCells>
  <hyperlinks>
    <hyperlink ref="B31" r:id="rId1"/>
  </hyperlinks>
  <printOptions horizontalCentered="1" gridLines="1"/>
  <pageMargins left="0" right="0" top="0.75" bottom="0.75" header="0.3" footer="0.3"/>
  <pageSetup scale="54" orientation="landscape" horizontalDpi="1200" verticalDpi="1200"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7"/>
  <sheetViews>
    <sheetView topLeftCell="B5" zoomScale="90" zoomScaleNormal="90" workbookViewId="0">
      <selection activeCell="Q17" sqref="Q17:Q21"/>
    </sheetView>
  </sheetViews>
  <sheetFormatPr defaultColWidth="9.140625" defaultRowHeight="15" x14ac:dyDescent="0.25"/>
  <cols>
    <col min="1" max="1" width="9.140625" style="2" hidden="1" customWidth="1"/>
    <col min="2" max="2" width="65.140625" style="2" customWidth="1"/>
    <col min="3" max="3" width="27.85546875" style="2" customWidth="1"/>
    <col min="4" max="4" width="13.7109375" style="2" customWidth="1"/>
    <col min="5" max="5" width="17" style="2" customWidth="1"/>
    <col min="6" max="6" width="22.5703125" style="2" customWidth="1"/>
    <col min="7" max="7" width="10.28515625" style="2" customWidth="1"/>
    <col min="8" max="8" width="12.85546875" style="2" customWidth="1"/>
    <col min="9" max="9" width="13.42578125" style="2" customWidth="1"/>
    <col min="10" max="10" width="15.7109375" style="2" customWidth="1"/>
    <col min="11" max="11" width="8.85546875" style="2" customWidth="1"/>
    <col min="12" max="12" width="18.140625" style="2" customWidth="1"/>
    <col min="13" max="13" width="14"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7.5703125" style="2" customWidth="1"/>
    <col min="20" max="16384" width="9.140625" style="2"/>
  </cols>
  <sheetData>
    <row r="1" spans="1:20" ht="15.6" customHeight="1" x14ac:dyDescent="0.25">
      <c r="B1" s="1" t="s">
        <v>79</v>
      </c>
      <c r="Q1" s="338" t="s">
        <v>296</v>
      </c>
      <c r="R1" s="338"/>
      <c r="S1" s="338"/>
    </row>
    <row r="2" spans="1:20" x14ac:dyDescent="0.25">
      <c r="B2" s="88" t="s">
        <v>148</v>
      </c>
      <c r="C2" s="182">
        <v>44742</v>
      </c>
      <c r="M2" s="71"/>
      <c r="N2" s="71"/>
      <c r="P2" s="29"/>
      <c r="Q2" s="337" t="s">
        <v>375</v>
      </c>
      <c r="R2" s="337"/>
      <c r="S2" s="337"/>
    </row>
    <row r="3" spans="1:20" ht="15.75" thickBot="1" x14ac:dyDescent="0.3">
      <c r="A3" s="2" t="s">
        <v>16</v>
      </c>
      <c r="B3" s="44" t="s">
        <v>80</v>
      </c>
      <c r="C3" s="8"/>
      <c r="D3" s="8"/>
      <c r="E3" s="8"/>
      <c r="P3" s="29"/>
      <c r="Q3" s="45"/>
      <c r="R3" s="30"/>
    </row>
    <row r="4" spans="1:20" x14ac:dyDescent="0.25">
      <c r="B4" s="8" t="s">
        <v>174</v>
      </c>
      <c r="M4" s="85" t="s">
        <v>28</v>
      </c>
      <c r="N4" s="85" t="s">
        <v>28</v>
      </c>
      <c r="O4" s="85" t="s">
        <v>28</v>
      </c>
      <c r="P4" s="9"/>
      <c r="Q4" s="89" t="s">
        <v>29</v>
      </c>
      <c r="R4" s="89" t="s">
        <v>31</v>
      </c>
      <c r="S4" s="89" t="s">
        <v>23</v>
      </c>
      <c r="T4" s="7"/>
    </row>
    <row r="5" spans="1:20" ht="15.75" thickBot="1" x14ac:dyDescent="0.3">
      <c r="G5" s="183" t="s">
        <v>295</v>
      </c>
      <c r="H5" s="183" t="s">
        <v>295</v>
      </c>
      <c r="M5" s="86" t="s">
        <v>27</v>
      </c>
      <c r="N5" s="86" t="s">
        <v>26</v>
      </c>
      <c r="O5" s="86" t="s">
        <v>25</v>
      </c>
      <c r="P5" s="9"/>
      <c r="Q5" s="90" t="s">
        <v>30</v>
      </c>
      <c r="R5" s="90" t="s">
        <v>30</v>
      </c>
      <c r="S5" s="90" t="s">
        <v>30</v>
      </c>
      <c r="T5" s="7"/>
    </row>
    <row r="6" spans="1:20" ht="85.5" customHeight="1" thickBot="1" x14ac:dyDescent="0.3">
      <c r="B6" s="84" t="s">
        <v>1</v>
      </c>
      <c r="C6" s="84" t="s">
        <v>389</v>
      </c>
      <c r="D6" s="84" t="s">
        <v>107</v>
      </c>
      <c r="E6" s="84" t="s">
        <v>3</v>
      </c>
      <c r="F6" s="84" t="s">
        <v>4</v>
      </c>
      <c r="G6" s="107" t="s">
        <v>136</v>
      </c>
      <c r="H6" s="107" t="s">
        <v>137</v>
      </c>
      <c r="I6" s="107" t="s">
        <v>133</v>
      </c>
      <c r="J6" s="107" t="s">
        <v>134</v>
      </c>
      <c r="K6" s="107" t="s">
        <v>121</v>
      </c>
      <c r="L6" s="83" t="s">
        <v>5</v>
      </c>
      <c r="M6" s="87" t="s">
        <v>6</v>
      </c>
      <c r="N6" s="87" t="s">
        <v>6</v>
      </c>
      <c r="O6" s="87" t="s">
        <v>6</v>
      </c>
      <c r="P6" s="9"/>
      <c r="Q6" s="91"/>
      <c r="R6" s="97" t="s">
        <v>32</v>
      </c>
      <c r="S6" s="98" t="s">
        <v>33</v>
      </c>
    </row>
    <row r="7" spans="1:20" s="14" customFormat="1" ht="34.5" customHeight="1" x14ac:dyDescent="0.25">
      <c r="B7" s="2" t="s">
        <v>257</v>
      </c>
      <c r="C7" s="236" t="s">
        <v>260</v>
      </c>
      <c r="D7" s="93" t="s">
        <v>258</v>
      </c>
      <c r="E7" s="2" t="s">
        <v>259</v>
      </c>
      <c r="F7" s="2" t="s">
        <v>7</v>
      </c>
      <c r="G7" s="186">
        <v>2.63E-2</v>
      </c>
      <c r="H7" s="186">
        <v>0.1845</v>
      </c>
      <c r="I7" s="187">
        <v>44439</v>
      </c>
      <c r="J7" s="187">
        <v>44454</v>
      </c>
      <c r="K7" s="187">
        <v>44013</v>
      </c>
      <c r="L7" s="188" t="s">
        <v>290</v>
      </c>
      <c r="M7" s="79">
        <v>13479.75</v>
      </c>
      <c r="N7" s="67"/>
      <c r="O7" s="67">
        <f t="shared" ref="O7" si="0">M7+N7</f>
        <v>13479.75</v>
      </c>
      <c r="P7" s="67"/>
      <c r="Q7" s="67">
        <v>13479.75</v>
      </c>
      <c r="R7" s="67"/>
      <c r="S7" s="68">
        <f t="shared" ref="S7" si="1">Q7+R7</f>
        <v>13479.75</v>
      </c>
    </row>
    <row r="8" spans="1:20" ht="32.25" customHeight="1" x14ac:dyDescent="0.25">
      <c r="B8" s="2" t="s">
        <v>128</v>
      </c>
      <c r="C8" s="225" t="s">
        <v>122</v>
      </c>
      <c r="D8" s="93" t="s">
        <v>310</v>
      </c>
      <c r="E8" s="2" t="s">
        <v>309</v>
      </c>
      <c r="F8" s="2" t="s">
        <v>7</v>
      </c>
      <c r="G8" s="186">
        <v>2.63E-2</v>
      </c>
      <c r="H8" s="186">
        <v>0.1845</v>
      </c>
      <c r="I8" s="187">
        <v>44742</v>
      </c>
      <c r="J8" s="187">
        <v>44743</v>
      </c>
      <c r="K8" s="187">
        <v>44378</v>
      </c>
      <c r="L8" s="204" t="s">
        <v>297</v>
      </c>
      <c r="M8" s="67">
        <v>18738.27</v>
      </c>
      <c r="N8" s="67"/>
      <c r="O8" s="67">
        <f>M8+N8</f>
        <v>18738.27</v>
      </c>
      <c r="P8" s="29"/>
      <c r="Q8" s="67">
        <v>18738.27</v>
      </c>
      <c r="R8" s="67"/>
      <c r="S8" s="68">
        <f t="shared" ref="S8:S13" si="2">Q8+R8</f>
        <v>18738.27</v>
      </c>
    </row>
    <row r="9" spans="1:20" ht="32.25" customHeight="1" x14ac:dyDescent="0.25">
      <c r="B9" s="329" t="s">
        <v>361</v>
      </c>
      <c r="C9" s="327" t="s">
        <v>362</v>
      </c>
      <c r="D9" s="328" t="s">
        <v>359</v>
      </c>
      <c r="E9" s="2" t="s">
        <v>360</v>
      </c>
      <c r="F9" s="2" t="s">
        <v>7</v>
      </c>
      <c r="G9" s="186">
        <v>0.02</v>
      </c>
      <c r="H9" s="186">
        <v>0.1845</v>
      </c>
      <c r="I9" s="187">
        <v>44742</v>
      </c>
      <c r="J9" s="187">
        <v>44743</v>
      </c>
      <c r="K9" s="187">
        <v>44378</v>
      </c>
      <c r="L9" s="204" t="s">
        <v>297</v>
      </c>
      <c r="M9" s="67">
        <v>1509.75</v>
      </c>
      <c r="N9" s="67"/>
      <c r="O9" s="67">
        <f>M9+N9</f>
        <v>1509.75</v>
      </c>
      <c r="P9" s="29"/>
      <c r="Q9" s="67">
        <v>1509.75</v>
      </c>
      <c r="R9" s="67"/>
      <c r="S9" s="68">
        <f t="shared" si="2"/>
        <v>1509.75</v>
      </c>
    </row>
    <row r="10" spans="1:20" ht="32.25" customHeight="1" x14ac:dyDescent="0.25">
      <c r="B10" s="2" t="s">
        <v>22</v>
      </c>
      <c r="C10" s="236" t="s">
        <v>186</v>
      </c>
      <c r="D10" s="92" t="s">
        <v>229</v>
      </c>
      <c r="E10" s="2" t="s">
        <v>383</v>
      </c>
      <c r="F10" s="2" t="s">
        <v>7</v>
      </c>
      <c r="G10" s="186">
        <f>+G9</f>
        <v>0.02</v>
      </c>
      <c r="H10" s="186">
        <f>+H9</f>
        <v>0.1845</v>
      </c>
      <c r="I10" s="187">
        <v>44439</v>
      </c>
      <c r="J10" s="187">
        <v>44438</v>
      </c>
      <c r="K10" s="275">
        <f>+K9</f>
        <v>44378</v>
      </c>
      <c r="L10" s="189" t="s">
        <v>302</v>
      </c>
      <c r="M10" s="207">
        <v>2000</v>
      </c>
      <c r="N10" s="281"/>
      <c r="O10" s="303">
        <v>2000</v>
      </c>
      <c r="P10" s="29"/>
      <c r="Q10" s="67">
        <v>2000</v>
      </c>
      <c r="R10" s="67">
        <v>0</v>
      </c>
      <c r="S10" s="68">
        <f t="shared" si="2"/>
        <v>2000</v>
      </c>
    </row>
    <row r="11" spans="1:20" ht="30" customHeight="1" x14ac:dyDescent="0.25">
      <c r="B11" s="2" t="s">
        <v>22</v>
      </c>
      <c r="C11" s="236" t="s">
        <v>186</v>
      </c>
      <c r="D11" s="92" t="s">
        <v>377</v>
      </c>
      <c r="E11" s="2" t="s">
        <v>376</v>
      </c>
      <c r="F11" s="2" t="s">
        <v>7</v>
      </c>
      <c r="G11" s="186">
        <v>2.63E-2</v>
      </c>
      <c r="H11" s="186">
        <v>0.1845</v>
      </c>
      <c r="I11" s="187">
        <f>+I9</f>
        <v>44742</v>
      </c>
      <c r="J11" s="187">
        <f>+J9</f>
        <v>44743</v>
      </c>
      <c r="K11" s="275">
        <f>+K9</f>
        <v>44378</v>
      </c>
      <c r="L11" s="189" t="str">
        <f>+L9</f>
        <v>07/01/21 - 06/30/22</v>
      </c>
      <c r="M11" s="207">
        <v>7000</v>
      </c>
      <c r="N11" s="281"/>
      <c r="O11" s="67">
        <f>M11+N11</f>
        <v>7000</v>
      </c>
      <c r="P11" s="29"/>
      <c r="Q11" s="281">
        <f>5000+2000</f>
        <v>7000</v>
      </c>
      <c r="R11" s="67">
        <v>0</v>
      </c>
      <c r="S11" s="282">
        <f t="shared" si="2"/>
        <v>7000</v>
      </c>
    </row>
    <row r="12" spans="1:20" ht="30" customHeight="1" x14ac:dyDescent="0.25">
      <c r="B12" s="2" t="s">
        <v>223</v>
      </c>
      <c r="C12" s="236" t="s">
        <v>333</v>
      </c>
      <c r="D12" s="93" t="s">
        <v>224</v>
      </c>
      <c r="E12" s="2" t="s">
        <v>225</v>
      </c>
      <c r="F12" s="2" t="s">
        <v>7</v>
      </c>
      <c r="G12" s="186">
        <v>2.63E-2</v>
      </c>
      <c r="H12" s="186">
        <v>0.1845</v>
      </c>
      <c r="I12" s="187">
        <v>44834</v>
      </c>
      <c r="J12" s="187">
        <v>44849</v>
      </c>
      <c r="K12" s="187">
        <v>43614</v>
      </c>
      <c r="L12" s="188" t="s">
        <v>274</v>
      </c>
      <c r="M12" s="67">
        <v>163019.57</v>
      </c>
      <c r="N12" s="67"/>
      <c r="O12" s="67">
        <f>M12+N12</f>
        <v>163019.57</v>
      </c>
      <c r="P12" s="29"/>
      <c r="Q12" s="67">
        <v>0</v>
      </c>
      <c r="R12" s="67"/>
      <c r="S12" s="68">
        <f t="shared" si="2"/>
        <v>0</v>
      </c>
    </row>
    <row r="13" spans="1:20" ht="36.75" customHeight="1" x14ac:dyDescent="0.25">
      <c r="B13" s="344" t="s">
        <v>237</v>
      </c>
      <c r="C13" s="236" t="s">
        <v>334</v>
      </c>
      <c r="D13" s="93" t="s">
        <v>231</v>
      </c>
      <c r="E13" s="2" t="s">
        <v>238</v>
      </c>
      <c r="F13" s="2" t="s">
        <v>7</v>
      </c>
      <c r="G13" s="186">
        <v>2.63E-2</v>
      </c>
      <c r="H13" s="186">
        <v>0.1845</v>
      </c>
      <c r="I13" s="187">
        <v>44834</v>
      </c>
      <c r="J13" s="187">
        <v>44849</v>
      </c>
      <c r="K13" s="187">
        <v>43613</v>
      </c>
      <c r="L13" s="188" t="s">
        <v>292</v>
      </c>
      <c r="M13" s="65">
        <v>10000</v>
      </c>
      <c r="N13" s="67"/>
      <c r="O13" s="67">
        <f>M13+N13</f>
        <v>10000</v>
      </c>
      <c r="P13" s="67"/>
      <c r="Q13" s="67">
        <v>10000</v>
      </c>
      <c r="R13" s="67"/>
      <c r="S13" s="68">
        <f t="shared" si="2"/>
        <v>10000</v>
      </c>
    </row>
    <row r="14" spans="1:20" ht="11.25" customHeight="1" x14ac:dyDescent="0.25">
      <c r="B14" s="344"/>
      <c r="C14" s="93"/>
      <c r="D14" s="93"/>
      <c r="G14" s="186"/>
      <c r="H14" s="186"/>
      <c r="I14" s="187"/>
      <c r="J14" s="187"/>
      <c r="K14" s="187"/>
      <c r="L14" s="188"/>
      <c r="M14" s="67"/>
      <c r="N14" s="67"/>
      <c r="O14" s="67"/>
      <c r="P14" s="29"/>
      <c r="Q14" s="67"/>
      <c r="R14" s="67"/>
      <c r="S14" s="68"/>
    </row>
    <row r="15" spans="1:20" ht="28.5" customHeight="1" x14ac:dyDescent="0.25">
      <c r="B15" s="2" t="s">
        <v>279</v>
      </c>
      <c r="C15" s="236" t="s">
        <v>333</v>
      </c>
      <c r="D15" s="93" t="s">
        <v>224</v>
      </c>
      <c r="E15" s="2" t="s">
        <v>280</v>
      </c>
      <c r="F15" s="2" t="s">
        <v>7</v>
      </c>
      <c r="G15" s="186">
        <v>2.63E-2</v>
      </c>
      <c r="H15" s="186">
        <v>0.1845</v>
      </c>
      <c r="I15" s="187">
        <v>44592</v>
      </c>
      <c r="J15" s="187">
        <v>44592</v>
      </c>
      <c r="K15" s="187">
        <v>43980</v>
      </c>
      <c r="L15" s="188" t="s">
        <v>332</v>
      </c>
      <c r="M15" s="79">
        <v>3000</v>
      </c>
      <c r="N15" s="67"/>
      <c r="O15" s="67">
        <f t="shared" ref="O15:O24" si="3">M15+N15</f>
        <v>3000</v>
      </c>
      <c r="P15" s="66"/>
      <c r="Q15" s="67">
        <v>3000</v>
      </c>
      <c r="R15" s="67"/>
      <c r="S15" s="68">
        <f t="shared" ref="S15:S24" si="4">Q15+R15</f>
        <v>3000</v>
      </c>
    </row>
    <row r="16" spans="1:20" ht="28.5" customHeight="1" x14ac:dyDescent="0.25">
      <c r="B16" s="2" t="s">
        <v>281</v>
      </c>
      <c r="C16" s="236" t="s">
        <v>334</v>
      </c>
      <c r="D16" s="93" t="s">
        <v>231</v>
      </c>
      <c r="E16" s="2" t="s">
        <v>282</v>
      </c>
      <c r="F16" s="2" t="s">
        <v>7</v>
      </c>
      <c r="G16" s="186">
        <v>2.63E-2</v>
      </c>
      <c r="H16" s="186">
        <v>0.1845</v>
      </c>
      <c r="I16" s="187">
        <v>44742</v>
      </c>
      <c r="J16" s="187">
        <v>44757</v>
      </c>
      <c r="K16" s="187">
        <v>43979</v>
      </c>
      <c r="L16" s="188" t="s">
        <v>283</v>
      </c>
      <c r="M16" s="79">
        <v>1027</v>
      </c>
      <c r="N16" s="67"/>
      <c r="O16" s="67">
        <f t="shared" si="3"/>
        <v>1027</v>
      </c>
      <c r="P16" s="66"/>
      <c r="Q16" s="67">
        <v>1027</v>
      </c>
      <c r="R16" s="67"/>
      <c r="S16" s="68">
        <f t="shared" si="4"/>
        <v>1027</v>
      </c>
    </row>
    <row r="17" spans="2:19" ht="28.5" customHeight="1" x14ac:dyDescent="0.25">
      <c r="B17" s="2" t="s">
        <v>321</v>
      </c>
      <c r="C17" s="236" t="s">
        <v>333</v>
      </c>
      <c r="D17" s="93" t="s">
        <v>288</v>
      </c>
      <c r="E17" s="2" t="s">
        <v>322</v>
      </c>
      <c r="F17" s="2" t="s">
        <v>7</v>
      </c>
      <c r="G17" s="186">
        <f>G16:H16</f>
        <v>2.63E-2</v>
      </c>
      <c r="H17" s="186">
        <f>H16</f>
        <v>0.1845</v>
      </c>
      <c r="I17" s="187">
        <v>45199</v>
      </c>
      <c r="J17" s="187">
        <v>45214</v>
      </c>
      <c r="K17" s="187">
        <v>44201</v>
      </c>
      <c r="L17" s="188" t="s">
        <v>323</v>
      </c>
      <c r="M17" s="79">
        <v>170035.56</v>
      </c>
      <c r="N17" s="67"/>
      <c r="O17" s="67">
        <f t="shared" si="3"/>
        <v>170035.56</v>
      </c>
      <c r="P17" s="66"/>
      <c r="Q17" s="67">
        <v>170035.56</v>
      </c>
      <c r="R17" s="67"/>
      <c r="S17" s="68">
        <f t="shared" si="4"/>
        <v>170035.56</v>
      </c>
    </row>
    <row r="18" spans="2:19" ht="28.5" customHeight="1" x14ac:dyDescent="0.25">
      <c r="B18" s="2" t="s">
        <v>324</v>
      </c>
      <c r="C18" s="236" t="s">
        <v>333</v>
      </c>
      <c r="D18" s="93" t="s">
        <v>288</v>
      </c>
      <c r="E18" s="2" t="s">
        <v>329</v>
      </c>
      <c r="F18" s="2" t="s">
        <v>7</v>
      </c>
      <c r="G18" s="186">
        <f>G17:H17</f>
        <v>2.63E-2</v>
      </c>
      <c r="H18" s="186">
        <f>H17</f>
        <v>0.1845</v>
      </c>
      <c r="I18" s="187">
        <v>45199</v>
      </c>
      <c r="J18" s="187">
        <v>45214</v>
      </c>
      <c r="K18" s="187">
        <v>44201</v>
      </c>
      <c r="L18" s="188" t="s">
        <v>325</v>
      </c>
      <c r="M18" s="79">
        <v>2911</v>
      </c>
      <c r="N18" s="67"/>
      <c r="O18" s="67">
        <f t="shared" si="3"/>
        <v>2911</v>
      </c>
      <c r="P18" s="66"/>
      <c r="Q18" s="67"/>
      <c r="R18" s="67"/>
      <c r="S18" s="68">
        <f t="shared" si="4"/>
        <v>0</v>
      </c>
    </row>
    <row r="19" spans="2:19" ht="28.5" customHeight="1" x14ac:dyDescent="0.25">
      <c r="B19" s="2" t="s">
        <v>326</v>
      </c>
      <c r="C19" s="236" t="s">
        <v>333</v>
      </c>
      <c r="D19" s="93" t="s">
        <v>288</v>
      </c>
      <c r="E19" s="2" t="s">
        <v>330</v>
      </c>
      <c r="F19" s="2" t="s">
        <v>7</v>
      </c>
      <c r="G19" s="186">
        <f>G18:H18</f>
        <v>2.63E-2</v>
      </c>
      <c r="H19" s="186">
        <f>H18</f>
        <v>0.1845</v>
      </c>
      <c r="I19" s="187">
        <v>45199</v>
      </c>
      <c r="J19" s="187">
        <v>45214</v>
      </c>
      <c r="K19" s="187">
        <v>44201</v>
      </c>
      <c r="L19" s="188" t="s">
        <v>323</v>
      </c>
      <c r="M19" s="79">
        <v>44634.33</v>
      </c>
      <c r="N19" s="67"/>
      <c r="O19" s="67">
        <f t="shared" si="3"/>
        <v>44634.33</v>
      </c>
      <c r="P19" s="66"/>
      <c r="Q19" s="67"/>
      <c r="R19" s="67"/>
      <c r="S19" s="68">
        <f t="shared" si="4"/>
        <v>0</v>
      </c>
    </row>
    <row r="20" spans="2:19" ht="28.5" customHeight="1" x14ac:dyDescent="0.25">
      <c r="B20" s="2" t="s">
        <v>370</v>
      </c>
      <c r="C20" s="236" t="s">
        <v>333</v>
      </c>
      <c r="D20" s="93" t="s">
        <v>288</v>
      </c>
      <c r="E20" s="2" t="s">
        <v>331</v>
      </c>
      <c r="F20" s="2" t="s">
        <v>7</v>
      </c>
      <c r="G20" s="186">
        <f t="shared" ref="G20" si="5">G19:H19</f>
        <v>2.63E-2</v>
      </c>
      <c r="H20" s="186">
        <f t="shared" ref="H20" si="6">H19</f>
        <v>0.1845</v>
      </c>
      <c r="I20" s="187">
        <v>45199</v>
      </c>
      <c r="J20" s="187">
        <v>45214</v>
      </c>
      <c r="K20" s="187">
        <v>44201</v>
      </c>
      <c r="L20" s="188" t="s">
        <v>325</v>
      </c>
      <c r="M20" s="79">
        <v>211269.18</v>
      </c>
      <c r="N20" s="67"/>
      <c r="O20" s="67">
        <f t="shared" si="3"/>
        <v>211269.18</v>
      </c>
      <c r="P20" s="66"/>
      <c r="Q20" s="67"/>
      <c r="R20" s="67"/>
      <c r="S20" s="68">
        <f t="shared" si="4"/>
        <v>0</v>
      </c>
    </row>
    <row r="21" spans="2:19" ht="28.5" customHeight="1" x14ac:dyDescent="0.25">
      <c r="B21" s="2" t="s">
        <v>287</v>
      </c>
      <c r="C21" s="236" t="s">
        <v>333</v>
      </c>
      <c r="D21" s="93" t="s">
        <v>288</v>
      </c>
      <c r="E21" s="2" t="s">
        <v>289</v>
      </c>
      <c r="F21" s="2" t="s">
        <v>7</v>
      </c>
      <c r="G21" s="186">
        <v>2.63E-2</v>
      </c>
      <c r="H21" s="186">
        <v>0.1845</v>
      </c>
      <c r="I21" s="187">
        <v>45199</v>
      </c>
      <c r="J21" s="187">
        <v>45199</v>
      </c>
      <c r="K21" s="187">
        <v>44201</v>
      </c>
      <c r="L21" s="188" t="s">
        <v>320</v>
      </c>
      <c r="M21" s="79">
        <v>391081.78</v>
      </c>
      <c r="N21" s="67"/>
      <c r="O21" s="67">
        <f t="shared" si="3"/>
        <v>391081.78</v>
      </c>
      <c r="P21" s="66"/>
      <c r="Q21" s="67">
        <f>373092.4+13478.4+4371.02</f>
        <v>390941.82000000007</v>
      </c>
      <c r="R21" s="67"/>
      <c r="S21" s="68">
        <f t="shared" si="4"/>
        <v>390941.82000000007</v>
      </c>
    </row>
    <row r="22" spans="2:19" ht="28.5" customHeight="1" x14ac:dyDescent="0.25">
      <c r="B22" s="2" t="s">
        <v>352</v>
      </c>
      <c r="C22" s="236" t="s">
        <v>353</v>
      </c>
      <c r="D22" s="93" t="s">
        <v>354</v>
      </c>
      <c r="E22" s="2" t="s">
        <v>355</v>
      </c>
      <c r="F22" s="2" t="s">
        <v>7</v>
      </c>
      <c r="G22" s="186">
        <v>2.63E-2</v>
      </c>
      <c r="H22" s="186">
        <v>0.1845</v>
      </c>
      <c r="I22" s="187">
        <v>45565</v>
      </c>
      <c r="J22" s="187">
        <v>45580</v>
      </c>
      <c r="K22" s="187">
        <v>44279</v>
      </c>
      <c r="L22" s="188" t="s">
        <v>356</v>
      </c>
      <c r="M22" s="79">
        <v>1529076.79</v>
      </c>
      <c r="N22" s="67"/>
      <c r="O22" s="67">
        <f t="shared" si="3"/>
        <v>1529076.79</v>
      </c>
      <c r="P22" s="66"/>
      <c r="Q22" s="67">
        <v>87019.1</v>
      </c>
      <c r="R22" s="67"/>
      <c r="S22" s="68">
        <f t="shared" si="4"/>
        <v>87019.1</v>
      </c>
    </row>
    <row r="23" spans="2:19" ht="28.5" customHeight="1" x14ac:dyDescent="0.25">
      <c r="B23" s="2" t="s">
        <v>357</v>
      </c>
      <c r="C23" s="236" t="s">
        <v>353</v>
      </c>
      <c r="D23" s="93" t="s">
        <v>354</v>
      </c>
      <c r="E23" s="2" t="s">
        <v>358</v>
      </c>
      <c r="F23" s="2" t="s">
        <v>7</v>
      </c>
      <c r="G23" s="186">
        <v>2.63E-2</v>
      </c>
      <c r="H23" s="186">
        <v>0.1845</v>
      </c>
      <c r="I23" s="187">
        <v>45565</v>
      </c>
      <c r="J23" s="187">
        <v>45580</v>
      </c>
      <c r="K23" s="187">
        <v>44279</v>
      </c>
      <c r="L23" s="188" t="s">
        <v>356</v>
      </c>
      <c r="M23" s="79">
        <v>382269.2</v>
      </c>
      <c r="N23" s="67"/>
      <c r="O23" s="67">
        <f t="shared" si="3"/>
        <v>382269.2</v>
      </c>
      <c r="P23" s="66"/>
      <c r="Q23" s="67"/>
      <c r="R23" s="67"/>
      <c r="S23" s="68">
        <f t="shared" si="4"/>
        <v>0</v>
      </c>
    </row>
    <row r="24" spans="2:19" ht="28.5" customHeight="1" x14ac:dyDescent="0.25">
      <c r="B24" s="2" t="s">
        <v>363</v>
      </c>
      <c r="C24" s="236" t="s">
        <v>333</v>
      </c>
      <c r="D24" s="93" t="s">
        <v>288</v>
      </c>
      <c r="E24" s="2" t="s">
        <v>364</v>
      </c>
      <c r="F24" s="2" t="s">
        <v>7</v>
      </c>
      <c r="G24" s="186">
        <v>2.63E-2</v>
      </c>
      <c r="H24" s="186">
        <v>0.1845</v>
      </c>
      <c r="I24" s="187">
        <v>45199</v>
      </c>
      <c r="J24" s="187">
        <v>45214</v>
      </c>
      <c r="K24" s="187">
        <v>44201</v>
      </c>
      <c r="L24" s="188" t="s">
        <v>365</v>
      </c>
      <c r="M24" s="79">
        <v>3598.99</v>
      </c>
      <c r="N24" s="67"/>
      <c r="O24" s="67">
        <f t="shared" si="3"/>
        <v>3598.99</v>
      </c>
      <c r="P24" s="66"/>
      <c r="Q24" s="67"/>
      <c r="R24" s="67"/>
      <c r="S24" s="68">
        <f t="shared" si="4"/>
        <v>0</v>
      </c>
    </row>
    <row r="25" spans="2:19" ht="16.5" customHeight="1" x14ac:dyDescent="0.25">
      <c r="B25" s="300"/>
      <c r="C25" s="93"/>
      <c r="D25" s="93"/>
      <c r="G25" s="202"/>
      <c r="H25" s="186"/>
      <c r="I25" s="187"/>
      <c r="J25" s="187"/>
      <c r="K25" s="187"/>
      <c r="L25" s="188"/>
      <c r="M25" s="67"/>
      <c r="N25" s="67"/>
      <c r="O25" s="67"/>
      <c r="P25" s="29"/>
      <c r="Q25" s="67"/>
      <c r="R25" s="67"/>
      <c r="S25" s="26"/>
    </row>
    <row r="26" spans="2:19" ht="22.5" customHeight="1" x14ac:dyDescent="0.25">
      <c r="C26" s="92"/>
      <c r="D26" s="92"/>
      <c r="I26" s="116"/>
      <c r="J26" s="116"/>
      <c r="K26" s="116"/>
      <c r="L26" s="5" t="s">
        <v>38</v>
      </c>
      <c r="M26" s="273">
        <f>SUM(M7:M25)</f>
        <v>2954651.1700000004</v>
      </c>
      <c r="N26" s="301">
        <f>SUM(N8:N25)</f>
        <v>0</v>
      </c>
      <c r="O26" s="273">
        <f>SUM(O7:O25)</f>
        <v>2954651.1700000004</v>
      </c>
      <c r="Q26" s="273">
        <f>SUM(Q7:Q25)</f>
        <v>704751.25000000012</v>
      </c>
      <c r="R26" s="273">
        <f>SUM(R7:R25)</f>
        <v>0</v>
      </c>
      <c r="S26" s="23">
        <f>SUM(S7:S25)</f>
        <v>704751.25000000012</v>
      </c>
    </row>
    <row r="27" spans="2:19" x14ac:dyDescent="0.25">
      <c r="C27" s="92"/>
      <c r="D27" s="92"/>
      <c r="I27" s="116"/>
      <c r="J27" s="116"/>
      <c r="K27" s="116"/>
      <c r="L27" s="5"/>
      <c r="M27" s="66"/>
      <c r="N27" s="66"/>
      <c r="O27" s="66"/>
      <c r="Q27" s="66"/>
      <c r="R27" s="66"/>
      <c r="S27" s="68"/>
    </row>
    <row r="28" spans="2:19" x14ac:dyDescent="0.25">
      <c r="C28" s="92"/>
      <c r="D28" s="92"/>
      <c r="L28" s="5"/>
      <c r="M28" s="66"/>
      <c r="N28" s="66"/>
      <c r="O28" s="66"/>
      <c r="Q28" s="66"/>
      <c r="R28" s="66"/>
      <c r="S28" s="68"/>
    </row>
    <row r="29" spans="2:19" x14ac:dyDescent="0.25">
      <c r="B29" s="8" t="s">
        <v>125</v>
      </c>
      <c r="C29" s="92"/>
      <c r="D29" s="92"/>
      <c r="L29" s="5"/>
      <c r="M29" s="66"/>
      <c r="N29" s="66"/>
      <c r="O29" s="66"/>
      <c r="Q29" s="66"/>
      <c r="R29" s="66"/>
      <c r="S29" s="68"/>
    </row>
    <row r="30" spans="2:19" ht="30.75" customHeight="1" x14ac:dyDescent="0.25">
      <c r="B30" s="341" t="s">
        <v>126</v>
      </c>
      <c r="C30" s="341"/>
      <c r="D30" s="341"/>
      <c r="E30" s="341"/>
      <c r="F30" s="341"/>
      <c r="L30" s="5"/>
      <c r="M30" s="66"/>
      <c r="N30" s="66"/>
      <c r="O30" s="66"/>
      <c r="Q30" s="66"/>
      <c r="R30" s="66"/>
      <c r="S30" s="68"/>
    </row>
    <row r="31" spans="2:19" x14ac:dyDescent="0.25">
      <c r="C31" s="92"/>
      <c r="D31" s="92"/>
      <c r="L31" s="5"/>
      <c r="M31" s="66"/>
      <c r="N31" s="66"/>
      <c r="O31" s="66"/>
      <c r="Q31" s="66"/>
      <c r="R31" s="66"/>
      <c r="S31" s="68"/>
    </row>
    <row r="32" spans="2:19" ht="46.5" customHeight="1" x14ac:dyDescent="0.25">
      <c r="B32" s="341" t="s">
        <v>129</v>
      </c>
      <c r="C32" s="341"/>
      <c r="D32" s="341"/>
      <c r="E32" s="341"/>
      <c r="F32" s="341"/>
      <c r="L32" s="5"/>
      <c r="M32" s="66"/>
      <c r="N32" s="66"/>
      <c r="O32" s="66"/>
      <c r="Q32" s="66"/>
      <c r="R32" s="66"/>
      <c r="S32" s="68"/>
    </row>
    <row r="33" spans="2:19" x14ac:dyDescent="0.25">
      <c r="B33" s="108"/>
      <c r="C33" s="108"/>
      <c r="D33" s="108"/>
      <c r="E33" s="108"/>
      <c r="L33" s="5"/>
      <c r="M33" s="66"/>
      <c r="N33" s="66"/>
      <c r="O33" s="66"/>
      <c r="Q33" s="66"/>
      <c r="R33" s="66"/>
      <c r="S33" s="68"/>
    </row>
    <row r="34" spans="2:19" ht="30" customHeight="1" x14ac:dyDescent="0.25">
      <c r="B34" s="341" t="s">
        <v>160</v>
      </c>
      <c r="C34" s="341"/>
      <c r="D34" s="341"/>
      <c r="E34" s="341"/>
      <c r="F34" s="341"/>
      <c r="L34" s="5"/>
      <c r="M34" s="66"/>
      <c r="N34" s="66"/>
      <c r="O34" s="66"/>
      <c r="Q34" s="66"/>
      <c r="R34" s="66"/>
      <c r="S34" s="68"/>
    </row>
    <row r="35" spans="2:19" ht="15" customHeight="1" x14ac:dyDescent="0.25">
      <c r="B35" s="347" t="s">
        <v>159</v>
      </c>
      <c r="C35" s="341"/>
      <c r="D35" s="341"/>
      <c r="E35" s="341"/>
      <c r="F35" s="341"/>
      <c r="L35" s="5"/>
      <c r="M35" s="66"/>
      <c r="N35" s="66"/>
      <c r="O35" s="66"/>
      <c r="Q35" s="66"/>
      <c r="R35" s="66"/>
      <c r="S35" s="68"/>
    </row>
    <row r="36" spans="2:19" ht="15" customHeight="1" x14ac:dyDescent="0.25">
      <c r="B36" s="195"/>
      <c r="C36" s="195"/>
      <c r="D36" s="195"/>
      <c r="E36" s="195"/>
      <c r="L36" s="5"/>
      <c r="M36" s="66"/>
      <c r="N36" s="66"/>
      <c r="O36" s="66"/>
      <c r="Q36" s="66"/>
      <c r="R36" s="66"/>
      <c r="S36" s="68"/>
    </row>
    <row r="37" spans="2:19" x14ac:dyDescent="0.25">
      <c r="B37" s="7" t="s">
        <v>109</v>
      </c>
      <c r="C37" s="101" t="s">
        <v>112</v>
      </c>
      <c r="D37" s="101" t="s">
        <v>113</v>
      </c>
      <c r="E37" s="108"/>
      <c r="L37" s="5"/>
      <c r="M37" s="66"/>
      <c r="N37" s="66"/>
      <c r="O37" s="66"/>
      <c r="Q37" s="66"/>
      <c r="R37" s="66"/>
      <c r="S37" s="68"/>
    </row>
    <row r="38" spans="2:19" x14ac:dyDescent="0.25">
      <c r="B38" s="2" t="s">
        <v>262</v>
      </c>
      <c r="C38" s="92" t="s">
        <v>180</v>
      </c>
      <c r="D38" s="92" t="s">
        <v>181</v>
      </c>
      <c r="E38" s="318"/>
      <c r="L38" s="5"/>
      <c r="M38" s="66"/>
      <c r="N38" s="66"/>
      <c r="O38" s="66"/>
      <c r="Q38" s="66"/>
      <c r="R38" s="66"/>
      <c r="S38" s="68"/>
    </row>
    <row r="39" spans="2:19" x14ac:dyDescent="0.25">
      <c r="B39" s="257" t="s">
        <v>111</v>
      </c>
      <c r="C39" s="92" t="s">
        <v>300</v>
      </c>
      <c r="D39" s="92" t="s">
        <v>303</v>
      </c>
      <c r="E39" s="256"/>
      <c r="L39" s="5"/>
      <c r="M39" s="66"/>
      <c r="N39" s="66"/>
      <c r="O39" s="66"/>
      <c r="Q39" s="66"/>
      <c r="R39" s="66"/>
      <c r="S39" s="68"/>
    </row>
    <row r="40" spans="2:19" x14ac:dyDescent="0.25">
      <c r="B40" s="2" t="s">
        <v>115</v>
      </c>
      <c r="C40" s="92" t="s">
        <v>179</v>
      </c>
      <c r="D40" s="92" t="s">
        <v>178</v>
      </c>
      <c r="L40" s="5"/>
      <c r="M40" s="66"/>
      <c r="N40" s="66"/>
      <c r="O40" s="66"/>
      <c r="Q40" s="66"/>
      <c r="R40" s="66"/>
      <c r="S40" s="68"/>
    </row>
    <row r="41" spans="2:19" x14ac:dyDescent="0.25">
      <c r="B41" s="2" t="s">
        <v>230</v>
      </c>
      <c r="C41" s="92" t="s">
        <v>135</v>
      </c>
      <c r="D41" s="92" t="s">
        <v>147</v>
      </c>
      <c r="L41" s="5"/>
      <c r="M41" s="66"/>
      <c r="N41" s="66"/>
      <c r="O41" s="66"/>
      <c r="Q41" s="66"/>
      <c r="R41" s="66"/>
      <c r="S41" s="68"/>
    </row>
    <row r="42" spans="2:19" x14ac:dyDescent="0.25">
      <c r="B42" s="2" t="s">
        <v>235</v>
      </c>
      <c r="C42" s="92" t="s">
        <v>179</v>
      </c>
      <c r="D42" s="92" t="s">
        <v>236</v>
      </c>
      <c r="L42" s="5"/>
      <c r="M42" s="66"/>
      <c r="N42" s="66"/>
      <c r="O42" s="66"/>
      <c r="Q42" s="66"/>
      <c r="R42" s="66"/>
      <c r="S42" s="68"/>
    </row>
    <row r="43" spans="2:19" x14ac:dyDescent="0.25">
      <c r="B43" s="2" t="s">
        <v>279</v>
      </c>
      <c r="C43" s="92" t="s">
        <v>135</v>
      </c>
      <c r="D43" s="92" t="s">
        <v>147</v>
      </c>
      <c r="L43" s="5"/>
      <c r="M43" s="66"/>
      <c r="N43" s="66"/>
      <c r="O43" s="66"/>
      <c r="Q43" s="66"/>
      <c r="R43" s="66"/>
      <c r="S43" s="68"/>
    </row>
    <row r="44" spans="2:19" x14ac:dyDescent="0.25">
      <c r="B44" s="2" t="s">
        <v>281</v>
      </c>
      <c r="C44" s="92" t="s">
        <v>135</v>
      </c>
      <c r="D44" s="92" t="s">
        <v>147</v>
      </c>
      <c r="L44" s="5"/>
      <c r="M44" s="66"/>
      <c r="N44" s="66"/>
      <c r="O44" s="66"/>
      <c r="Q44" s="66"/>
      <c r="R44" s="66"/>
      <c r="S44" s="68"/>
    </row>
    <row r="45" spans="2:19" x14ac:dyDescent="0.25">
      <c r="B45" s="2" t="s">
        <v>286</v>
      </c>
      <c r="C45" s="92" t="s">
        <v>135</v>
      </c>
      <c r="D45" s="92" t="s">
        <v>147</v>
      </c>
      <c r="L45" s="5"/>
      <c r="M45" s="66"/>
      <c r="N45" s="66"/>
      <c r="O45" s="66"/>
      <c r="Q45" s="66"/>
      <c r="R45" s="66"/>
      <c r="S45" s="68"/>
    </row>
    <row r="46" spans="2:19" x14ac:dyDescent="0.25">
      <c r="C46" s="92"/>
      <c r="D46" s="92"/>
      <c r="L46" s="5"/>
      <c r="M46" s="66"/>
      <c r="N46" s="66"/>
      <c r="O46" s="66"/>
      <c r="Q46" s="66"/>
      <c r="R46" s="66"/>
      <c r="S46" s="68"/>
    </row>
    <row r="47" spans="2:19" x14ac:dyDescent="0.25">
      <c r="B47" s="259" t="s">
        <v>298</v>
      </c>
      <c r="C47" s="92"/>
      <c r="D47" s="92"/>
      <c r="L47" s="5"/>
      <c r="M47" s="66"/>
      <c r="N47" s="66"/>
      <c r="O47" s="66"/>
      <c r="Q47" s="66"/>
      <c r="R47" s="66"/>
      <c r="S47" s="68"/>
    </row>
    <row r="48" spans="2:19" x14ac:dyDescent="0.25">
      <c r="B48" s="255" t="s">
        <v>299</v>
      </c>
      <c r="C48" s="92"/>
      <c r="D48" s="92"/>
      <c r="L48" s="5"/>
      <c r="M48" s="66"/>
      <c r="N48" s="66"/>
      <c r="O48" s="66"/>
      <c r="Q48" s="66"/>
      <c r="R48" s="66"/>
      <c r="S48" s="68"/>
    </row>
    <row r="49" spans="2:20" x14ac:dyDescent="0.25">
      <c r="B49" s="10"/>
      <c r="C49" s="94"/>
      <c r="D49" s="94"/>
      <c r="E49" s="10"/>
      <c r="F49" s="10"/>
      <c r="G49" s="10"/>
      <c r="H49" s="10"/>
      <c r="I49" s="10"/>
      <c r="J49" s="10"/>
      <c r="K49" s="10"/>
      <c r="L49" s="10"/>
      <c r="M49" s="10"/>
      <c r="N49" s="10"/>
      <c r="O49" s="10"/>
      <c r="P49" s="10"/>
      <c r="Q49" s="10"/>
      <c r="R49" s="10"/>
      <c r="S49" s="28"/>
    </row>
    <row r="50" spans="2:20" ht="16.5" customHeight="1" x14ac:dyDescent="0.25">
      <c r="C50" s="42"/>
      <c r="D50" s="42"/>
      <c r="E50" s="29"/>
      <c r="F50" s="29"/>
      <c r="G50" s="29"/>
      <c r="H50" s="29"/>
      <c r="I50" s="29"/>
      <c r="J50" s="29"/>
      <c r="K50" s="29"/>
      <c r="L50" s="29"/>
      <c r="M50" s="29"/>
      <c r="N50" s="29"/>
      <c r="O50" s="29"/>
      <c r="P50" s="29"/>
      <c r="Q50" s="59" t="s">
        <v>90</v>
      </c>
      <c r="R50" s="50"/>
      <c r="S50" s="164"/>
    </row>
    <row r="51" spans="2:20" ht="15" customHeight="1" x14ac:dyDescent="0.25">
      <c r="B51" s="17" t="s">
        <v>39</v>
      </c>
      <c r="C51" s="96" t="s">
        <v>2</v>
      </c>
      <c r="D51" s="96" t="s">
        <v>34</v>
      </c>
      <c r="E51" s="141" t="s">
        <v>35</v>
      </c>
      <c r="F51" s="96" t="s">
        <v>36</v>
      </c>
      <c r="G51" s="343" t="s">
        <v>37</v>
      </c>
      <c r="H51" s="343"/>
      <c r="I51" s="114"/>
      <c r="J51" s="96"/>
      <c r="K51" s="96"/>
      <c r="L51" s="10"/>
      <c r="M51" s="10"/>
      <c r="N51" s="10"/>
      <c r="O51" s="47"/>
      <c r="P51" s="47"/>
      <c r="Q51" s="54" t="s">
        <v>88</v>
      </c>
      <c r="R51" s="52"/>
      <c r="S51" s="53"/>
      <c r="T51" s="51"/>
    </row>
    <row r="52" spans="2:20" ht="15" customHeight="1" x14ac:dyDescent="0.25">
      <c r="B52" s="63"/>
      <c r="C52" s="148"/>
      <c r="D52" s="148"/>
      <c r="E52" s="326"/>
      <c r="F52" s="148"/>
      <c r="G52" s="148"/>
      <c r="H52" s="148"/>
      <c r="I52" s="148"/>
      <c r="J52" s="148"/>
      <c r="K52" s="148"/>
      <c r="L52" s="29"/>
      <c r="M52" s="29"/>
      <c r="N52" s="29"/>
      <c r="O52" s="48"/>
      <c r="P52" s="48"/>
      <c r="Q52" s="56"/>
      <c r="R52" s="49"/>
      <c r="S52" s="49"/>
      <c r="T52" s="51"/>
    </row>
    <row r="53" spans="2:20" ht="15" customHeight="1" x14ac:dyDescent="0.25">
      <c r="B53" s="63"/>
      <c r="C53" s="148"/>
      <c r="D53" s="148"/>
      <c r="E53" s="326"/>
      <c r="F53" s="148"/>
      <c r="G53" s="148"/>
      <c r="H53" s="148"/>
      <c r="I53" s="148"/>
      <c r="J53" s="148"/>
      <c r="K53" s="148"/>
      <c r="L53" s="29"/>
      <c r="M53" s="29"/>
      <c r="N53" s="29"/>
      <c r="O53" s="48"/>
      <c r="P53" s="48"/>
      <c r="Q53" s="56"/>
      <c r="R53" s="49"/>
      <c r="S53" s="49"/>
      <c r="T53" s="51"/>
    </row>
    <row r="54" spans="2:20" ht="15" customHeight="1" x14ac:dyDescent="0.25">
      <c r="C54" s="140"/>
      <c r="D54" s="142"/>
      <c r="E54" s="142"/>
      <c r="F54" s="143"/>
      <c r="G54" s="349"/>
      <c r="H54" s="349"/>
      <c r="I54" s="349"/>
      <c r="J54" s="349"/>
      <c r="K54" s="42"/>
      <c r="L54" s="42"/>
      <c r="M54" s="42"/>
      <c r="N54" s="42"/>
      <c r="O54" s="45"/>
      <c r="P54" s="45"/>
      <c r="Q54" s="59"/>
      <c r="R54" s="50"/>
      <c r="S54" s="50"/>
      <c r="T54" s="51"/>
    </row>
    <row r="55" spans="2:20" x14ac:dyDescent="0.25">
      <c r="D55" s="129"/>
      <c r="E55" s="129"/>
      <c r="Q55" s="309" t="s">
        <v>316</v>
      </c>
      <c r="R55" s="309"/>
      <c r="S55" s="310">
        <f>S26</f>
        <v>704751.25000000012</v>
      </c>
    </row>
    <row r="56" spans="2:20" x14ac:dyDescent="0.25">
      <c r="D56" s="129"/>
      <c r="E56" s="129"/>
      <c r="Q56" s="14"/>
      <c r="R56" s="14"/>
      <c r="S56" s="313"/>
    </row>
    <row r="57" spans="2:20" x14ac:dyDescent="0.25">
      <c r="E57" s="129"/>
    </row>
  </sheetData>
  <mergeCells count="9">
    <mergeCell ref="G54:J54"/>
    <mergeCell ref="Q1:S1"/>
    <mergeCell ref="Q2:S2"/>
    <mergeCell ref="G51:H51"/>
    <mergeCell ref="B34:F34"/>
    <mergeCell ref="B30:F30"/>
    <mergeCell ref="B32:F32"/>
    <mergeCell ref="B35:F35"/>
    <mergeCell ref="B13:B14"/>
  </mergeCells>
  <hyperlinks>
    <hyperlink ref="B35" r:id="rId1"/>
  </hyperlinks>
  <printOptions horizontalCentered="1" gridLines="1"/>
  <pageMargins left="0" right="0" top="0.75" bottom="0.75" header="0.3" footer="0.3"/>
  <pageSetup scale="48" orientation="landscape" horizontalDpi="1200" verticalDpi="1200"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5"/>
  <sheetViews>
    <sheetView topLeftCell="B1" zoomScale="90" zoomScaleNormal="90" workbookViewId="0">
      <selection activeCell="B8" sqref="B8:O8"/>
    </sheetView>
  </sheetViews>
  <sheetFormatPr defaultColWidth="9.140625" defaultRowHeight="15" x14ac:dyDescent="0.25"/>
  <cols>
    <col min="1" max="1" width="9.140625" style="2" hidden="1" customWidth="1"/>
    <col min="2" max="2" width="58.140625" style="2" customWidth="1"/>
    <col min="3" max="3" width="28.28515625" style="2" customWidth="1"/>
    <col min="4" max="4" width="13.7109375" style="2" customWidth="1"/>
    <col min="5" max="5" width="17" style="2" bestFit="1" customWidth="1"/>
    <col min="6" max="6" width="22.5703125" style="2" customWidth="1"/>
    <col min="7" max="7" width="11.42578125" style="2" customWidth="1"/>
    <col min="8" max="8" width="14.85546875" style="2" customWidth="1"/>
    <col min="9" max="9" width="13.42578125" style="2" customWidth="1"/>
    <col min="10" max="10" width="15.42578125" style="2" customWidth="1"/>
    <col min="11" max="11" width="8" style="2" customWidth="1"/>
    <col min="12" max="12" width="18.140625" style="2" customWidth="1"/>
    <col min="13" max="13" width="14"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6.7109375" style="2" customWidth="1"/>
    <col min="20" max="16384" width="9.140625" style="2"/>
  </cols>
  <sheetData>
    <row r="1" spans="1:20" ht="14.45" customHeight="1" x14ac:dyDescent="0.25">
      <c r="B1" s="8" t="s">
        <v>40</v>
      </c>
      <c r="Q1" s="338" t="s">
        <v>296</v>
      </c>
      <c r="R1" s="338"/>
      <c r="S1" s="338"/>
    </row>
    <row r="2" spans="1:20" x14ac:dyDescent="0.25">
      <c r="B2" s="88" t="s">
        <v>148</v>
      </c>
      <c r="C2" s="182">
        <v>44742</v>
      </c>
      <c r="M2" s="71"/>
      <c r="N2" s="71"/>
      <c r="P2" s="29"/>
      <c r="Q2" s="337" t="s">
        <v>375</v>
      </c>
      <c r="R2" s="337"/>
      <c r="S2" s="337"/>
    </row>
    <row r="3" spans="1:20" ht="15.75" thickBot="1" x14ac:dyDescent="0.3">
      <c r="A3" s="2" t="s">
        <v>16</v>
      </c>
      <c r="B3" s="44" t="s">
        <v>54</v>
      </c>
      <c r="C3" s="8"/>
      <c r="D3" s="8"/>
      <c r="E3" s="8"/>
      <c r="P3" s="29"/>
      <c r="Q3" s="45"/>
      <c r="R3" s="30"/>
    </row>
    <row r="4" spans="1:20" x14ac:dyDescent="0.25">
      <c r="B4" s="8" t="s">
        <v>174</v>
      </c>
      <c r="M4" s="85" t="s">
        <v>28</v>
      </c>
      <c r="N4" s="85" t="s">
        <v>28</v>
      </c>
      <c r="O4" s="85" t="s">
        <v>28</v>
      </c>
      <c r="P4" s="9"/>
      <c r="Q4" s="89" t="s">
        <v>29</v>
      </c>
      <c r="R4" s="89" t="s">
        <v>31</v>
      </c>
      <c r="S4" s="89" t="s">
        <v>23</v>
      </c>
      <c r="T4" s="7"/>
    </row>
    <row r="5" spans="1:20" ht="15.75" thickBot="1" x14ac:dyDescent="0.3">
      <c r="G5" s="183" t="s">
        <v>295</v>
      </c>
      <c r="H5" s="183" t="s">
        <v>295</v>
      </c>
      <c r="M5" s="86" t="s">
        <v>27</v>
      </c>
      <c r="N5" s="86" t="s">
        <v>26</v>
      </c>
      <c r="O5" s="86" t="s">
        <v>25</v>
      </c>
      <c r="P5" s="9"/>
      <c r="Q5" s="90" t="s">
        <v>30</v>
      </c>
      <c r="R5" s="90" t="s">
        <v>30</v>
      </c>
      <c r="S5" s="90" t="s">
        <v>30</v>
      </c>
      <c r="T5" s="7"/>
    </row>
    <row r="6" spans="1:20" ht="85.5" customHeight="1" thickBot="1" x14ac:dyDescent="0.3">
      <c r="B6" s="84" t="s">
        <v>1</v>
      </c>
      <c r="C6" s="84" t="s">
        <v>389</v>
      </c>
      <c r="D6" s="84" t="s">
        <v>107</v>
      </c>
      <c r="E6" s="84" t="s">
        <v>3</v>
      </c>
      <c r="F6" s="84" t="s">
        <v>4</v>
      </c>
      <c r="G6" s="107" t="s">
        <v>136</v>
      </c>
      <c r="H6" s="107" t="s">
        <v>137</v>
      </c>
      <c r="I6" s="107" t="s">
        <v>133</v>
      </c>
      <c r="J6" s="107" t="s">
        <v>134</v>
      </c>
      <c r="K6" s="107" t="s">
        <v>121</v>
      </c>
      <c r="L6" s="83" t="s">
        <v>5</v>
      </c>
      <c r="M6" s="87" t="s">
        <v>6</v>
      </c>
      <c r="N6" s="87" t="s">
        <v>6</v>
      </c>
      <c r="O6" s="87" t="s">
        <v>6</v>
      </c>
      <c r="P6" s="9"/>
      <c r="Q6" s="91"/>
      <c r="R6" s="97" t="s">
        <v>32</v>
      </c>
      <c r="S6" s="98" t="s">
        <v>33</v>
      </c>
    </row>
    <row r="7" spans="1:20" ht="33.75" customHeight="1" x14ac:dyDescent="0.25">
      <c r="B7" s="2" t="s">
        <v>128</v>
      </c>
      <c r="C7" s="236" t="s">
        <v>122</v>
      </c>
      <c r="D7" s="93" t="s">
        <v>310</v>
      </c>
      <c r="E7" s="2" t="s">
        <v>309</v>
      </c>
      <c r="F7" s="2" t="s">
        <v>7</v>
      </c>
      <c r="G7" s="186">
        <v>2.63E-2</v>
      </c>
      <c r="H7" s="186">
        <v>0.1845</v>
      </c>
      <c r="I7" s="187">
        <v>44742</v>
      </c>
      <c r="J7" s="187">
        <v>44743</v>
      </c>
      <c r="K7" s="187">
        <v>44378</v>
      </c>
      <c r="L7" s="204" t="s">
        <v>297</v>
      </c>
      <c r="M7" s="70">
        <v>31461.79</v>
      </c>
      <c r="N7" s="80"/>
      <c r="O7" s="66">
        <f>M7+N7</f>
        <v>31461.79</v>
      </c>
      <c r="P7" s="148"/>
      <c r="Q7" s="66">
        <v>31461.79</v>
      </c>
      <c r="R7" s="60"/>
      <c r="S7" s="68">
        <f>Q7+R7</f>
        <v>31461.79</v>
      </c>
    </row>
    <row r="8" spans="1:20" ht="33.75" customHeight="1" x14ac:dyDescent="0.25">
      <c r="B8" s="334" t="s">
        <v>371</v>
      </c>
      <c r="C8" s="236" t="s">
        <v>373</v>
      </c>
      <c r="D8" s="331" t="s">
        <v>372</v>
      </c>
      <c r="E8" s="29" t="s">
        <v>374</v>
      </c>
      <c r="F8" s="2" t="s">
        <v>7</v>
      </c>
      <c r="G8" s="186">
        <v>2.63E-2</v>
      </c>
      <c r="H8" s="186">
        <v>0.1845</v>
      </c>
      <c r="I8" s="187">
        <v>45199</v>
      </c>
      <c r="J8" s="187">
        <v>45214</v>
      </c>
      <c r="K8" s="187">
        <v>44378</v>
      </c>
      <c r="L8" s="188" t="s">
        <v>325</v>
      </c>
      <c r="M8" s="70">
        <v>9418.25</v>
      </c>
      <c r="N8" s="70"/>
      <c r="O8" s="67">
        <f>M8+N8</f>
        <v>9418.25</v>
      </c>
      <c r="P8" s="148"/>
      <c r="Q8" s="66">
        <v>9418.25</v>
      </c>
      <c r="R8" s="60"/>
      <c r="S8" s="68">
        <f>Q8+R8</f>
        <v>9418.25</v>
      </c>
    </row>
    <row r="9" spans="1:20" ht="32.450000000000003" customHeight="1" x14ac:dyDescent="0.25">
      <c r="B9" s="2" t="s">
        <v>223</v>
      </c>
      <c r="C9" s="236" t="s">
        <v>333</v>
      </c>
      <c r="D9" s="93" t="s">
        <v>224</v>
      </c>
      <c r="E9" s="2" t="s">
        <v>225</v>
      </c>
      <c r="F9" s="2" t="s">
        <v>7</v>
      </c>
      <c r="G9" s="186">
        <v>2.63E-2</v>
      </c>
      <c r="H9" s="186">
        <v>0.1845</v>
      </c>
      <c r="I9" s="187">
        <v>44834</v>
      </c>
      <c r="J9" s="187">
        <v>44849</v>
      </c>
      <c r="K9" s="187">
        <v>43614</v>
      </c>
      <c r="L9" s="188" t="s">
        <v>274</v>
      </c>
      <c r="M9" s="70">
        <v>250618.82</v>
      </c>
      <c r="N9" s="80"/>
      <c r="O9" s="66">
        <f>M9+N9</f>
        <v>250618.82</v>
      </c>
      <c r="P9" s="148"/>
      <c r="Q9" s="66">
        <v>69222</v>
      </c>
      <c r="R9" s="60"/>
      <c r="S9" s="68">
        <f>Q9+R9</f>
        <v>69222</v>
      </c>
    </row>
    <row r="10" spans="1:20" ht="32.450000000000003" customHeight="1" x14ac:dyDescent="0.25">
      <c r="B10" s="2" t="s">
        <v>275</v>
      </c>
      <c r="C10" s="236" t="s">
        <v>333</v>
      </c>
      <c r="D10" s="93" t="s">
        <v>224</v>
      </c>
      <c r="E10" s="2" t="s">
        <v>276</v>
      </c>
      <c r="F10" s="2" t="s">
        <v>7</v>
      </c>
      <c r="G10" s="186">
        <v>2.63E-2</v>
      </c>
      <c r="H10" s="186">
        <v>0.1845</v>
      </c>
      <c r="I10" s="297">
        <v>44773</v>
      </c>
      <c r="J10" s="297">
        <v>44788</v>
      </c>
      <c r="K10" s="187">
        <v>43980</v>
      </c>
      <c r="L10" s="188" t="s">
        <v>277</v>
      </c>
      <c r="M10" s="79">
        <v>11937.59</v>
      </c>
      <c r="N10" s="70"/>
      <c r="O10" s="67">
        <f>M10+N10</f>
        <v>11937.59</v>
      </c>
      <c r="P10" s="67"/>
      <c r="Q10" s="67"/>
      <c r="R10" s="67"/>
      <c r="S10" s="68">
        <f>Q10+R10</f>
        <v>0</v>
      </c>
    </row>
    <row r="11" spans="1:20" ht="32.450000000000003" customHeight="1" x14ac:dyDescent="0.25">
      <c r="B11" s="2" t="s">
        <v>279</v>
      </c>
      <c r="C11" s="236" t="s">
        <v>333</v>
      </c>
      <c r="D11" s="93" t="s">
        <v>224</v>
      </c>
      <c r="E11" s="2" t="s">
        <v>280</v>
      </c>
      <c r="F11" s="2" t="s">
        <v>7</v>
      </c>
      <c r="G11" s="186">
        <v>2.63E-2</v>
      </c>
      <c r="H11" s="186">
        <v>0.1845</v>
      </c>
      <c r="I11" s="187">
        <v>44592</v>
      </c>
      <c r="J11" s="187">
        <v>44592</v>
      </c>
      <c r="K11" s="187">
        <v>43980</v>
      </c>
      <c r="L11" s="188" t="s">
        <v>332</v>
      </c>
      <c r="M11" s="79">
        <v>3000</v>
      </c>
      <c r="N11" s="67"/>
      <c r="O11" s="67">
        <f t="shared" ref="O11:O19" si="0">M11+N11</f>
        <v>3000</v>
      </c>
      <c r="P11" s="66"/>
      <c r="Q11" s="67"/>
      <c r="R11" s="67"/>
      <c r="S11" s="68">
        <f t="shared" ref="S11:S19" si="1">Q11+R11</f>
        <v>0</v>
      </c>
    </row>
    <row r="12" spans="1:20" ht="32.450000000000003" customHeight="1" x14ac:dyDescent="0.25">
      <c r="B12" s="2" t="s">
        <v>281</v>
      </c>
      <c r="C12" s="236" t="s">
        <v>334</v>
      </c>
      <c r="D12" s="93" t="s">
        <v>231</v>
      </c>
      <c r="E12" s="2" t="s">
        <v>282</v>
      </c>
      <c r="F12" s="2" t="s">
        <v>7</v>
      </c>
      <c r="G12" s="186">
        <v>2.63E-2</v>
      </c>
      <c r="H12" s="186">
        <v>0.1845</v>
      </c>
      <c r="I12" s="187">
        <v>44742</v>
      </c>
      <c r="J12" s="187">
        <v>44757</v>
      </c>
      <c r="K12" s="187">
        <v>43979</v>
      </c>
      <c r="L12" s="188" t="s">
        <v>283</v>
      </c>
      <c r="M12" s="79">
        <v>1027</v>
      </c>
      <c r="N12" s="67"/>
      <c r="O12" s="67">
        <f t="shared" si="0"/>
        <v>1027</v>
      </c>
      <c r="P12" s="66"/>
      <c r="Q12" s="67"/>
      <c r="R12" s="67"/>
      <c r="S12" s="68">
        <f t="shared" si="1"/>
        <v>0</v>
      </c>
    </row>
    <row r="13" spans="1:20" ht="32.450000000000003" customHeight="1" x14ac:dyDescent="0.25">
      <c r="B13" s="2" t="s">
        <v>321</v>
      </c>
      <c r="C13" s="236" t="s">
        <v>333</v>
      </c>
      <c r="D13" s="93" t="s">
        <v>288</v>
      </c>
      <c r="E13" s="2" t="s">
        <v>322</v>
      </c>
      <c r="F13" s="2" t="s">
        <v>7</v>
      </c>
      <c r="G13" s="186">
        <f>G12:H12</f>
        <v>2.63E-2</v>
      </c>
      <c r="H13" s="186">
        <f>H12</f>
        <v>0.1845</v>
      </c>
      <c r="I13" s="187">
        <v>45199</v>
      </c>
      <c r="J13" s="187">
        <v>45214</v>
      </c>
      <c r="K13" s="187">
        <v>44201</v>
      </c>
      <c r="L13" s="188" t="s">
        <v>323</v>
      </c>
      <c r="M13" s="79">
        <v>234360.74</v>
      </c>
      <c r="N13" s="67"/>
      <c r="O13" s="67">
        <f t="shared" si="0"/>
        <v>234360.74</v>
      </c>
      <c r="P13" s="66"/>
      <c r="Q13" s="67">
        <f>133610.74+96013</f>
        <v>229623.74</v>
      </c>
      <c r="R13" s="67"/>
      <c r="S13" s="68">
        <f t="shared" si="1"/>
        <v>229623.74</v>
      </c>
    </row>
    <row r="14" spans="1:20" ht="32.450000000000003" customHeight="1" x14ac:dyDescent="0.25">
      <c r="B14" s="2" t="s">
        <v>324</v>
      </c>
      <c r="C14" s="236" t="s">
        <v>333</v>
      </c>
      <c r="D14" s="93" t="s">
        <v>288</v>
      </c>
      <c r="E14" s="2" t="s">
        <v>329</v>
      </c>
      <c r="F14" s="2" t="s">
        <v>7</v>
      </c>
      <c r="G14" s="186">
        <f>G13:H13</f>
        <v>2.63E-2</v>
      </c>
      <c r="H14" s="186">
        <f>H13</f>
        <v>0.1845</v>
      </c>
      <c r="I14" s="187">
        <v>45199</v>
      </c>
      <c r="J14" s="187">
        <v>45214</v>
      </c>
      <c r="K14" s="187">
        <v>44201</v>
      </c>
      <c r="L14" s="188" t="s">
        <v>325</v>
      </c>
      <c r="M14" s="79">
        <v>37843</v>
      </c>
      <c r="N14" s="67"/>
      <c r="O14" s="67">
        <f t="shared" si="0"/>
        <v>37843</v>
      </c>
      <c r="P14" s="66"/>
      <c r="Q14" s="67"/>
      <c r="R14" s="67"/>
      <c r="S14" s="68">
        <f t="shared" si="1"/>
        <v>0</v>
      </c>
    </row>
    <row r="15" spans="1:20" ht="32.450000000000003" customHeight="1" x14ac:dyDescent="0.25">
      <c r="B15" s="2" t="s">
        <v>326</v>
      </c>
      <c r="C15" s="236" t="s">
        <v>333</v>
      </c>
      <c r="D15" s="93" t="s">
        <v>288</v>
      </c>
      <c r="E15" s="2" t="s">
        <v>330</v>
      </c>
      <c r="F15" s="2" t="s">
        <v>7</v>
      </c>
      <c r="G15" s="186">
        <f>G14:H14</f>
        <v>2.63E-2</v>
      </c>
      <c r="H15" s="186">
        <f>H14</f>
        <v>0.1845</v>
      </c>
      <c r="I15" s="187">
        <v>45199</v>
      </c>
      <c r="J15" s="187">
        <v>45214</v>
      </c>
      <c r="K15" s="187">
        <v>44201</v>
      </c>
      <c r="L15" s="188" t="s">
        <v>323</v>
      </c>
      <c r="M15" s="79">
        <v>61519.69</v>
      </c>
      <c r="N15" s="67"/>
      <c r="O15" s="67">
        <f t="shared" si="0"/>
        <v>61519.69</v>
      </c>
      <c r="P15" s="66"/>
      <c r="Q15" s="67"/>
      <c r="R15" s="67"/>
      <c r="S15" s="68">
        <f t="shared" si="1"/>
        <v>0</v>
      </c>
    </row>
    <row r="16" spans="1:20" ht="32.450000000000003" customHeight="1" x14ac:dyDescent="0.25">
      <c r="B16" s="2" t="s">
        <v>370</v>
      </c>
      <c r="C16" s="236" t="s">
        <v>333</v>
      </c>
      <c r="D16" s="93" t="s">
        <v>288</v>
      </c>
      <c r="E16" s="2" t="s">
        <v>331</v>
      </c>
      <c r="F16" s="2" t="s">
        <v>7</v>
      </c>
      <c r="G16" s="186">
        <f t="shared" ref="G16" si="2">G15:H15</f>
        <v>2.63E-2</v>
      </c>
      <c r="H16" s="186">
        <f t="shared" ref="H16" si="3">H15</f>
        <v>0.1845</v>
      </c>
      <c r="I16" s="187">
        <v>45199</v>
      </c>
      <c r="J16" s="187">
        <v>45214</v>
      </c>
      <c r="K16" s="187">
        <v>44201</v>
      </c>
      <c r="L16" s="188" t="s">
        <v>325</v>
      </c>
      <c r="M16" s="79">
        <v>291193.21999999997</v>
      </c>
      <c r="N16" s="67"/>
      <c r="O16" s="67">
        <f t="shared" si="0"/>
        <v>291193.21999999997</v>
      </c>
      <c r="P16" s="66"/>
      <c r="Q16" s="67"/>
      <c r="R16" s="67"/>
      <c r="S16" s="68">
        <f t="shared" si="1"/>
        <v>0</v>
      </c>
    </row>
    <row r="17" spans="2:19" ht="32.450000000000003" customHeight="1" x14ac:dyDescent="0.25">
      <c r="B17" s="2" t="s">
        <v>287</v>
      </c>
      <c r="C17" s="236" t="s">
        <v>333</v>
      </c>
      <c r="D17" s="93" t="s">
        <v>288</v>
      </c>
      <c r="E17" s="2" t="s">
        <v>289</v>
      </c>
      <c r="F17" s="2" t="s">
        <v>7</v>
      </c>
      <c r="G17" s="186">
        <v>2.63E-2</v>
      </c>
      <c r="H17" s="186">
        <v>0.1845</v>
      </c>
      <c r="I17" s="187">
        <v>45199</v>
      </c>
      <c r="J17" s="187">
        <v>45199</v>
      </c>
      <c r="K17" s="187">
        <v>44201</v>
      </c>
      <c r="L17" s="188" t="s">
        <v>320</v>
      </c>
      <c r="M17" s="79">
        <v>539029.69999999995</v>
      </c>
      <c r="N17" s="67"/>
      <c r="O17" s="67">
        <f t="shared" si="0"/>
        <v>539029.69999999995</v>
      </c>
      <c r="P17" s="66"/>
      <c r="Q17" s="67"/>
      <c r="R17" s="67"/>
      <c r="S17" s="68">
        <f t="shared" si="1"/>
        <v>0</v>
      </c>
    </row>
    <row r="18" spans="2:19" ht="32.450000000000003" customHeight="1" x14ac:dyDescent="0.25">
      <c r="B18" s="2" t="s">
        <v>352</v>
      </c>
      <c r="C18" s="236" t="s">
        <v>353</v>
      </c>
      <c r="D18" s="93" t="s">
        <v>354</v>
      </c>
      <c r="E18" s="2" t="s">
        <v>355</v>
      </c>
      <c r="F18" s="2" t="s">
        <v>7</v>
      </c>
      <c r="G18" s="186">
        <v>2.63E-2</v>
      </c>
      <c r="H18" s="186">
        <v>0.1845</v>
      </c>
      <c r="I18" s="187">
        <v>45565</v>
      </c>
      <c r="J18" s="187">
        <v>45580</v>
      </c>
      <c r="K18" s="187">
        <v>44279</v>
      </c>
      <c r="L18" s="188" t="s">
        <v>356</v>
      </c>
      <c r="M18" s="79">
        <v>2107533.11</v>
      </c>
      <c r="N18" s="67"/>
      <c r="O18" s="67">
        <f t="shared" si="0"/>
        <v>2107533.11</v>
      </c>
      <c r="P18" s="66"/>
      <c r="Q18" s="67"/>
      <c r="R18" s="67"/>
      <c r="S18" s="68">
        <f t="shared" si="1"/>
        <v>0</v>
      </c>
    </row>
    <row r="19" spans="2:19" ht="32.450000000000003" customHeight="1" x14ac:dyDescent="0.25">
      <c r="B19" s="2" t="s">
        <v>357</v>
      </c>
      <c r="C19" s="236" t="s">
        <v>353</v>
      </c>
      <c r="D19" s="93" t="s">
        <v>354</v>
      </c>
      <c r="E19" s="2" t="s">
        <v>358</v>
      </c>
      <c r="F19" s="2" t="s">
        <v>7</v>
      </c>
      <c r="G19" s="186">
        <v>2.63E-2</v>
      </c>
      <c r="H19" s="186">
        <v>0.1845</v>
      </c>
      <c r="I19" s="187">
        <v>45565</v>
      </c>
      <c r="J19" s="187">
        <v>45580</v>
      </c>
      <c r="K19" s="187">
        <v>44279</v>
      </c>
      <c r="L19" s="188" t="s">
        <v>356</v>
      </c>
      <c r="M19" s="79">
        <v>526883.28</v>
      </c>
      <c r="N19" s="67"/>
      <c r="O19" s="67">
        <f t="shared" si="0"/>
        <v>526883.28</v>
      </c>
      <c r="P19" s="66"/>
      <c r="Q19" s="67"/>
      <c r="R19" s="67"/>
      <c r="S19" s="68">
        <f t="shared" si="1"/>
        <v>0</v>
      </c>
    </row>
    <row r="20" spans="2:19" x14ac:dyDescent="0.25">
      <c r="C20" s="93"/>
      <c r="D20" s="93"/>
      <c r="G20" s="123"/>
      <c r="H20" s="124"/>
      <c r="I20" s="116"/>
      <c r="J20" s="116"/>
      <c r="K20" s="116"/>
      <c r="L20" s="93"/>
      <c r="M20" s="32"/>
      <c r="N20" s="147"/>
      <c r="O20" s="25"/>
      <c r="P20" s="67"/>
      <c r="Q20" s="25"/>
      <c r="R20" s="25"/>
      <c r="S20" s="26"/>
    </row>
    <row r="21" spans="2:19" ht="21" customHeight="1" x14ac:dyDescent="0.25">
      <c r="C21" s="92"/>
      <c r="D21" s="92"/>
      <c r="I21" s="116"/>
      <c r="J21" s="116"/>
      <c r="K21" s="116"/>
      <c r="L21" s="5" t="s">
        <v>38</v>
      </c>
      <c r="M21" s="66">
        <f>SUM(M7:M20)</f>
        <v>4105826.1899999995</v>
      </c>
      <c r="N21" s="66">
        <f>SUM(N7:N20)</f>
        <v>0</v>
      </c>
      <c r="O21" s="66">
        <f>SUM(O7:O20)</f>
        <v>4105826.1899999995</v>
      </c>
      <c r="Q21" s="66">
        <f t="shared" ref="Q21:S21" si="4">SUM(Q7:Q20)</f>
        <v>339725.78</v>
      </c>
      <c r="R21" s="66">
        <f t="shared" si="4"/>
        <v>0</v>
      </c>
      <c r="S21" s="23">
        <f t="shared" si="4"/>
        <v>339725.78</v>
      </c>
    </row>
    <row r="22" spans="2:19" x14ac:dyDescent="0.25">
      <c r="C22" s="92"/>
      <c r="D22" s="92"/>
      <c r="I22" s="116"/>
      <c r="J22" s="116"/>
      <c r="K22" s="116"/>
      <c r="L22" s="5"/>
      <c r="M22" s="66"/>
      <c r="N22" s="66"/>
      <c r="O22" s="66"/>
      <c r="Q22" s="66"/>
      <c r="R22" s="66"/>
      <c r="S22" s="68"/>
    </row>
    <row r="23" spans="2:19" x14ac:dyDescent="0.25">
      <c r="B23" s="8" t="s">
        <v>125</v>
      </c>
      <c r="C23" s="92"/>
      <c r="D23" s="92"/>
      <c r="L23" s="5"/>
      <c r="M23" s="66"/>
      <c r="N23" s="66"/>
      <c r="O23" s="66"/>
      <c r="Q23" s="66"/>
      <c r="R23" s="66"/>
      <c r="S23" s="68"/>
    </row>
    <row r="24" spans="2:19" ht="29.25" customHeight="1" x14ac:dyDescent="0.25">
      <c r="B24" s="341" t="s">
        <v>126</v>
      </c>
      <c r="C24" s="341"/>
      <c r="D24" s="341"/>
      <c r="E24" s="341"/>
      <c r="F24" s="341"/>
      <c r="L24" s="5"/>
      <c r="M24" s="66"/>
      <c r="N24" s="66"/>
      <c r="O24" s="66"/>
      <c r="Q24" s="66"/>
      <c r="R24" s="66"/>
      <c r="S24" s="68"/>
    </row>
    <row r="25" spans="2:19" x14ac:dyDescent="0.25">
      <c r="C25" s="92"/>
      <c r="D25" s="92"/>
      <c r="L25" s="5"/>
      <c r="M25" s="66"/>
      <c r="N25" s="66"/>
      <c r="O25" s="66"/>
      <c r="Q25" s="66"/>
      <c r="R25" s="66"/>
      <c r="S25" s="68"/>
    </row>
    <row r="26" spans="2:19" ht="48.75" customHeight="1" x14ac:dyDescent="0.25">
      <c r="B26" s="341" t="s">
        <v>129</v>
      </c>
      <c r="C26" s="341"/>
      <c r="D26" s="341"/>
      <c r="E26" s="341"/>
      <c r="F26" s="341"/>
      <c r="L26" s="5"/>
      <c r="M26" s="66"/>
      <c r="N26" s="66"/>
      <c r="O26" s="66"/>
      <c r="Q26" s="66"/>
      <c r="R26" s="66"/>
      <c r="S26" s="68"/>
    </row>
    <row r="27" spans="2:19" x14ac:dyDescent="0.25">
      <c r="B27" s="193"/>
      <c r="C27" s="193"/>
      <c r="D27" s="193"/>
      <c r="E27" s="193"/>
      <c r="F27" s="193"/>
      <c r="L27" s="5"/>
      <c r="M27" s="66"/>
      <c r="N27" s="66"/>
      <c r="O27" s="66"/>
      <c r="Q27" s="66"/>
      <c r="R27" s="66"/>
      <c r="S27" s="68"/>
    </row>
    <row r="28" spans="2:19" ht="32.25" customHeight="1" x14ac:dyDescent="0.25">
      <c r="B28" s="341" t="s">
        <v>160</v>
      </c>
      <c r="C28" s="341"/>
      <c r="D28" s="341"/>
      <c r="E28" s="341"/>
      <c r="F28" s="341"/>
      <c r="L28" s="5"/>
      <c r="M28" s="66"/>
      <c r="N28" s="66"/>
      <c r="O28" s="66"/>
      <c r="Q28" s="66"/>
      <c r="R28" s="66"/>
      <c r="S28" s="68"/>
    </row>
    <row r="29" spans="2:19" ht="15" customHeight="1" x14ac:dyDescent="0.25">
      <c r="B29" s="347" t="s">
        <v>159</v>
      </c>
      <c r="C29" s="341"/>
      <c r="D29" s="341"/>
      <c r="E29" s="341"/>
      <c r="F29" s="341"/>
      <c r="L29" s="5"/>
      <c r="M29" s="66"/>
      <c r="N29" s="66"/>
      <c r="O29" s="66"/>
      <c r="Q29" s="66"/>
      <c r="R29" s="66"/>
      <c r="S29" s="68"/>
    </row>
    <row r="30" spans="2:19" ht="15" customHeight="1" x14ac:dyDescent="0.25">
      <c r="B30" s="195"/>
      <c r="C30" s="195"/>
      <c r="D30" s="195"/>
      <c r="E30" s="195"/>
      <c r="L30" s="5"/>
      <c r="M30" s="66"/>
      <c r="N30" s="66"/>
      <c r="O30" s="66"/>
      <c r="Q30" s="66"/>
      <c r="R30" s="66"/>
      <c r="S30" s="68"/>
    </row>
    <row r="31" spans="2:19" x14ac:dyDescent="0.25">
      <c r="B31" s="108"/>
      <c r="C31" s="108"/>
      <c r="D31" s="108"/>
      <c r="E31" s="108"/>
      <c r="L31" s="5"/>
      <c r="M31" s="66"/>
      <c r="N31" s="66"/>
      <c r="O31" s="66"/>
      <c r="Q31" s="66"/>
      <c r="R31" s="66"/>
      <c r="S31" s="68"/>
    </row>
    <row r="32" spans="2:19" x14ac:dyDescent="0.25">
      <c r="B32" s="7" t="s">
        <v>109</v>
      </c>
      <c r="C32" s="101" t="s">
        <v>112</v>
      </c>
      <c r="D32" s="101" t="s">
        <v>113</v>
      </c>
      <c r="E32" s="108"/>
      <c r="L32" s="5"/>
      <c r="M32" s="66"/>
      <c r="N32" s="66"/>
      <c r="O32" s="66"/>
      <c r="Q32" s="66"/>
      <c r="R32" s="66"/>
      <c r="S32" s="68"/>
    </row>
    <row r="33" spans="2:20" x14ac:dyDescent="0.25">
      <c r="B33" s="103" t="s">
        <v>111</v>
      </c>
      <c r="C33" s="92" t="s">
        <v>300</v>
      </c>
      <c r="D33" s="92" t="s">
        <v>303</v>
      </c>
      <c r="L33" s="5"/>
      <c r="M33" s="66"/>
      <c r="N33" s="66"/>
      <c r="O33" s="66"/>
      <c r="Q33" s="66"/>
      <c r="R33" s="66"/>
      <c r="S33" s="68"/>
    </row>
    <row r="34" spans="2:20" ht="15" customHeight="1" x14ac:dyDescent="0.25">
      <c r="B34" s="2" t="s">
        <v>230</v>
      </c>
      <c r="C34" s="92" t="s">
        <v>135</v>
      </c>
      <c r="D34" s="92" t="s">
        <v>147</v>
      </c>
      <c r="L34" s="5"/>
      <c r="M34" s="66"/>
      <c r="N34" s="66"/>
      <c r="O34" s="66"/>
      <c r="Q34" s="66"/>
      <c r="R34" s="66"/>
      <c r="S34" s="68"/>
    </row>
    <row r="35" spans="2:20" ht="15" customHeight="1" x14ac:dyDescent="0.25">
      <c r="B35" s="2" t="s">
        <v>275</v>
      </c>
      <c r="C35" s="92" t="s">
        <v>135</v>
      </c>
      <c r="D35" s="92" t="s">
        <v>147</v>
      </c>
      <c r="L35" s="5"/>
      <c r="M35" s="66"/>
      <c r="N35" s="66"/>
      <c r="O35" s="66"/>
      <c r="Q35" s="66"/>
      <c r="R35" s="66"/>
      <c r="S35" s="68"/>
    </row>
    <row r="36" spans="2:20" ht="15" customHeight="1" x14ac:dyDescent="0.25">
      <c r="B36" s="2" t="s">
        <v>279</v>
      </c>
      <c r="C36" s="92" t="s">
        <v>135</v>
      </c>
      <c r="D36" s="92" t="s">
        <v>147</v>
      </c>
      <c r="L36" s="5"/>
      <c r="M36" s="66"/>
      <c r="N36" s="66"/>
      <c r="O36" s="66"/>
      <c r="Q36" s="66"/>
      <c r="R36" s="66"/>
      <c r="S36" s="68"/>
    </row>
    <row r="37" spans="2:20" ht="15" customHeight="1" x14ac:dyDescent="0.25">
      <c r="B37" s="2" t="s">
        <v>281</v>
      </c>
      <c r="C37" s="92" t="s">
        <v>135</v>
      </c>
      <c r="D37" s="92" t="s">
        <v>147</v>
      </c>
      <c r="L37" s="5"/>
      <c r="M37" s="66"/>
      <c r="N37" s="66"/>
      <c r="O37" s="66"/>
      <c r="Q37" s="66"/>
      <c r="R37" s="66"/>
      <c r="S37" s="68"/>
    </row>
    <row r="38" spans="2:20" ht="15" customHeight="1" x14ac:dyDescent="0.25">
      <c r="B38" s="2" t="s">
        <v>286</v>
      </c>
      <c r="C38" s="92" t="s">
        <v>135</v>
      </c>
      <c r="D38" s="92" t="s">
        <v>147</v>
      </c>
      <c r="L38" s="5"/>
      <c r="M38" s="66"/>
      <c r="N38" s="66"/>
      <c r="O38" s="66"/>
      <c r="Q38" s="66"/>
      <c r="R38" s="66"/>
      <c r="S38" s="68"/>
    </row>
    <row r="39" spans="2:20" ht="15" customHeight="1" x14ac:dyDescent="0.25">
      <c r="C39" s="92"/>
      <c r="D39" s="92"/>
      <c r="L39" s="5"/>
      <c r="M39" s="66"/>
      <c r="N39" s="66"/>
      <c r="O39" s="66"/>
      <c r="Q39" s="66"/>
      <c r="R39" s="66"/>
      <c r="S39" s="68"/>
    </row>
    <row r="40" spans="2:20" x14ac:dyDescent="0.25">
      <c r="B40" s="270" t="s">
        <v>298</v>
      </c>
      <c r="C40" s="92"/>
      <c r="D40" s="92"/>
      <c r="H40" s="261"/>
      <c r="L40" s="5"/>
      <c r="M40" s="66"/>
      <c r="N40" s="66"/>
      <c r="O40" s="66"/>
      <c r="Q40" s="66"/>
      <c r="R40" s="66"/>
      <c r="S40" s="68"/>
    </row>
    <row r="41" spans="2:20" x14ac:dyDescent="0.25">
      <c r="B41" s="267" t="s">
        <v>299</v>
      </c>
      <c r="C41" s="92"/>
      <c r="D41" s="92"/>
      <c r="L41" s="5"/>
      <c r="M41" s="66"/>
      <c r="N41" s="66"/>
      <c r="O41" s="66"/>
      <c r="Q41" s="66"/>
      <c r="R41" s="66"/>
      <c r="S41" s="68"/>
    </row>
    <row r="42" spans="2:20" x14ac:dyDescent="0.25">
      <c r="B42" s="10"/>
      <c r="C42" s="10"/>
      <c r="D42" s="10"/>
      <c r="E42" s="10"/>
      <c r="F42" s="10"/>
      <c r="G42" s="10"/>
      <c r="H42" s="10"/>
      <c r="I42" s="10"/>
      <c r="J42" s="10"/>
      <c r="K42" s="10"/>
      <c r="L42" s="10"/>
      <c r="M42" s="10"/>
      <c r="N42" s="10"/>
      <c r="O42" s="10"/>
      <c r="P42" s="10"/>
      <c r="Q42" s="10"/>
      <c r="R42" s="10"/>
      <c r="S42" s="28"/>
    </row>
    <row r="43" spans="2:20" x14ac:dyDescent="0.25">
      <c r="P43" s="29"/>
      <c r="Q43" s="58" t="s">
        <v>90</v>
      </c>
      <c r="R43" s="51"/>
      <c r="S43" s="172"/>
    </row>
    <row r="44" spans="2:20" ht="15" customHeight="1" x14ac:dyDescent="0.25">
      <c r="B44" s="17" t="s">
        <v>39</v>
      </c>
      <c r="C44" s="96" t="s">
        <v>2</v>
      </c>
      <c r="D44" s="96"/>
      <c r="E44" s="96" t="s">
        <v>34</v>
      </c>
      <c r="F44" s="96" t="s">
        <v>35</v>
      </c>
      <c r="G44" s="120"/>
      <c r="H44" s="120"/>
      <c r="I44" s="114"/>
      <c r="J44" s="96"/>
      <c r="K44" s="96"/>
      <c r="L44" s="96" t="s">
        <v>36</v>
      </c>
      <c r="M44" s="96" t="s">
        <v>37</v>
      </c>
      <c r="N44" s="10"/>
      <c r="O44" s="10"/>
      <c r="P44" s="10"/>
      <c r="Q44" s="54" t="s">
        <v>88</v>
      </c>
      <c r="R44" s="54"/>
      <c r="S44" s="55"/>
    </row>
    <row r="45" spans="2:20" ht="15" customHeight="1" x14ac:dyDescent="0.25">
      <c r="B45" s="63"/>
      <c r="C45" s="9"/>
      <c r="D45" s="9"/>
      <c r="E45" s="9"/>
      <c r="F45" s="9"/>
      <c r="G45" s="9"/>
      <c r="H45" s="9"/>
      <c r="I45" s="9"/>
      <c r="J45" s="9"/>
      <c r="K45" s="9"/>
      <c r="L45" s="9"/>
      <c r="M45" s="9"/>
      <c r="Q45" s="58"/>
      <c r="R45" s="51"/>
      <c r="S45" s="51"/>
    </row>
    <row r="46" spans="2:20" ht="15" customHeight="1" x14ac:dyDescent="0.25">
      <c r="B46" s="63"/>
      <c r="C46" s="9"/>
      <c r="D46" s="9"/>
      <c r="E46" s="9"/>
      <c r="F46" s="9"/>
      <c r="G46" s="9"/>
      <c r="H46" s="9"/>
      <c r="I46" s="9"/>
      <c r="J46" s="9"/>
      <c r="K46" s="9"/>
      <c r="L46" s="9"/>
      <c r="M46" s="9"/>
      <c r="R46" s="51"/>
      <c r="S46" s="51"/>
    </row>
    <row r="47" spans="2:20" x14ac:dyDescent="0.25">
      <c r="B47" s="11"/>
      <c r="C47" s="9"/>
      <c r="D47" s="9"/>
      <c r="E47" s="9"/>
      <c r="N47" s="45"/>
      <c r="O47" s="45"/>
      <c r="P47" s="45"/>
      <c r="Q47" s="51"/>
      <c r="R47" s="51"/>
      <c r="S47" s="51"/>
      <c r="T47" s="51"/>
    </row>
    <row r="48" spans="2:20" x14ac:dyDescent="0.25">
      <c r="B48" s="11"/>
      <c r="C48" s="148"/>
      <c r="D48" s="148"/>
      <c r="E48" s="148"/>
      <c r="N48" s="45"/>
      <c r="O48" s="45"/>
      <c r="P48" s="45"/>
      <c r="Q48" s="51"/>
      <c r="R48" s="51"/>
      <c r="S48" s="51"/>
      <c r="T48" s="51"/>
    </row>
    <row r="49" spans="2:20" x14ac:dyDescent="0.25">
      <c r="B49" s="11"/>
      <c r="C49" s="148"/>
      <c r="D49" s="148"/>
      <c r="E49" s="148"/>
      <c r="N49" s="45"/>
      <c r="O49" s="45"/>
      <c r="P49" s="45"/>
      <c r="Q49" s="51"/>
      <c r="R49" s="51"/>
      <c r="S49" s="51"/>
      <c r="T49" s="51"/>
    </row>
    <row r="50" spans="2:20" x14ac:dyDescent="0.25">
      <c r="B50" s="11"/>
      <c r="C50" s="148"/>
      <c r="D50" s="148"/>
      <c r="E50" s="148"/>
      <c r="N50" s="45"/>
      <c r="O50" s="45"/>
      <c r="P50" s="45"/>
      <c r="Q50" s="51"/>
      <c r="R50" s="51"/>
      <c r="S50" s="51"/>
      <c r="T50" s="51"/>
    </row>
    <row r="51" spans="2:20" x14ac:dyDescent="0.25">
      <c r="B51" s="11"/>
      <c r="C51" s="148"/>
      <c r="D51" s="148"/>
      <c r="E51" s="148"/>
      <c r="N51" s="45"/>
      <c r="O51" s="45"/>
      <c r="P51" s="45"/>
      <c r="Q51" s="51"/>
      <c r="R51" s="51"/>
      <c r="S51" s="51"/>
      <c r="T51" s="51"/>
    </row>
    <row r="52" spans="2:20" x14ac:dyDescent="0.25">
      <c r="B52" s="11"/>
      <c r="C52" s="148"/>
      <c r="D52" s="148"/>
      <c r="E52" s="148"/>
      <c r="N52" s="45"/>
      <c r="O52" s="45"/>
      <c r="P52" s="45"/>
      <c r="Q52" s="51"/>
      <c r="R52" s="51"/>
      <c r="S52" s="51"/>
      <c r="T52" s="51"/>
    </row>
    <row r="53" spans="2:20" x14ac:dyDescent="0.25">
      <c r="B53" s="11"/>
      <c r="C53" s="9"/>
      <c r="D53" s="9"/>
      <c r="E53" s="9"/>
      <c r="N53" s="45"/>
      <c r="O53" s="45"/>
      <c r="P53" s="45"/>
      <c r="Q53" s="51"/>
      <c r="R53" s="51"/>
      <c r="S53" s="51"/>
      <c r="T53" s="51"/>
    </row>
    <row r="54" spans="2:20" x14ac:dyDescent="0.25">
      <c r="B54" s="11"/>
      <c r="C54" s="9"/>
      <c r="D54" s="9"/>
      <c r="E54" s="9"/>
      <c r="N54" s="45"/>
      <c r="O54" s="45"/>
      <c r="P54" s="45"/>
      <c r="Q54" s="51"/>
      <c r="R54" s="51"/>
      <c r="S54" s="51"/>
      <c r="T54" s="51"/>
    </row>
    <row r="55" spans="2:20" x14ac:dyDescent="0.25">
      <c r="Q55" s="309" t="s">
        <v>316</v>
      </c>
      <c r="R55" s="309"/>
      <c r="S55" s="310">
        <f>S21</f>
        <v>339725.78</v>
      </c>
    </row>
  </sheetData>
  <mergeCells count="6">
    <mergeCell ref="B29:F29"/>
    <mergeCell ref="Q2:S2"/>
    <mergeCell ref="Q1:S1"/>
    <mergeCell ref="B28:F28"/>
    <mergeCell ref="B24:F24"/>
    <mergeCell ref="B26:F26"/>
  </mergeCells>
  <hyperlinks>
    <hyperlink ref="B29" r:id="rId1"/>
  </hyperlinks>
  <printOptions horizontalCentered="1" gridLines="1"/>
  <pageMargins left="0" right="0" top="0.75" bottom="0.75" header="0.3" footer="0.3"/>
  <pageSetup scale="54" orientation="landscape" horizontalDpi="1200" verticalDpi="1200"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5"/>
  <sheetViews>
    <sheetView topLeftCell="C11" zoomScale="90" zoomScaleNormal="90" workbookViewId="0">
      <selection activeCell="R20" sqref="R20"/>
    </sheetView>
  </sheetViews>
  <sheetFormatPr defaultColWidth="9.140625" defaultRowHeight="15" x14ac:dyDescent="0.25"/>
  <cols>
    <col min="1" max="1" width="5.7109375" style="2" hidden="1" customWidth="1"/>
    <col min="2" max="2" width="58.42578125" style="2" customWidth="1"/>
    <col min="3" max="3" width="27.140625" style="2" customWidth="1"/>
    <col min="4" max="4" width="13.7109375" style="2" customWidth="1"/>
    <col min="5" max="5" width="17" style="2" bestFit="1" customWidth="1"/>
    <col min="6" max="6" width="21.7109375" style="2" customWidth="1"/>
    <col min="7" max="7" width="10.28515625" style="2" customWidth="1"/>
    <col min="8" max="8" width="12.85546875" style="2" customWidth="1"/>
    <col min="9" max="9" width="13.42578125" style="2" customWidth="1"/>
    <col min="10" max="10" width="15.7109375" style="2" customWidth="1"/>
    <col min="11" max="11" width="8.85546875" style="2" customWidth="1"/>
    <col min="12" max="12" width="18.7109375" style="2" customWidth="1"/>
    <col min="13" max="13" width="13.28515625" style="2" bestFit="1" customWidth="1"/>
    <col min="14" max="14" width="13.7109375" style="2" customWidth="1"/>
    <col min="15" max="15" width="14.42578125" style="2" customWidth="1"/>
    <col min="16" max="16" width="3.140625" style="2" customWidth="1"/>
    <col min="17" max="17" width="12" style="2" customWidth="1"/>
    <col min="18" max="18" width="14.140625" style="2" customWidth="1"/>
    <col min="19" max="19" width="16.7109375" style="2" customWidth="1"/>
    <col min="20" max="16384" width="9.140625" style="2"/>
  </cols>
  <sheetData>
    <row r="1" spans="1:20" ht="18" customHeight="1" x14ac:dyDescent="0.25">
      <c r="B1" s="8" t="s">
        <v>192</v>
      </c>
      <c r="Q1" s="338" t="s">
        <v>296</v>
      </c>
      <c r="R1" s="338"/>
      <c r="S1" s="338"/>
    </row>
    <row r="2" spans="1:20" ht="18" customHeight="1" x14ac:dyDescent="0.25">
      <c r="B2" s="88" t="s">
        <v>148</v>
      </c>
      <c r="C2" s="182">
        <v>44742</v>
      </c>
      <c r="M2" s="71"/>
      <c r="N2" s="71"/>
      <c r="P2" s="29"/>
      <c r="Q2" s="337" t="s">
        <v>375</v>
      </c>
      <c r="R2" s="337"/>
      <c r="S2" s="337"/>
    </row>
    <row r="3" spans="1:20" ht="18" customHeight="1" thickBot="1" x14ac:dyDescent="0.3">
      <c r="A3" s="2" t="s">
        <v>16</v>
      </c>
      <c r="B3" s="44" t="s">
        <v>191</v>
      </c>
      <c r="C3" s="8"/>
      <c r="D3" s="8"/>
      <c r="E3" s="8"/>
      <c r="P3" s="29"/>
      <c r="Q3" s="45"/>
      <c r="R3" s="30"/>
    </row>
    <row r="4" spans="1:20" ht="18.75" customHeight="1" x14ac:dyDescent="0.25">
      <c r="B4" s="8" t="s">
        <v>194</v>
      </c>
      <c r="M4" s="85" t="s">
        <v>28</v>
      </c>
      <c r="N4" s="85" t="s">
        <v>28</v>
      </c>
      <c r="O4" s="85" t="s">
        <v>28</v>
      </c>
      <c r="P4" s="148"/>
      <c r="Q4" s="89" t="s">
        <v>29</v>
      </c>
      <c r="R4" s="89" t="s">
        <v>31</v>
      </c>
      <c r="S4" s="89" t="s">
        <v>23</v>
      </c>
      <c r="T4" s="7"/>
    </row>
    <row r="5" spans="1:20" ht="15.75" thickBot="1" x14ac:dyDescent="0.3">
      <c r="G5" s="183" t="s">
        <v>295</v>
      </c>
      <c r="H5" s="183" t="s">
        <v>295</v>
      </c>
      <c r="M5" s="86" t="s">
        <v>27</v>
      </c>
      <c r="N5" s="86" t="s">
        <v>26</v>
      </c>
      <c r="O5" s="86" t="s">
        <v>25</v>
      </c>
      <c r="P5" s="148"/>
      <c r="Q5" s="90" t="s">
        <v>30</v>
      </c>
      <c r="R5" s="90" t="s">
        <v>30</v>
      </c>
      <c r="S5" s="90" t="s">
        <v>30</v>
      </c>
      <c r="T5" s="7"/>
    </row>
    <row r="6" spans="1:20" ht="85.5" customHeight="1" thickBot="1" x14ac:dyDescent="0.3">
      <c r="B6" s="84" t="s">
        <v>1</v>
      </c>
      <c r="C6" s="84" t="s">
        <v>389</v>
      </c>
      <c r="D6" s="84" t="s">
        <v>107</v>
      </c>
      <c r="E6" s="84" t="s">
        <v>3</v>
      </c>
      <c r="F6" s="84" t="s">
        <v>4</v>
      </c>
      <c r="G6" s="107" t="s">
        <v>136</v>
      </c>
      <c r="H6" s="107" t="s">
        <v>137</v>
      </c>
      <c r="I6" s="107" t="s">
        <v>133</v>
      </c>
      <c r="J6" s="107" t="s">
        <v>134</v>
      </c>
      <c r="K6" s="107" t="s">
        <v>121</v>
      </c>
      <c r="L6" s="83" t="s">
        <v>5</v>
      </c>
      <c r="M6" s="87" t="s">
        <v>6</v>
      </c>
      <c r="N6" s="87" t="s">
        <v>6</v>
      </c>
      <c r="O6" s="87" t="s">
        <v>6</v>
      </c>
      <c r="P6" s="148"/>
      <c r="Q6" s="91"/>
      <c r="R6" s="97" t="s">
        <v>32</v>
      </c>
      <c r="S6" s="98" t="s">
        <v>33</v>
      </c>
    </row>
    <row r="7" spans="1:20" hidden="1" x14ac:dyDescent="0.25">
      <c r="B7" s="231"/>
      <c r="C7" s="110"/>
      <c r="D7" s="92" t="s">
        <v>212</v>
      </c>
      <c r="E7" s="2" t="s">
        <v>217</v>
      </c>
      <c r="F7" s="2" t="s">
        <v>7</v>
      </c>
      <c r="G7" s="186">
        <v>2.9600000000000001E-2</v>
      </c>
      <c r="H7" s="186">
        <v>0.1744</v>
      </c>
      <c r="I7" s="187">
        <v>44377</v>
      </c>
      <c r="J7" s="187">
        <v>44378</v>
      </c>
      <c r="K7" s="187">
        <v>44013</v>
      </c>
      <c r="L7" s="188" t="s">
        <v>219</v>
      </c>
      <c r="M7" s="78"/>
      <c r="N7" s="67"/>
      <c r="O7" s="67"/>
      <c r="P7" s="67"/>
      <c r="Q7" s="67"/>
      <c r="R7" s="67"/>
      <c r="S7" s="68"/>
    </row>
    <row r="8" spans="1:20" ht="21.75" customHeight="1" x14ac:dyDescent="0.25">
      <c r="B8" s="344" t="s">
        <v>193</v>
      </c>
      <c r="C8" s="251" t="s">
        <v>190</v>
      </c>
      <c r="D8" s="36" t="s">
        <v>164</v>
      </c>
      <c r="E8" s="36" t="s">
        <v>216</v>
      </c>
      <c r="F8" s="36" t="s">
        <v>7</v>
      </c>
      <c r="G8" s="252">
        <v>2.63E-2</v>
      </c>
      <c r="H8" s="252">
        <v>0.1845</v>
      </c>
      <c r="I8" s="253">
        <v>44444</v>
      </c>
      <c r="J8" s="253">
        <v>44459</v>
      </c>
      <c r="K8" s="253">
        <v>42644</v>
      </c>
      <c r="L8" s="188" t="s">
        <v>293</v>
      </c>
      <c r="M8" s="247">
        <v>484272.32</v>
      </c>
      <c r="N8" s="67">
        <v>295563</v>
      </c>
      <c r="O8" s="66">
        <f>M8+N8</f>
        <v>779835.32000000007</v>
      </c>
      <c r="P8" s="67"/>
      <c r="Q8" s="67">
        <f>90695.86+57488.45+46327.54</f>
        <v>194511.85</v>
      </c>
      <c r="R8" s="67"/>
      <c r="S8" s="68">
        <f>Q8+R8</f>
        <v>194511.85</v>
      </c>
    </row>
    <row r="9" spans="1:20" x14ac:dyDescent="0.25">
      <c r="B9" s="344"/>
      <c r="C9" s="251"/>
      <c r="D9" s="36"/>
      <c r="E9" s="36"/>
      <c r="F9" s="36"/>
      <c r="G9" s="252"/>
      <c r="H9" s="252"/>
      <c r="I9" s="253"/>
      <c r="J9" s="253"/>
      <c r="K9" s="253"/>
      <c r="L9" s="36"/>
      <c r="N9" s="29"/>
      <c r="P9" s="29"/>
      <c r="Q9" s="29"/>
      <c r="R9" s="29"/>
      <c r="S9" s="248"/>
    </row>
    <row r="10" spans="1:20" ht="30" customHeight="1" x14ac:dyDescent="0.25">
      <c r="B10" s="2" t="s">
        <v>223</v>
      </c>
      <c r="C10" s="236" t="s">
        <v>333</v>
      </c>
      <c r="D10" s="93" t="s">
        <v>224</v>
      </c>
      <c r="E10" s="2" t="s">
        <v>225</v>
      </c>
      <c r="F10" s="2" t="s">
        <v>7</v>
      </c>
      <c r="G10" s="252">
        <v>2.63E-2</v>
      </c>
      <c r="H10" s="252">
        <v>0.1845</v>
      </c>
      <c r="I10" s="116">
        <v>44834</v>
      </c>
      <c r="J10" s="116">
        <v>44849</v>
      </c>
      <c r="K10" s="116">
        <v>43614</v>
      </c>
      <c r="L10" s="188" t="s">
        <v>274</v>
      </c>
      <c r="M10" s="66">
        <v>35788.58</v>
      </c>
      <c r="N10" s="29"/>
      <c r="O10" s="66">
        <f>M10+N10</f>
        <v>35788.58</v>
      </c>
      <c r="P10" s="29"/>
      <c r="Q10" s="29"/>
      <c r="R10" s="29"/>
      <c r="S10" s="68">
        <f>Q10+R10</f>
        <v>0</v>
      </c>
    </row>
    <row r="11" spans="1:20" ht="30" customHeight="1" x14ac:dyDescent="0.25">
      <c r="B11" s="2" t="s">
        <v>275</v>
      </c>
      <c r="C11" s="236" t="s">
        <v>333</v>
      </c>
      <c r="D11" s="93" t="s">
        <v>224</v>
      </c>
      <c r="E11" s="2" t="s">
        <v>276</v>
      </c>
      <c r="F11" s="2" t="s">
        <v>7</v>
      </c>
      <c r="G11" s="252">
        <v>2.63E-2</v>
      </c>
      <c r="H11" s="252">
        <v>0.1845</v>
      </c>
      <c r="I11" s="297">
        <v>44773</v>
      </c>
      <c r="J11" s="297">
        <v>44788</v>
      </c>
      <c r="K11" s="187">
        <v>43980</v>
      </c>
      <c r="L11" s="188" t="s">
        <v>277</v>
      </c>
      <c r="M11" s="79">
        <v>2281.38</v>
      </c>
      <c r="N11" s="70"/>
      <c r="O11" s="66">
        <f>M11+N11</f>
        <v>2281.38</v>
      </c>
      <c r="P11" s="67"/>
      <c r="Q11" s="67"/>
      <c r="R11" s="67"/>
      <c r="S11" s="68">
        <f>Q11+R11</f>
        <v>0</v>
      </c>
    </row>
    <row r="12" spans="1:20" ht="30" customHeight="1" x14ac:dyDescent="0.25">
      <c r="B12" s="2" t="s">
        <v>279</v>
      </c>
      <c r="C12" s="236" t="s">
        <v>333</v>
      </c>
      <c r="D12" s="93" t="s">
        <v>224</v>
      </c>
      <c r="E12" s="2" t="s">
        <v>280</v>
      </c>
      <c r="F12" s="2" t="s">
        <v>7</v>
      </c>
      <c r="G12" s="252">
        <v>2.63E-2</v>
      </c>
      <c r="H12" s="252">
        <v>0.1845</v>
      </c>
      <c r="I12" s="187">
        <v>44592</v>
      </c>
      <c r="J12" s="187">
        <v>44592</v>
      </c>
      <c r="K12" s="187">
        <v>43980</v>
      </c>
      <c r="L12" s="188" t="s">
        <v>332</v>
      </c>
      <c r="M12" s="79">
        <v>3000</v>
      </c>
      <c r="N12" s="67"/>
      <c r="O12" s="66">
        <f>M12+N12</f>
        <v>3000</v>
      </c>
      <c r="P12" s="66"/>
      <c r="Q12" s="67"/>
      <c r="R12" s="67"/>
      <c r="S12" s="68">
        <f>Q12+R12</f>
        <v>0</v>
      </c>
    </row>
    <row r="13" spans="1:20" ht="30" customHeight="1" x14ac:dyDescent="0.25">
      <c r="B13" s="2" t="s">
        <v>281</v>
      </c>
      <c r="C13" s="236" t="s">
        <v>334</v>
      </c>
      <c r="D13" s="93" t="s">
        <v>231</v>
      </c>
      <c r="E13" s="2" t="s">
        <v>282</v>
      </c>
      <c r="F13" s="2" t="s">
        <v>7</v>
      </c>
      <c r="G13" s="252">
        <v>2.63E-2</v>
      </c>
      <c r="H13" s="252">
        <v>0.1845</v>
      </c>
      <c r="I13" s="187">
        <v>44742</v>
      </c>
      <c r="J13" s="187">
        <v>44757</v>
      </c>
      <c r="K13" s="187">
        <v>43979</v>
      </c>
      <c r="L13" s="188" t="s">
        <v>283</v>
      </c>
      <c r="M13" s="79">
        <v>1027</v>
      </c>
      <c r="N13" s="67"/>
      <c r="O13" s="66">
        <f>M13+N13</f>
        <v>1027</v>
      </c>
      <c r="P13" s="66"/>
      <c r="Q13" s="67"/>
      <c r="R13" s="67"/>
      <c r="S13" s="68">
        <f>Q13+R13</f>
        <v>0</v>
      </c>
    </row>
    <row r="14" spans="1:20" ht="30" customHeight="1" x14ac:dyDescent="0.25">
      <c r="B14" s="2" t="s">
        <v>321</v>
      </c>
      <c r="C14" s="236" t="s">
        <v>333</v>
      </c>
      <c r="D14" s="93" t="s">
        <v>288</v>
      </c>
      <c r="E14" s="2" t="s">
        <v>322</v>
      </c>
      <c r="F14" s="2" t="s">
        <v>7</v>
      </c>
      <c r="G14" s="186">
        <f>G13:H13</f>
        <v>2.63E-2</v>
      </c>
      <c r="H14" s="186">
        <f>H13</f>
        <v>0.1845</v>
      </c>
      <c r="I14" s="187">
        <v>45199</v>
      </c>
      <c r="J14" s="187">
        <v>45214</v>
      </c>
      <c r="K14" s="187">
        <v>44201</v>
      </c>
      <c r="L14" s="188" t="s">
        <v>323</v>
      </c>
      <c r="M14" s="79">
        <v>40375.370000000003</v>
      </c>
      <c r="N14" s="67"/>
      <c r="O14" s="67">
        <f t="shared" ref="O14:O17" si="0">M14+N14</f>
        <v>40375.370000000003</v>
      </c>
      <c r="P14" s="66"/>
      <c r="Q14" s="67">
        <v>40143.480000000003</v>
      </c>
      <c r="R14" s="67"/>
      <c r="S14" s="68">
        <f t="shared" ref="S14:S17" si="1">Q14+R14</f>
        <v>40143.480000000003</v>
      </c>
    </row>
    <row r="15" spans="1:20" ht="30" customHeight="1" x14ac:dyDescent="0.25">
      <c r="B15" s="2" t="s">
        <v>324</v>
      </c>
      <c r="C15" s="236" t="s">
        <v>333</v>
      </c>
      <c r="D15" s="93" t="s">
        <v>288</v>
      </c>
      <c r="E15" s="2" t="s">
        <v>329</v>
      </c>
      <c r="F15" s="2" t="s">
        <v>7</v>
      </c>
      <c r="G15" s="186">
        <f>G14:H14</f>
        <v>2.63E-2</v>
      </c>
      <c r="H15" s="186">
        <f>H14</f>
        <v>0.1845</v>
      </c>
      <c r="I15" s="187">
        <v>45199</v>
      </c>
      <c r="J15" s="187">
        <v>45214</v>
      </c>
      <c r="K15" s="187">
        <v>44201</v>
      </c>
      <c r="L15" s="188" t="s">
        <v>325</v>
      </c>
      <c r="M15" s="79">
        <v>14555</v>
      </c>
      <c r="N15" s="67"/>
      <c r="O15" s="67">
        <f t="shared" si="0"/>
        <v>14555</v>
      </c>
      <c r="P15" s="66"/>
      <c r="Q15" s="67"/>
      <c r="R15" s="67"/>
      <c r="S15" s="68">
        <f t="shared" si="1"/>
        <v>0</v>
      </c>
    </row>
    <row r="16" spans="1:20" ht="30" customHeight="1" x14ac:dyDescent="0.25">
      <c r="B16" s="2" t="s">
        <v>326</v>
      </c>
      <c r="C16" s="236" t="s">
        <v>333</v>
      </c>
      <c r="D16" s="93" t="s">
        <v>288</v>
      </c>
      <c r="E16" s="2" t="s">
        <v>330</v>
      </c>
      <c r="F16" s="2" t="s">
        <v>7</v>
      </c>
      <c r="G16" s="186">
        <f>G15:H15</f>
        <v>2.63E-2</v>
      </c>
      <c r="H16" s="186">
        <f>H15</f>
        <v>0.1845</v>
      </c>
      <c r="I16" s="187">
        <v>45199</v>
      </c>
      <c r="J16" s="187">
        <v>45214</v>
      </c>
      <c r="K16" s="187">
        <v>44201</v>
      </c>
      <c r="L16" s="188" t="s">
        <v>323</v>
      </c>
      <c r="M16" s="79">
        <v>10598.53</v>
      </c>
      <c r="N16" s="67"/>
      <c r="O16" s="67">
        <f t="shared" si="0"/>
        <v>10598.53</v>
      </c>
      <c r="P16" s="66"/>
      <c r="Q16" s="67">
        <f>4619+4077.19</f>
        <v>8696.19</v>
      </c>
      <c r="R16" s="67"/>
      <c r="S16" s="68">
        <f t="shared" si="1"/>
        <v>8696.19</v>
      </c>
    </row>
    <row r="17" spans="2:19" ht="30" customHeight="1" x14ac:dyDescent="0.25">
      <c r="B17" s="2" t="s">
        <v>370</v>
      </c>
      <c r="C17" s="236" t="s">
        <v>333</v>
      </c>
      <c r="D17" s="93" t="s">
        <v>288</v>
      </c>
      <c r="E17" s="2" t="s">
        <v>331</v>
      </c>
      <c r="F17" s="2" t="s">
        <v>7</v>
      </c>
      <c r="G17" s="186">
        <f t="shared" ref="G17" si="2">G16:H16</f>
        <v>2.63E-2</v>
      </c>
      <c r="H17" s="186">
        <f t="shared" ref="H17" si="3">H16</f>
        <v>0.1845</v>
      </c>
      <c r="I17" s="187">
        <v>45199</v>
      </c>
      <c r="J17" s="187">
        <v>45214</v>
      </c>
      <c r="K17" s="187">
        <v>44201</v>
      </c>
      <c r="L17" s="188" t="s">
        <v>325</v>
      </c>
      <c r="M17" s="79">
        <v>50166.39</v>
      </c>
      <c r="N17" s="67"/>
      <c r="O17" s="67">
        <f t="shared" si="0"/>
        <v>50166.39</v>
      </c>
      <c r="P17" s="66"/>
      <c r="Q17" s="67">
        <v>2884.07</v>
      </c>
      <c r="R17" s="67"/>
      <c r="S17" s="68">
        <f t="shared" si="1"/>
        <v>2884.07</v>
      </c>
    </row>
    <row r="18" spans="2:19" ht="30" customHeight="1" x14ac:dyDescent="0.25">
      <c r="B18" s="2" t="s">
        <v>287</v>
      </c>
      <c r="C18" s="236" t="s">
        <v>333</v>
      </c>
      <c r="D18" s="93" t="s">
        <v>288</v>
      </c>
      <c r="E18" s="2" t="s">
        <v>289</v>
      </c>
      <c r="F18" s="2" t="s">
        <v>7</v>
      </c>
      <c r="G18" s="252">
        <v>2.63E-2</v>
      </c>
      <c r="H18" s="252">
        <v>0.1845</v>
      </c>
      <c r="I18" s="187">
        <v>45199</v>
      </c>
      <c r="J18" s="187">
        <v>45199</v>
      </c>
      <c r="K18" s="187">
        <v>44201</v>
      </c>
      <c r="L18" s="188" t="s">
        <v>320</v>
      </c>
      <c r="M18" s="79">
        <v>92863.35</v>
      </c>
      <c r="N18" s="67"/>
      <c r="O18" s="67">
        <f t="shared" ref="O18:O20" si="4">M18+N18</f>
        <v>92863.35</v>
      </c>
      <c r="P18" s="66"/>
      <c r="Q18" s="67">
        <f>50485+5084.91+20449</f>
        <v>76018.91</v>
      </c>
      <c r="R18" s="67"/>
      <c r="S18" s="68">
        <f t="shared" ref="S18:S20" si="5">Q18+R18</f>
        <v>76018.91</v>
      </c>
    </row>
    <row r="19" spans="2:19" ht="30" customHeight="1" x14ac:dyDescent="0.25">
      <c r="B19" s="2" t="s">
        <v>352</v>
      </c>
      <c r="C19" s="236" t="s">
        <v>353</v>
      </c>
      <c r="D19" s="93" t="s">
        <v>354</v>
      </c>
      <c r="E19" s="2" t="s">
        <v>355</v>
      </c>
      <c r="F19" s="2" t="s">
        <v>7</v>
      </c>
      <c r="G19" s="186">
        <v>2.63E-2</v>
      </c>
      <c r="H19" s="186">
        <v>0.1845</v>
      </c>
      <c r="I19" s="187">
        <v>45565</v>
      </c>
      <c r="J19" s="187">
        <v>45580</v>
      </c>
      <c r="K19" s="187">
        <v>44279</v>
      </c>
      <c r="L19" s="188" t="s">
        <v>356</v>
      </c>
      <c r="M19" s="79">
        <v>363083.11</v>
      </c>
      <c r="N19" s="67"/>
      <c r="O19" s="67">
        <f t="shared" si="4"/>
        <v>363083.11</v>
      </c>
      <c r="P19" s="66"/>
      <c r="Q19" s="67">
        <v>1381.38</v>
      </c>
      <c r="R19" s="67"/>
      <c r="S19" s="68">
        <f t="shared" si="5"/>
        <v>1381.38</v>
      </c>
    </row>
    <row r="20" spans="2:19" ht="30" customHeight="1" x14ac:dyDescent="0.25">
      <c r="B20" s="2" t="s">
        <v>357</v>
      </c>
      <c r="C20" s="236" t="s">
        <v>353</v>
      </c>
      <c r="D20" s="93" t="s">
        <v>354</v>
      </c>
      <c r="E20" s="2" t="s">
        <v>358</v>
      </c>
      <c r="F20" s="2" t="s">
        <v>7</v>
      </c>
      <c r="G20" s="186">
        <v>2.63E-2</v>
      </c>
      <c r="H20" s="186">
        <v>0.1845</v>
      </c>
      <c r="I20" s="187">
        <v>45565</v>
      </c>
      <c r="J20" s="187">
        <v>45580</v>
      </c>
      <c r="K20" s="187">
        <v>44279</v>
      </c>
      <c r="L20" s="188" t="s">
        <v>356</v>
      </c>
      <c r="M20" s="79">
        <v>90770.78</v>
      </c>
      <c r="N20" s="67"/>
      <c r="O20" s="67">
        <f t="shared" si="4"/>
        <v>90770.78</v>
      </c>
      <c r="P20" s="66"/>
      <c r="Q20" s="67">
        <v>3706.25</v>
      </c>
      <c r="R20" s="67"/>
      <c r="S20" s="68">
        <f t="shared" si="5"/>
        <v>3706.25</v>
      </c>
    </row>
    <row r="21" spans="2:19" x14ac:dyDescent="0.25">
      <c r="B21" s="244"/>
      <c r="C21" s="236"/>
      <c r="D21" s="93"/>
      <c r="E21" s="93"/>
      <c r="F21" s="93"/>
      <c r="G21" s="204"/>
      <c r="H21" s="204"/>
      <c r="I21" s="245"/>
      <c r="J21" s="245"/>
      <c r="K21" s="245"/>
      <c r="L21" s="93"/>
      <c r="M21" s="249"/>
      <c r="N21" s="10"/>
      <c r="O21" s="250"/>
      <c r="P21" s="29"/>
      <c r="Q21" s="10"/>
      <c r="R21" s="10"/>
      <c r="S21" s="28"/>
    </row>
    <row r="22" spans="2:19" ht="23.25" customHeight="1" x14ac:dyDescent="0.25">
      <c r="C22" s="93"/>
      <c r="D22" s="93"/>
      <c r="G22" s="123"/>
      <c r="H22" s="123"/>
      <c r="I22" s="116"/>
      <c r="J22" s="116"/>
      <c r="K22" s="116"/>
      <c r="L22" s="21" t="s">
        <v>38</v>
      </c>
      <c r="M22" s="66">
        <f>SUM(M8:M21)</f>
        <v>1188781.81</v>
      </c>
      <c r="N22" s="66">
        <f>SUM(N8:N21)</f>
        <v>295563</v>
      </c>
      <c r="O22" s="66">
        <f>SUM(O8:O21)</f>
        <v>1484344.81</v>
      </c>
      <c r="P22" s="66"/>
      <c r="Q22" s="66">
        <f>SUM(Q8:Q21)</f>
        <v>327342.13</v>
      </c>
      <c r="R22" s="66">
        <f>SUM(R8:R21)</f>
        <v>0</v>
      </c>
      <c r="S22" s="68">
        <f>SUM(S8:S21)</f>
        <v>327342.13</v>
      </c>
    </row>
    <row r="23" spans="2:19" x14ac:dyDescent="0.25">
      <c r="C23" s="93"/>
      <c r="D23" s="93"/>
      <c r="G23" s="123"/>
      <c r="H23" s="123"/>
      <c r="I23" s="116"/>
      <c r="J23" s="116"/>
      <c r="K23" s="116"/>
      <c r="L23" s="21"/>
      <c r="M23" s="66"/>
      <c r="N23" s="66"/>
      <c r="O23" s="66"/>
      <c r="P23" s="66"/>
      <c r="Q23" s="66"/>
      <c r="R23" s="66"/>
      <c r="S23" s="68"/>
    </row>
    <row r="24" spans="2:19" x14ac:dyDescent="0.25">
      <c r="C24" s="93"/>
      <c r="D24" s="93"/>
      <c r="G24" s="123"/>
      <c r="H24" s="123"/>
      <c r="I24" s="116"/>
      <c r="J24" s="116"/>
      <c r="K24" s="116"/>
      <c r="L24" s="21"/>
      <c r="M24" s="66"/>
      <c r="N24" s="66"/>
      <c r="O24" s="66"/>
      <c r="P24" s="66"/>
      <c r="Q24" s="66"/>
      <c r="R24" s="66"/>
      <c r="S24" s="68"/>
    </row>
    <row r="25" spans="2:19" x14ac:dyDescent="0.25">
      <c r="B25" s="8" t="s">
        <v>125</v>
      </c>
      <c r="C25" s="92"/>
      <c r="D25" s="92"/>
      <c r="S25" s="27"/>
    </row>
    <row r="26" spans="2:19" ht="33.75" customHeight="1" x14ac:dyDescent="0.25">
      <c r="B26" s="341" t="s">
        <v>126</v>
      </c>
      <c r="C26" s="341"/>
      <c r="D26" s="341"/>
      <c r="E26" s="341"/>
      <c r="F26" s="341"/>
      <c r="S26" s="27"/>
    </row>
    <row r="27" spans="2:19" x14ac:dyDescent="0.25">
      <c r="C27" s="92"/>
      <c r="D27" s="92"/>
      <c r="S27" s="27"/>
    </row>
    <row r="28" spans="2:19" ht="50.25" customHeight="1" x14ac:dyDescent="0.25">
      <c r="B28" s="341" t="s">
        <v>129</v>
      </c>
      <c r="C28" s="341"/>
      <c r="D28" s="341"/>
      <c r="E28" s="341"/>
      <c r="F28" s="341"/>
      <c r="S28" s="27"/>
    </row>
    <row r="29" spans="2:19" x14ac:dyDescent="0.25">
      <c r="B29" s="230"/>
      <c r="C29" s="230"/>
      <c r="D29" s="230"/>
      <c r="E29" s="230"/>
      <c r="S29" s="27"/>
    </row>
    <row r="30" spans="2:19" ht="32.25" customHeight="1" x14ac:dyDescent="0.25">
      <c r="B30" s="341" t="s">
        <v>160</v>
      </c>
      <c r="C30" s="341"/>
      <c r="D30" s="341"/>
      <c r="E30" s="341"/>
      <c r="F30" s="341"/>
      <c r="S30" s="27"/>
    </row>
    <row r="31" spans="2:19" ht="15" customHeight="1" x14ac:dyDescent="0.25">
      <c r="B31" s="347" t="s">
        <v>159</v>
      </c>
      <c r="C31" s="341"/>
      <c r="D31" s="341"/>
      <c r="E31" s="341"/>
      <c r="F31" s="341"/>
      <c r="S31" s="27"/>
    </row>
    <row r="32" spans="2:19" ht="15" customHeight="1" x14ac:dyDescent="0.25">
      <c r="B32" s="230"/>
      <c r="C32" s="230"/>
      <c r="D32" s="230"/>
      <c r="E32" s="230"/>
      <c r="S32" s="27"/>
    </row>
    <row r="33" spans="1:20" x14ac:dyDescent="0.25">
      <c r="B33" s="7" t="s">
        <v>109</v>
      </c>
      <c r="C33" s="101" t="s">
        <v>112</v>
      </c>
      <c r="D33" s="101" t="s">
        <v>113</v>
      </c>
      <c r="E33" s="230"/>
      <c r="S33" s="27"/>
    </row>
    <row r="34" spans="1:20" x14ac:dyDescent="0.25">
      <c r="B34" s="257" t="s">
        <v>175</v>
      </c>
      <c r="C34" s="92" t="s">
        <v>135</v>
      </c>
      <c r="D34" s="92" t="s">
        <v>147</v>
      </c>
      <c r="E34" s="230"/>
      <c r="S34" s="27"/>
    </row>
    <row r="35" spans="1:20" x14ac:dyDescent="0.25">
      <c r="B35" s="2" t="s">
        <v>230</v>
      </c>
      <c r="C35" s="92" t="s">
        <v>135</v>
      </c>
      <c r="D35" s="92" t="s">
        <v>147</v>
      </c>
      <c r="S35" s="27"/>
    </row>
    <row r="36" spans="1:20" x14ac:dyDescent="0.25">
      <c r="B36" s="2" t="s">
        <v>275</v>
      </c>
      <c r="C36" s="92" t="s">
        <v>135</v>
      </c>
      <c r="D36" s="92" t="s">
        <v>147</v>
      </c>
      <c r="S36" s="27"/>
    </row>
    <row r="37" spans="1:20" x14ac:dyDescent="0.25">
      <c r="B37" s="2" t="s">
        <v>279</v>
      </c>
      <c r="C37" s="92" t="s">
        <v>135</v>
      </c>
      <c r="D37" s="92" t="s">
        <v>147</v>
      </c>
      <c r="S37" s="27"/>
    </row>
    <row r="38" spans="1:20" x14ac:dyDescent="0.25">
      <c r="B38" s="2" t="s">
        <v>281</v>
      </c>
      <c r="C38" s="92" t="s">
        <v>135</v>
      </c>
      <c r="D38" s="92" t="s">
        <v>147</v>
      </c>
      <c r="S38" s="27"/>
    </row>
    <row r="39" spans="1:20" x14ac:dyDescent="0.25">
      <c r="B39" s="2" t="s">
        <v>286</v>
      </c>
      <c r="C39" s="92" t="s">
        <v>135</v>
      </c>
      <c r="D39" s="92" t="s">
        <v>147</v>
      </c>
      <c r="S39" s="27"/>
    </row>
    <row r="40" spans="1:20" x14ac:dyDescent="0.25">
      <c r="C40" s="92"/>
      <c r="D40" s="92"/>
      <c r="S40" s="27"/>
    </row>
    <row r="41" spans="1:20" x14ac:dyDescent="0.25">
      <c r="A41" s="259" t="s">
        <v>220</v>
      </c>
      <c r="B41" s="259" t="s">
        <v>298</v>
      </c>
      <c r="C41" s="92"/>
      <c r="D41" s="92"/>
      <c r="S41" s="27"/>
    </row>
    <row r="42" spans="1:20" x14ac:dyDescent="0.25">
      <c r="A42" s="255" t="s">
        <v>221</v>
      </c>
      <c r="B42" s="255" t="s">
        <v>299</v>
      </c>
      <c r="C42" s="92"/>
      <c r="D42" s="92"/>
      <c r="S42" s="27"/>
    </row>
    <row r="43" spans="1:20" x14ac:dyDescent="0.25">
      <c r="B43" s="220"/>
      <c r="C43" s="94"/>
      <c r="D43" s="94"/>
      <c r="E43" s="10"/>
      <c r="F43" s="10"/>
      <c r="G43" s="10"/>
      <c r="H43" s="10"/>
      <c r="I43" s="10"/>
      <c r="J43" s="10"/>
      <c r="K43" s="10"/>
      <c r="L43" s="10"/>
      <c r="M43" s="10"/>
      <c r="N43" s="10"/>
      <c r="O43" s="10"/>
      <c r="P43" s="10"/>
      <c r="Q43" s="10"/>
      <c r="R43" s="10"/>
      <c r="S43" s="28"/>
    </row>
    <row r="44" spans="1:20" x14ac:dyDescent="0.25">
      <c r="B44" s="192"/>
      <c r="C44" s="93"/>
      <c r="D44" s="93"/>
      <c r="Q44" s="59" t="s">
        <v>90</v>
      </c>
      <c r="R44" s="50"/>
      <c r="S44" s="165"/>
    </row>
    <row r="45" spans="1:20" x14ac:dyDescent="0.25">
      <c r="B45" s="17" t="s">
        <v>39</v>
      </c>
      <c r="C45" s="232" t="s">
        <v>2</v>
      </c>
      <c r="D45" s="232"/>
      <c r="E45" s="232" t="s">
        <v>34</v>
      </c>
      <c r="F45" s="232" t="s">
        <v>35</v>
      </c>
      <c r="G45" s="232"/>
      <c r="H45" s="232"/>
      <c r="I45" s="232"/>
      <c r="J45" s="232"/>
      <c r="K45" s="232"/>
      <c r="L45" s="232" t="s">
        <v>36</v>
      </c>
      <c r="M45" s="232" t="s">
        <v>37</v>
      </c>
      <c r="N45" s="47"/>
      <c r="O45" s="47"/>
      <c r="P45" s="47"/>
      <c r="Q45" s="54" t="s">
        <v>88</v>
      </c>
      <c r="R45" s="52"/>
      <c r="S45" s="53"/>
      <c r="T45" s="51"/>
    </row>
    <row r="46" spans="1:20" ht="15" customHeight="1" x14ac:dyDescent="0.25">
      <c r="B46" s="63"/>
      <c r="C46" s="148"/>
      <c r="D46" s="148"/>
      <c r="E46" s="148"/>
      <c r="F46" s="148"/>
      <c r="G46" s="148"/>
      <c r="H46" s="148"/>
      <c r="I46" s="148"/>
      <c r="J46" s="148"/>
      <c r="K46" s="148"/>
      <c r="L46" s="148"/>
      <c r="M46" s="148"/>
      <c r="N46" s="45"/>
      <c r="O46" s="45"/>
      <c r="P46" s="45"/>
      <c r="T46" s="51"/>
    </row>
    <row r="47" spans="1:20" ht="15" customHeight="1" x14ac:dyDescent="0.25">
      <c r="B47" s="63"/>
      <c r="C47" s="148"/>
      <c r="D47" s="148"/>
      <c r="E47" s="148"/>
      <c r="F47" s="148"/>
      <c r="G47" s="148"/>
      <c r="H47" s="148"/>
      <c r="I47" s="148"/>
      <c r="J47" s="148"/>
      <c r="K47" s="148"/>
      <c r="L47" s="148"/>
      <c r="M47" s="148"/>
      <c r="N47" s="45"/>
      <c r="O47" s="45"/>
      <c r="P47" s="45"/>
      <c r="T47" s="51"/>
    </row>
    <row r="48" spans="1:20" ht="15" customHeight="1" x14ac:dyDescent="0.25">
      <c r="B48" s="63"/>
      <c r="C48" s="148"/>
      <c r="D48" s="148"/>
      <c r="E48" s="148"/>
      <c r="F48" s="148"/>
      <c r="G48" s="148"/>
      <c r="H48" s="148"/>
      <c r="I48" s="148"/>
      <c r="J48" s="148"/>
      <c r="K48" s="148"/>
      <c r="L48" s="148"/>
      <c r="M48" s="148"/>
      <c r="N48" s="45"/>
      <c r="O48" s="45"/>
      <c r="P48" s="45"/>
      <c r="T48" s="51"/>
    </row>
    <row r="49" spans="2:20" ht="15" customHeight="1" x14ac:dyDescent="0.25">
      <c r="B49" s="63"/>
      <c r="C49" s="148"/>
      <c r="D49" s="148"/>
      <c r="E49" s="148"/>
      <c r="F49" s="148"/>
      <c r="G49" s="148"/>
      <c r="H49" s="148"/>
      <c r="I49" s="148"/>
      <c r="J49" s="148"/>
      <c r="K49" s="148"/>
      <c r="L49" s="148"/>
      <c r="M49" s="148"/>
      <c r="N49" s="45"/>
      <c r="O49" s="45"/>
      <c r="P49" s="45"/>
      <c r="T49" s="51"/>
    </row>
    <row r="50" spans="2:20" ht="15" customHeight="1" x14ac:dyDescent="0.25">
      <c r="B50" s="63"/>
      <c r="C50" s="148"/>
      <c r="D50" s="148"/>
      <c r="E50" s="148"/>
      <c r="F50" s="148"/>
      <c r="G50" s="148"/>
      <c r="H50" s="148"/>
      <c r="I50" s="148"/>
      <c r="J50" s="148"/>
      <c r="K50" s="148"/>
      <c r="L50" s="148"/>
      <c r="M50" s="148"/>
      <c r="N50" s="45"/>
      <c r="O50" s="45"/>
      <c r="P50" s="45"/>
      <c r="Q50" s="59"/>
      <c r="R50" s="50"/>
      <c r="S50" s="50"/>
      <c r="T50" s="51"/>
    </row>
    <row r="51" spans="2:20" ht="15" customHeight="1" x14ac:dyDescent="0.25">
      <c r="B51" s="11"/>
      <c r="C51" s="148"/>
      <c r="D51" s="148"/>
      <c r="E51" s="148"/>
      <c r="R51" s="51"/>
      <c r="S51" s="51"/>
      <c r="T51" s="51"/>
    </row>
    <row r="52" spans="2:20" x14ac:dyDescent="0.25">
      <c r="B52" s="12"/>
      <c r="C52" s="13"/>
      <c r="D52" s="13"/>
      <c r="E52" s="41"/>
      <c r="F52" s="15"/>
      <c r="G52" s="15"/>
      <c r="H52" s="15"/>
      <c r="I52" s="15"/>
      <c r="J52" s="15"/>
      <c r="K52" s="15"/>
      <c r="L52" s="16"/>
      <c r="M52" s="20"/>
      <c r="N52" s="18"/>
      <c r="O52" s="18"/>
      <c r="P52" s="18"/>
    </row>
    <row r="53" spans="2:20" x14ac:dyDescent="0.25">
      <c r="B53" s="12"/>
      <c r="C53" s="13"/>
      <c r="D53" s="13"/>
      <c r="E53" s="41"/>
      <c r="F53" s="15"/>
      <c r="G53" s="15"/>
      <c r="H53" s="15"/>
      <c r="I53" s="15"/>
      <c r="J53" s="15"/>
      <c r="K53" s="15"/>
      <c r="L53" s="16"/>
      <c r="M53" s="20"/>
      <c r="N53" s="18"/>
      <c r="O53" s="18"/>
      <c r="P53" s="18"/>
    </row>
    <row r="54" spans="2:20" x14ac:dyDescent="0.25">
      <c r="B54" s="12"/>
      <c r="C54" s="13"/>
      <c r="D54" s="13"/>
      <c r="E54" s="41"/>
      <c r="F54" s="15"/>
      <c r="G54" s="15"/>
      <c r="H54" s="15"/>
      <c r="I54" s="15"/>
      <c r="J54" s="15"/>
      <c r="K54" s="15"/>
      <c r="L54" s="16"/>
      <c r="M54" s="20"/>
      <c r="N54" s="18"/>
      <c r="O54" s="18"/>
      <c r="P54" s="18"/>
    </row>
    <row r="55" spans="2:20" x14ac:dyDescent="0.25">
      <c r="Q55" s="309" t="s">
        <v>316</v>
      </c>
      <c r="R55" s="309"/>
      <c r="S55" s="310">
        <f>S22</f>
        <v>327342.13</v>
      </c>
    </row>
  </sheetData>
  <mergeCells count="7">
    <mergeCell ref="B30:F30"/>
    <mergeCell ref="B31:F31"/>
    <mergeCell ref="Q1:S1"/>
    <mergeCell ref="Q2:S2"/>
    <mergeCell ref="B26:F26"/>
    <mergeCell ref="B28:F28"/>
    <mergeCell ref="B8:B9"/>
  </mergeCells>
  <hyperlinks>
    <hyperlink ref="B31" r:id="rId1"/>
  </hyperlinks>
  <printOptions horizontalCentered="1" gridLines="1"/>
  <pageMargins left="0" right="0" top="0.75" bottom="0.75" header="0.3" footer="0.3"/>
  <pageSetup scale="49" orientation="landscape" horizontalDpi="1200" verticalDpi="120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T41"/>
  <sheetViews>
    <sheetView topLeftCell="B1" zoomScale="90" zoomScaleNormal="90" workbookViewId="0">
      <selection activeCell="B26" sqref="B26"/>
    </sheetView>
  </sheetViews>
  <sheetFormatPr defaultColWidth="9.140625" defaultRowHeight="15" x14ac:dyDescent="0.25"/>
  <cols>
    <col min="1" max="1" width="9.140625" style="2" hidden="1" customWidth="1"/>
    <col min="2" max="2" width="53.28515625" style="2" customWidth="1"/>
    <col min="3" max="3" width="30.85546875" style="2" customWidth="1"/>
    <col min="4" max="4" width="13.7109375" style="2" customWidth="1"/>
    <col min="5" max="5" width="16.85546875" style="2" customWidth="1"/>
    <col min="6" max="6" width="21.5703125" style="2" customWidth="1"/>
    <col min="7" max="7" width="8.5703125" style="2" customWidth="1"/>
    <col min="8" max="8" width="11.5703125" style="2" customWidth="1"/>
    <col min="9" max="9" width="10.85546875" style="2" customWidth="1"/>
    <col min="10" max="10" width="10" style="2" customWidth="1"/>
    <col min="11" max="11" width="8" style="2" customWidth="1"/>
    <col min="12" max="12" width="18.710937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4.5703125" style="2" customWidth="1"/>
    <col min="20" max="16384" width="9.140625" style="2"/>
  </cols>
  <sheetData>
    <row r="1" spans="1:20" ht="15.6" customHeight="1" x14ac:dyDescent="0.25">
      <c r="B1" s="1" t="s">
        <v>45</v>
      </c>
      <c r="Q1" s="338" t="s">
        <v>154</v>
      </c>
      <c r="R1" s="338"/>
      <c r="S1" s="338"/>
    </row>
    <row r="2" spans="1:20" x14ac:dyDescent="0.25">
      <c r="B2" s="88" t="s">
        <v>148</v>
      </c>
      <c r="C2" s="182">
        <v>43465</v>
      </c>
      <c r="M2" s="71"/>
      <c r="N2" s="71"/>
      <c r="P2" s="29"/>
      <c r="Q2" s="337" t="s">
        <v>165</v>
      </c>
      <c r="R2" s="337"/>
      <c r="S2" s="337"/>
    </row>
    <row r="3" spans="1:20" ht="15.75" thickBot="1" x14ac:dyDescent="0.3">
      <c r="A3" s="2" t="s">
        <v>16</v>
      </c>
      <c r="B3" s="44" t="s">
        <v>74</v>
      </c>
      <c r="C3" s="8"/>
      <c r="D3" s="8"/>
      <c r="E3" s="8"/>
      <c r="P3" s="29"/>
      <c r="Q3" s="45"/>
      <c r="R3" s="30"/>
    </row>
    <row r="4" spans="1:20" x14ac:dyDescent="0.25">
      <c r="B4" s="8" t="s">
        <v>176</v>
      </c>
      <c r="M4" s="85" t="s">
        <v>28</v>
      </c>
      <c r="N4" s="85" t="s">
        <v>28</v>
      </c>
      <c r="O4" s="85" t="s">
        <v>28</v>
      </c>
      <c r="P4" s="9"/>
      <c r="Q4" s="89" t="s">
        <v>29</v>
      </c>
      <c r="R4" s="89" t="s">
        <v>31</v>
      </c>
      <c r="S4" s="89" t="s">
        <v>23</v>
      </c>
      <c r="T4" s="7"/>
    </row>
    <row r="5" spans="1:20" ht="15.75" thickBot="1" x14ac:dyDescent="0.3">
      <c r="G5" s="183" t="s">
        <v>158</v>
      </c>
      <c r="H5" s="183" t="s">
        <v>158</v>
      </c>
      <c r="M5" s="86" t="s">
        <v>27</v>
      </c>
      <c r="N5" s="86" t="s">
        <v>26</v>
      </c>
      <c r="O5" s="86" t="s">
        <v>25</v>
      </c>
      <c r="P5" s="9"/>
      <c r="Q5" s="90" t="s">
        <v>30</v>
      </c>
      <c r="R5" s="90" t="s">
        <v>30</v>
      </c>
      <c r="S5" s="90" t="s">
        <v>30</v>
      </c>
      <c r="T5" s="7"/>
    </row>
    <row r="6" spans="1:20" ht="85.5" customHeight="1" thickBot="1" x14ac:dyDescent="0.3">
      <c r="B6" s="84" t="s">
        <v>1</v>
      </c>
      <c r="C6" s="84" t="s">
        <v>127</v>
      </c>
      <c r="D6" s="84" t="s">
        <v>107</v>
      </c>
      <c r="E6" s="84" t="s">
        <v>3</v>
      </c>
      <c r="F6" s="84" t="s">
        <v>4</v>
      </c>
      <c r="G6" s="107" t="s">
        <v>136</v>
      </c>
      <c r="H6" s="107" t="s">
        <v>137</v>
      </c>
      <c r="I6" s="107" t="s">
        <v>133</v>
      </c>
      <c r="J6" s="107" t="s">
        <v>134</v>
      </c>
      <c r="K6" s="107" t="s">
        <v>121</v>
      </c>
      <c r="L6" s="83" t="s">
        <v>5</v>
      </c>
      <c r="M6" s="87" t="s">
        <v>6</v>
      </c>
      <c r="N6" s="87" t="s">
        <v>6</v>
      </c>
      <c r="O6" s="87" t="s">
        <v>6</v>
      </c>
      <c r="P6" s="9"/>
      <c r="Q6" s="91"/>
      <c r="R6" s="97" t="s">
        <v>32</v>
      </c>
      <c r="S6" s="98" t="s">
        <v>33</v>
      </c>
    </row>
    <row r="7" spans="1:20" hidden="1" x14ac:dyDescent="0.25">
      <c r="B7" s="2" t="s">
        <v>8</v>
      </c>
      <c r="C7" s="92" t="s">
        <v>106</v>
      </c>
      <c r="D7" s="92" t="s">
        <v>108</v>
      </c>
      <c r="E7" s="2" t="s">
        <v>155</v>
      </c>
      <c r="F7" s="2" t="s">
        <v>7</v>
      </c>
      <c r="G7" s="186">
        <v>2.7699999999999999E-2</v>
      </c>
      <c r="H7" s="186">
        <v>0.15060000000000001</v>
      </c>
      <c r="I7" s="187">
        <v>43646</v>
      </c>
      <c r="J7" s="187">
        <v>43647</v>
      </c>
      <c r="K7" s="187">
        <v>43282</v>
      </c>
      <c r="L7" s="188" t="s">
        <v>157</v>
      </c>
      <c r="M7" s="70">
        <v>0</v>
      </c>
      <c r="N7" s="70">
        <v>0</v>
      </c>
      <c r="O7" s="67">
        <f>M7+N7</f>
        <v>0</v>
      </c>
      <c r="P7" s="42"/>
      <c r="Q7" s="43">
        <v>0</v>
      </c>
      <c r="R7" s="67"/>
      <c r="S7" s="68">
        <f>Q7+R7</f>
        <v>0</v>
      </c>
    </row>
    <row r="8" spans="1:20" ht="30" hidden="1" customHeight="1" x14ac:dyDescent="0.25">
      <c r="B8" s="2" t="s">
        <v>128</v>
      </c>
      <c r="C8" s="95" t="s">
        <v>122</v>
      </c>
      <c r="D8" s="93" t="s">
        <v>123</v>
      </c>
      <c r="E8" s="2" t="s">
        <v>156</v>
      </c>
      <c r="F8" s="2" t="s">
        <v>7</v>
      </c>
      <c r="G8" s="186">
        <v>3.1399999999999997E-2</v>
      </c>
      <c r="H8" s="186">
        <v>0.16209999999999999</v>
      </c>
      <c r="I8" s="187">
        <v>42916</v>
      </c>
      <c r="J8" s="187">
        <v>42917</v>
      </c>
      <c r="K8" s="187">
        <v>42552</v>
      </c>
      <c r="L8" s="188" t="s">
        <v>139</v>
      </c>
      <c r="M8" s="70">
        <v>0</v>
      </c>
      <c r="N8" s="70"/>
      <c r="O8" s="67">
        <f>M8+N8</f>
        <v>0</v>
      </c>
      <c r="P8" s="42"/>
      <c r="Q8" s="43">
        <v>0</v>
      </c>
      <c r="R8" s="67"/>
      <c r="S8" s="68">
        <f>Q8+R8</f>
        <v>0</v>
      </c>
    </row>
    <row r="9" spans="1:20" ht="30" hidden="1" x14ac:dyDescent="0.25">
      <c r="B9" s="2" t="s">
        <v>22</v>
      </c>
      <c r="C9" s="95" t="s">
        <v>132</v>
      </c>
      <c r="D9" s="92" t="s">
        <v>124</v>
      </c>
      <c r="E9" s="2" t="s">
        <v>140</v>
      </c>
      <c r="F9" s="2" t="s">
        <v>7</v>
      </c>
      <c r="G9" s="186">
        <v>3.1399999999999997E-2</v>
      </c>
      <c r="H9" s="186">
        <v>0.16209999999999999</v>
      </c>
      <c r="I9" s="187">
        <v>42916</v>
      </c>
      <c r="J9" s="187">
        <v>42917</v>
      </c>
      <c r="K9" s="187">
        <v>42552</v>
      </c>
      <c r="L9" s="188" t="s">
        <v>139</v>
      </c>
      <c r="M9" s="70">
        <v>0</v>
      </c>
      <c r="N9" s="70">
        <v>0</v>
      </c>
      <c r="O9" s="67">
        <f>M9+N9</f>
        <v>0</v>
      </c>
      <c r="P9" s="42"/>
      <c r="Q9" s="43">
        <v>0</v>
      </c>
      <c r="R9" s="67">
        <v>0</v>
      </c>
      <c r="S9" s="68">
        <f>Q9+R9</f>
        <v>0</v>
      </c>
    </row>
    <row r="10" spans="1:20" x14ac:dyDescent="0.25">
      <c r="C10" s="92"/>
      <c r="D10" s="92"/>
      <c r="E10" s="75"/>
      <c r="G10" s="124"/>
      <c r="H10" s="124"/>
      <c r="I10" s="116"/>
      <c r="J10" s="116"/>
      <c r="K10" s="116"/>
      <c r="L10" s="93"/>
      <c r="M10" s="25"/>
      <c r="N10" s="161"/>
      <c r="O10" s="25"/>
      <c r="P10" s="94"/>
      <c r="Q10" s="162"/>
      <c r="R10" s="25"/>
      <c r="S10" s="26"/>
    </row>
    <row r="11" spans="1:20" x14ac:dyDescent="0.25">
      <c r="B11" s="29"/>
      <c r="C11" s="92"/>
      <c r="D11" s="92"/>
      <c r="L11" s="5" t="s">
        <v>38</v>
      </c>
      <c r="M11" s="66">
        <f>SUM(M7:M10)</f>
        <v>0</v>
      </c>
      <c r="N11" s="66">
        <f>SUM(N7:N10)</f>
        <v>0</v>
      </c>
      <c r="O11" s="66">
        <f>SUM(O7:O10)</f>
        <v>0</v>
      </c>
      <c r="P11" s="66"/>
      <c r="Q11" s="66">
        <f>SUM(Q7:Q10)</f>
        <v>0</v>
      </c>
      <c r="R11" s="66">
        <f>SUM(R7:R10)</f>
        <v>0</v>
      </c>
      <c r="S11" s="23">
        <f>SUM(S7:S10)</f>
        <v>0</v>
      </c>
    </row>
    <row r="12" spans="1:20" x14ac:dyDescent="0.25">
      <c r="B12" s="29"/>
      <c r="C12" s="92"/>
      <c r="D12" s="92"/>
      <c r="L12" s="5"/>
      <c r="M12" s="66"/>
      <c r="N12" s="66"/>
      <c r="O12" s="66"/>
      <c r="P12" s="29"/>
      <c r="Q12" s="66"/>
      <c r="R12" s="66"/>
      <c r="S12" s="68"/>
    </row>
    <row r="13" spans="1:20" x14ac:dyDescent="0.25">
      <c r="B13" s="8" t="s">
        <v>125</v>
      </c>
      <c r="C13" s="92"/>
      <c r="D13" s="92"/>
      <c r="L13" s="5"/>
      <c r="M13" s="66"/>
      <c r="N13" s="66"/>
      <c r="O13" s="66"/>
      <c r="P13" s="29"/>
      <c r="Q13" s="66"/>
      <c r="R13" s="66"/>
      <c r="S13" s="68"/>
    </row>
    <row r="14" spans="1:20" ht="31.5" customHeight="1" x14ac:dyDescent="0.25">
      <c r="B14" s="346" t="s">
        <v>126</v>
      </c>
      <c r="C14" s="346"/>
      <c r="D14" s="346"/>
      <c r="E14" s="346"/>
      <c r="F14" s="346"/>
      <c r="G14" s="121"/>
      <c r="H14" s="121"/>
      <c r="I14" s="115"/>
      <c r="L14" s="5"/>
      <c r="S14" s="27"/>
    </row>
    <row r="15" spans="1:20" x14ac:dyDescent="0.25">
      <c r="C15" s="92"/>
      <c r="D15" s="92"/>
      <c r="L15" s="5"/>
      <c r="M15" s="66"/>
      <c r="N15" s="66"/>
      <c r="O15" s="66"/>
      <c r="Q15" s="66"/>
      <c r="R15" s="66"/>
      <c r="S15" s="68"/>
    </row>
    <row r="16" spans="1:20" ht="44.25" customHeight="1" x14ac:dyDescent="0.25">
      <c r="B16" s="341" t="s">
        <v>129</v>
      </c>
      <c r="C16" s="341"/>
      <c r="D16" s="341"/>
      <c r="E16" s="341"/>
      <c r="F16" s="341"/>
      <c r="G16" s="117"/>
      <c r="H16" s="117"/>
      <c r="I16" s="111"/>
      <c r="L16" s="5"/>
      <c r="M16" s="66"/>
      <c r="N16" s="66"/>
      <c r="O16" s="66"/>
      <c r="Q16" s="66"/>
      <c r="R16" s="66"/>
      <c r="S16" s="68"/>
    </row>
    <row r="17" spans="1:20" x14ac:dyDescent="0.25">
      <c r="B17" s="108"/>
      <c r="C17" s="108"/>
      <c r="D17" s="108"/>
      <c r="E17" s="108"/>
      <c r="F17" s="108"/>
      <c r="G17" s="117"/>
      <c r="H17" s="117"/>
      <c r="I17" s="111"/>
      <c r="L17" s="5"/>
      <c r="M17" s="66"/>
      <c r="N17" s="66"/>
      <c r="O17" s="66"/>
      <c r="Q17" s="66"/>
      <c r="R17" s="66"/>
      <c r="S17" s="68"/>
    </row>
    <row r="18" spans="1:20" ht="30" customHeight="1" x14ac:dyDescent="0.25">
      <c r="B18" s="341" t="s">
        <v>160</v>
      </c>
      <c r="C18" s="341"/>
      <c r="D18" s="341"/>
      <c r="E18" s="341"/>
      <c r="F18" s="341"/>
      <c r="G18" s="193"/>
      <c r="H18" s="193"/>
      <c r="I18" s="193"/>
      <c r="L18" s="5"/>
      <c r="M18" s="66"/>
      <c r="N18" s="66"/>
      <c r="O18" s="66"/>
      <c r="Q18" s="66"/>
      <c r="R18" s="66"/>
      <c r="S18" s="68"/>
    </row>
    <row r="19" spans="1:20" ht="19.5" customHeight="1" x14ac:dyDescent="0.25">
      <c r="B19" s="347" t="s">
        <v>159</v>
      </c>
      <c r="C19" s="347"/>
      <c r="D19" s="347"/>
      <c r="E19" s="347"/>
      <c r="F19" s="347"/>
      <c r="G19" s="193"/>
      <c r="H19" s="193"/>
      <c r="I19" s="193"/>
      <c r="L19" s="5"/>
      <c r="M19" s="66"/>
      <c r="N19" s="66"/>
      <c r="O19" s="66"/>
      <c r="Q19" s="66"/>
      <c r="R19" s="66"/>
      <c r="S19" s="68"/>
    </row>
    <row r="20" spans="1:20" x14ac:dyDescent="0.25">
      <c r="B20" s="195"/>
      <c r="C20" s="195"/>
      <c r="D20" s="195"/>
      <c r="E20" s="195"/>
      <c r="F20" s="195"/>
      <c r="G20" s="195"/>
      <c r="H20" s="195"/>
      <c r="I20" s="195"/>
      <c r="L20" s="5"/>
      <c r="M20" s="66"/>
      <c r="N20" s="66"/>
      <c r="O20" s="66"/>
      <c r="Q20" s="66"/>
      <c r="R20" s="66"/>
      <c r="S20" s="68"/>
    </row>
    <row r="21" spans="1:20" x14ac:dyDescent="0.25">
      <c r="B21" s="7" t="s">
        <v>109</v>
      </c>
      <c r="C21" s="101" t="s">
        <v>112</v>
      </c>
      <c r="D21" s="101" t="s">
        <v>113</v>
      </c>
      <c r="E21" s="108"/>
      <c r="F21" s="108"/>
      <c r="G21" s="117"/>
      <c r="H21" s="117"/>
      <c r="I21" s="111"/>
      <c r="L21" s="5"/>
      <c r="M21" s="66"/>
      <c r="N21" s="66"/>
      <c r="O21" s="66"/>
      <c r="Q21" s="66"/>
      <c r="R21" s="66"/>
      <c r="S21" s="68"/>
    </row>
    <row r="22" spans="1:20" x14ac:dyDescent="0.25">
      <c r="C22" s="92"/>
      <c r="D22" s="92"/>
      <c r="E22" s="108"/>
      <c r="F22" s="108"/>
      <c r="G22" s="117"/>
      <c r="H22" s="117"/>
      <c r="I22" s="111"/>
      <c r="L22" s="5"/>
      <c r="M22" s="66"/>
      <c r="N22" s="66"/>
      <c r="O22" s="66"/>
      <c r="Q22" s="66"/>
      <c r="R22" s="66"/>
      <c r="S22" s="68"/>
    </row>
    <row r="23" spans="1:20" x14ac:dyDescent="0.25">
      <c r="C23" s="92"/>
      <c r="D23" s="92"/>
      <c r="L23" s="5"/>
      <c r="M23" s="66"/>
      <c r="N23" s="66"/>
      <c r="O23" s="66"/>
      <c r="Q23" s="66"/>
      <c r="R23" s="66"/>
      <c r="S23" s="68"/>
    </row>
    <row r="24" spans="1:20" x14ac:dyDescent="0.25">
      <c r="C24" s="92"/>
      <c r="D24" s="92"/>
      <c r="L24" s="5"/>
      <c r="M24" s="66"/>
      <c r="N24" s="66"/>
      <c r="O24" s="66"/>
      <c r="Q24" s="66"/>
      <c r="R24" s="66"/>
      <c r="S24" s="68"/>
    </row>
    <row r="25" spans="1:20" ht="15.75" x14ac:dyDescent="0.25">
      <c r="B25" s="196"/>
      <c r="C25" s="92"/>
      <c r="D25" s="92"/>
      <c r="L25" s="5"/>
      <c r="M25" s="66"/>
      <c r="N25" s="66"/>
      <c r="O25" s="66"/>
      <c r="Q25" s="66"/>
      <c r="R25" s="66"/>
      <c r="S25" s="68"/>
    </row>
    <row r="26" spans="1:20" x14ac:dyDescent="0.25">
      <c r="B26" s="192" t="s">
        <v>166</v>
      </c>
      <c r="C26" s="92"/>
      <c r="D26" s="92"/>
      <c r="L26" s="5"/>
      <c r="M26" s="66"/>
      <c r="N26" s="66"/>
      <c r="O26" s="66"/>
      <c r="Q26" s="66"/>
      <c r="R26" s="66"/>
      <c r="S26" s="68"/>
    </row>
    <row r="27" spans="1:20" x14ac:dyDescent="0.25">
      <c r="B27" s="192"/>
      <c r="C27" s="92"/>
      <c r="D27" s="92"/>
      <c r="L27" s="5"/>
      <c r="M27" s="66"/>
      <c r="N27" s="66"/>
      <c r="O27" s="66"/>
      <c r="Q27" s="66"/>
      <c r="R27" s="66"/>
      <c r="S27" s="68"/>
    </row>
    <row r="28" spans="1:20" x14ac:dyDescent="0.25">
      <c r="B28" s="10"/>
      <c r="C28" s="10"/>
      <c r="D28" s="10"/>
      <c r="E28" s="10"/>
      <c r="F28" s="10"/>
      <c r="G28" s="10"/>
      <c r="H28" s="10"/>
      <c r="I28" s="10"/>
      <c r="J28" s="10"/>
      <c r="K28" s="29"/>
      <c r="L28" s="29"/>
      <c r="M28" s="29"/>
      <c r="N28" s="29"/>
      <c r="O28" s="29"/>
      <c r="P28" s="29"/>
      <c r="Q28" s="56"/>
      <c r="R28" s="56"/>
      <c r="S28" s="167"/>
      <c r="T28" s="51"/>
    </row>
    <row r="29" spans="1:20" x14ac:dyDescent="0.25">
      <c r="K29" s="109"/>
      <c r="L29" s="109"/>
      <c r="M29" s="109"/>
      <c r="N29" s="109"/>
      <c r="O29" s="109"/>
      <c r="P29" s="109"/>
      <c r="Q29" s="166" t="s">
        <v>90</v>
      </c>
      <c r="R29" s="168"/>
      <c r="S29" s="169"/>
    </row>
    <row r="30" spans="1:20" ht="29.25" x14ac:dyDescent="0.25">
      <c r="B30" s="17" t="s">
        <v>39</v>
      </c>
      <c r="C30" s="127" t="s">
        <v>2</v>
      </c>
      <c r="D30" s="127" t="s">
        <v>34</v>
      </c>
      <c r="E30" s="128" t="s">
        <v>35</v>
      </c>
      <c r="F30" s="127" t="s">
        <v>36</v>
      </c>
      <c r="G30" s="343" t="s">
        <v>37</v>
      </c>
      <c r="H30" s="343"/>
      <c r="I30" s="343"/>
      <c r="J30" s="127"/>
      <c r="K30" s="157"/>
      <c r="L30" s="157"/>
      <c r="M30" s="343"/>
      <c r="N30" s="343"/>
      <c r="O30" s="10"/>
      <c r="P30" s="10"/>
      <c r="Q30" s="54" t="s">
        <v>88</v>
      </c>
      <c r="R30" s="54"/>
      <c r="S30" s="55"/>
    </row>
    <row r="31" spans="1:20" ht="15" customHeight="1" x14ac:dyDescent="0.25">
      <c r="A31" s="29"/>
      <c r="C31" s="132"/>
      <c r="D31" s="153"/>
      <c r="E31" s="133"/>
      <c r="F31" s="136"/>
      <c r="G31" s="345"/>
      <c r="H31" s="345"/>
      <c r="I31" s="345"/>
      <c r="J31" s="345"/>
      <c r="K31" s="137"/>
      <c r="L31" s="138"/>
      <c r="M31" s="139"/>
      <c r="N31" s="139"/>
      <c r="O31" s="18"/>
      <c r="P31" s="18"/>
    </row>
    <row r="32" spans="1:20" x14ac:dyDescent="0.25">
      <c r="B32" s="36"/>
      <c r="C32" s="152"/>
      <c r="D32" s="154"/>
      <c r="E32" s="134"/>
      <c r="F32" s="15"/>
      <c r="G32" s="38"/>
      <c r="H32" s="38"/>
      <c r="I32" s="38"/>
      <c r="J32" s="38"/>
      <c r="K32" s="38"/>
      <c r="L32" s="33"/>
      <c r="M32" s="31"/>
      <c r="N32" s="99"/>
    </row>
    <row r="33" spans="3:16" ht="16.5" customHeight="1" x14ac:dyDescent="0.25">
      <c r="C33" s="151"/>
      <c r="D33" s="154"/>
      <c r="E33" s="134"/>
      <c r="F33" s="155"/>
      <c r="G33" s="38"/>
      <c r="H33" s="38"/>
      <c r="I33" s="38"/>
      <c r="J33" s="38"/>
      <c r="K33" s="38"/>
      <c r="L33" s="39"/>
      <c r="M33" s="20"/>
      <c r="N33" s="99"/>
      <c r="O33" s="99"/>
      <c r="P33" s="29"/>
    </row>
    <row r="34" spans="3:16" ht="15" hidden="1" customHeight="1" x14ac:dyDescent="0.25">
      <c r="D34" s="45"/>
      <c r="E34" s="129"/>
      <c r="F34" s="93"/>
    </row>
    <row r="35" spans="3:16" ht="15" customHeight="1" x14ac:dyDescent="0.25">
      <c r="D35" s="45"/>
      <c r="E35" s="135"/>
      <c r="F35" s="82"/>
      <c r="G35" s="102"/>
      <c r="H35" s="102"/>
      <c r="I35" s="102"/>
      <c r="J35" s="102"/>
      <c r="K35" s="102"/>
    </row>
    <row r="36" spans="3:16" x14ac:dyDescent="0.25">
      <c r="C36" s="151"/>
      <c r="D36" s="45"/>
      <c r="E36" s="129"/>
      <c r="F36" s="150"/>
    </row>
    <row r="37" spans="3:16" x14ac:dyDescent="0.25">
      <c r="D37" s="45"/>
      <c r="E37" s="129"/>
      <c r="F37" s="93"/>
    </row>
    <row r="38" spans="3:16" ht="15" customHeight="1" x14ac:dyDescent="0.25">
      <c r="D38" s="45"/>
      <c r="E38" s="129"/>
      <c r="F38" s="93"/>
    </row>
    <row r="39" spans="3:16" x14ac:dyDescent="0.25">
      <c r="E39" s="156">
        <f>SUM(E31:E38)</f>
        <v>0</v>
      </c>
    </row>
    <row r="40" spans="3:16" x14ac:dyDescent="0.25">
      <c r="E40" s="19"/>
      <c r="F40" s="19"/>
      <c r="G40" s="119"/>
      <c r="H40" s="119"/>
      <c r="I40" s="113"/>
      <c r="J40" s="19"/>
      <c r="K40" s="19"/>
      <c r="L40" s="19"/>
      <c r="M40" s="19"/>
      <c r="N40" s="19"/>
      <c r="O40" s="19"/>
    </row>
    <row r="41" spans="3:16" x14ac:dyDescent="0.25">
      <c r="E41" s="19"/>
      <c r="F41" s="19"/>
      <c r="G41" s="119"/>
      <c r="H41" s="119"/>
      <c r="I41" s="113"/>
      <c r="J41" s="19"/>
      <c r="K41" s="19"/>
      <c r="L41" s="19"/>
      <c r="M41" s="19"/>
      <c r="N41" s="19"/>
      <c r="O41" s="19"/>
    </row>
  </sheetData>
  <mergeCells count="9">
    <mergeCell ref="G31:J31"/>
    <mergeCell ref="Q1:S1"/>
    <mergeCell ref="M30:N30"/>
    <mergeCell ref="Q2:S2"/>
    <mergeCell ref="B14:F14"/>
    <mergeCell ref="B16:F16"/>
    <mergeCell ref="G30:I30"/>
    <mergeCell ref="B18:F18"/>
    <mergeCell ref="B19:F19"/>
  </mergeCells>
  <hyperlinks>
    <hyperlink ref="B19" r:id="rId1"/>
    <hyperlink ref="B26" r:id="rId2"/>
  </hyperlinks>
  <printOptions horizontalCentered="1" gridLines="1"/>
  <pageMargins left="0" right="0" top="0.75" bottom="0.75" header="0.3" footer="0.3"/>
  <pageSetup scale="45" orientation="landscape" horizontalDpi="1200" verticalDpi="1200" r:id="rId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5"/>
  <sheetViews>
    <sheetView topLeftCell="B1" zoomScale="90" zoomScaleNormal="90" workbookViewId="0">
      <selection activeCell="Q13" sqref="Q13:Q17"/>
    </sheetView>
  </sheetViews>
  <sheetFormatPr defaultColWidth="9.140625" defaultRowHeight="15" x14ac:dyDescent="0.25"/>
  <cols>
    <col min="1" max="1" width="5.7109375" style="2" hidden="1" customWidth="1"/>
    <col min="2" max="2" width="59.7109375" style="2" customWidth="1"/>
    <col min="3" max="3" width="26.140625" style="2" customWidth="1"/>
    <col min="4" max="4" width="13.7109375" style="2" customWidth="1"/>
    <col min="5" max="5" width="17" style="2" bestFit="1" customWidth="1"/>
    <col min="6" max="6" width="21.7109375" style="2" customWidth="1"/>
    <col min="7" max="7" width="10.28515625" style="2" customWidth="1"/>
    <col min="8" max="8" width="12.85546875" style="2" customWidth="1"/>
    <col min="9" max="9" width="13.42578125" style="2" customWidth="1"/>
    <col min="10" max="10" width="15.7109375" style="2" customWidth="1"/>
    <col min="11" max="11" width="8.85546875" style="2" customWidth="1"/>
    <col min="12" max="12" width="18.7109375" style="2" customWidth="1"/>
    <col min="13" max="13" width="13.28515625" style="2" bestFit="1" customWidth="1"/>
    <col min="14" max="14" width="13.7109375" style="2" customWidth="1"/>
    <col min="15" max="15" width="14.42578125" style="2" customWidth="1"/>
    <col min="16" max="16" width="3.140625" style="2" customWidth="1"/>
    <col min="17" max="17" width="12" style="2" customWidth="1"/>
    <col min="18" max="18" width="14.140625" style="2" customWidth="1"/>
    <col min="19" max="19" width="16.7109375" style="2" customWidth="1"/>
    <col min="20" max="16384" width="9.140625" style="2"/>
  </cols>
  <sheetData>
    <row r="1" spans="1:20" ht="14.45" customHeight="1" x14ac:dyDescent="0.25">
      <c r="B1" s="8" t="s">
        <v>390</v>
      </c>
      <c r="Q1" s="338" t="s">
        <v>296</v>
      </c>
      <c r="R1" s="338"/>
      <c r="S1" s="338"/>
    </row>
    <row r="2" spans="1:20" x14ac:dyDescent="0.25">
      <c r="B2" s="88" t="s">
        <v>148</v>
      </c>
      <c r="C2" s="182">
        <v>44742</v>
      </c>
      <c r="M2" s="71"/>
      <c r="N2" s="71"/>
      <c r="P2" s="29"/>
      <c r="Q2" s="337" t="s">
        <v>375</v>
      </c>
      <c r="R2" s="337"/>
      <c r="S2" s="337"/>
    </row>
    <row r="3" spans="1:20" ht="15.75" thickBot="1" x14ac:dyDescent="0.3">
      <c r="A3" s="2" t="s">
        <v>16</v>
      </c>
      <c r="B3" s="44" t="s">
        <v>200</v>
      </c>
      <c r="C3" s="8"/>
      <c r="D3" s="8"/>
      <c r="E3" s="8"/>
      <c r="P3" s="29"/>
      <c r="Q3" s="45"/>
      <c r="R3" s="30"/>
    </row>
    <row r="4" spans="1:20" x14ac:dyDescent="0.25">
      <c r="B4" s="8" t="s">
        <v>210</v>
      </c>
      <c r="M4" s="85" t="s">
        <v>28</v>
      </c>
      <c r="N4" s="85" t="s">
        <v>28</v>
      </c>
      <c r="O4" s="85" t="s">
        <v>28</v>
      </c>
      <c r="P4" s="148"/>
      <c r="Q4" s="89" t="s">
        <v>29</v>
      </c>
      <c r="R4" s="89" t="s">
        <v>31</v>
      </c>
      <c r="S4" s="89" t="s">
        <v>23</v>
      </c>
      <c r="T4" s="7"/>
    </row>
    <row r="5" spans="1:20" ht="15.75" thickBot="1" x14ac:dyDescent="0.3">
      <c r="G5" s="183" t="s">
        <v>295</v>
      </c>
      <c r="H5" s="183" t="s">
        <v>295</v>
      </c>
      <c r="M5" s="86" t="s">
        <v>27</v>
      </c>
      <c r="N5" s="86" t="s">
        <v>26</v>
      </c>
      <c r="O5" s="86" t="s">
        <v>25</v>
      </c>
      <c r="P5" s="148"/>
      <c r="Q5" s="90" t="s">
        <v>30</v>
      </c>
      <c r="R5" s="90" t="s">
        <v>30</v>
      </c>
      <c r="S5" s="90" t="s">
        <v>30</v>
      </c>
      <c r="T5" s="7"/>
    </row>
    <row r="6" spans="1:20" ht="84" customHeight="1" thickBot="1" x14ac:dyDescent="0.3">
      <c r="B6" s="84" t="s">
        <v>1</v>
      </c>
      <c r="C6" s="84" t="s">
        <v>389</v>
      </c>
      <c r="D6" s="84" t="s">
        <v>107</v>
      </c>
      <c r="E6" s="84" t="s">
        <v>3</v>
      </c>
      <c r="F6" s="84" t="s">
        <v>4</v>
      </c>
      <c r="G6" s="107" t="s">
        <v>136</v>
      </c>
      <c r="H6" s="107" t="s">
        <v>137</v>
      </c>
      <c r="I6" s="107" t="s">
        <v>133</v>
      </c>
      <c r="J6" s="107" t="s">
        <v>134</v>
      </c>
      <c r="K6" s="107" t="s">
        <v>121</v>
      </c>
      <c r="L6" s="83" t="s">
        <v>5</v>
      </c>
      <c r="M6" s="87" t="s">
        <v>6</v>
      </c>
      <c r="N6" s="87" t="s">
        <v>6</v>
      </c>
      <c r="O6" s="87" t="s">
        <v>6</v>
      </c>
      <c r="P6" s="148"/>
      <c r="Q6" s="91"/>
      <c r="R6" s="97" t="s">
        <v>32</v>
      </c>
      <c r="S6" s="98" t="s">
        <v>33</v>
      </c>
    </row>
    <row r="7" spans="1:20" ht="40.5" customHeight="1" x14ac:dyDescent="0.25">
      <c r="B7" s="2" t="s">
        <v>128</v>
      </c>
      <c r="C7" s="236" t="s">
        <v>122</v>
      </c>
      <c r="D7" s="93" t="s">
        <v>310</v>
      </c>
      <c r="E7" s="2" t="s">
        <v>309</v>
      </c>
      <c r="F7" s="2" t="s">
        <v>7</v>
      </c>
      <c r="G7" s="186">
        <v>2.63E-2</v>
      </c>
      <c r="H7" s="186">
        <v>0.1845</v>
      </c>
      <c r="I7" s="187">
        <v>44742</v>
      </c>
      <c r="J7" s="187">
        <v>44743</v>
      </c>
      <c r="K7" s="187">
        <v>44378</v>
      </c>
      <c r="L7" s="204" t="s">
        <v>297</v>
      </c>
      <c r="M7" s="67">
        <v>12492.18</v>
      </c>
      <c r="N7" s="67"/>
      <c r="O7" s="67">
        <f>M7+N7</f>
        <v>12492.18</v>
      </c>
      <c r="P7" s="67"/>
      <c r="Q7" s="67">
        <v>12492.18</v>
      </c>
      <c r="R7" s="67"/>
      <c r="S7" s="68">
        <f>Q7+R7</f>
        <v>12492.18</v>
      </c>
    </row>
    <row r="8" spans="1:20" ht="40.5" customHeight="1" x14ac:dyDescent="0.25">
      <c r="B8" s="330" t="s">
        <v>371</v>
      </c>
      <c r="C8" s="236" t="s">
        <v>373</v>
      </c>
      <c r="D8" s="331" t="s">
        <v>372</v>
      </c>
      <c r="E8" s="29" t="s">
        <v>374</v>
      </c>
      <c r="F8" s="2" t="s">
        <v>7</v>
      </c>
      <c r="G8" s="186">
        <v>2.63E-2</v>
      </c>
      <c r="H8" s="186">
        <v>0.1845</v>
      </c>
      <c r="I8" s="187">
        <v>45199</v>
      </c>
      <c r="J8" s="187">
        <v>45214</v>
      </c>
      <c r="K8" s="187">
        <v>44378</v>
      </c>
      <c r="L8" s="188" t="s">
        <v>325</v>
      </c>
      <c r="M8" s="70">
        <v>3739.6</v>
      </c>
      <c r="N8" s="70"/>
      <c r="O8" s="67">
        <f>M8+N8</f>
        <v>3739.6</v>
      </c>
      <c r="P8" s="42"/>
      <c r="Q8" s="43">
        <v>3739.6</v>
      </c>
      <c r="R8" s="67"/>
      <c r="S8" s="68">
        <f>SUM(Q8:R8)</f>
        <v>3739.6</v>
      </c>
    </row>
    <row r="9" spans="1:20" ht="35.25" customHeight="1" x14ac:dyDescent="0.25">
      <c r="B9" s="2" t="s">
        <v>223</v>
      </c>
      <c r="C9" s="236" t="s">
        <v>333</v>
      </c>
      <c r="D9" s="93" t="s">
        <v>224</v>
      </c>
      <c r="E9" s="2" t="s">
        <v>225</v>
      </c>
      <c r="F9" s="2" t="s">
        <v>7</v>
      </c>
      <c r="G9" s="186">
        <v>2.63E-2</v>
      </c>
      <c r="H9" s="186">
        <v>0.1845</v>
      </c>
      <c r="I9" s="187">
        <v>44834</v>
      </c>
      <c r="J9" s="187">
        <v>44849</v>
      </c>
      <c r="K9" s="187">
        <v>43614</v>
      </c>
      <c r="L9" s="188" t="s">
        <v>274</v>
      </c>
      <c r="M9" s="78">
        <v>13724.53</v>
      </c>
      <c r="N9" s="67"/>
      <c r="O9" s="67">
        <f>M9+N9</f>
        <v>13724.53</v>
      </c>
      <c r="P9" s="67"/>
      <c r="Q9" s="67">
        <v>13724.53</v>
      </c>
      <c r="R9" s="67"/>
      <c r="S9" s="68">
        <f>Q9+R9</f>
        <v>13724.53</v>
      </c>
    </row>
    <row r="10" spans="1:20" ht="35.25" customHeight="1" x14ac:dyDescent="0.25">
      <c r="B10" s="2" t="s">
        <v>275</v>
      </c>
      <c r="C10" s="236" t="s">
        <v>333</v>
      </c>
      <c r="D10" s="93" t="s">
        <v>224</v>
      </c>
      <c r="E10" s="2" t="s">
        <v>276</v>
      </c>
      <c r="F10" s="2" t="s">
        <v>7</v>
      </c>
      <c r="G10" s="186">
        <v>2.63E-2</v>
      </c>
      <c r="H10" s="186">
        <v>0.1845</v>
      </c>
      <c r="I10" s="297">
        <v>44773</v>
      </c>
      <c r="J10" s="297">
        <v>44788</v>
      </c>
      <c r="K10" s="187">
        <v>43980</v>
      </c>
      <c r="L10" s="188" t="s">
        <v>277</v>
      </c>
      <c r="M10" s="79">
        <v>728.12</v>
      </c>
      <c r="N10" s="70"/>
      <c r="O10" s="67">
        <f>M10+N10</f>
        <v>728.12</v>
      </c>
      <c r="P10" s="67"/>
      <c r="Q10" s="67">
        <v>710</v>
      </c>
      <c r="R10" s="67"/>
      <c r="S10" s="68">
        <f>Q10+R10</f>
        <v>710</v>
      </c>
    </row>
    <row r="11" spans="1:20" ht="35.25" customHeight="1" x14ac:dyDescent="0.25">
      <c r="B11" s="2" t="s">
        <v>279</v>
      </c>
      <c r="C11" s="236" t="s">
        <v>333</v>
      </c>
      <c r="D11" s="93" t="s">
        <v>224</v>
      </c>
      <c r="E11" s="2" t="s">
        <v>280</v>
      </c>
      <c r="F11" s="2" t="s">
        <v>7</v>
      </c>
      <c r="G11" s="186">
        <v>2.63E-2</v>
      </c>
      <c r="H11" s="186">
        <v>0.1845</v>
      </c>
      <c r="I11" s="187">
        <v>44592</v>
      </c>
      <c r="J11" s="187">
        <v>44592</v>
      </c>
      <c r="K11" s="187">
        <v>43980</v>
      </c>
      <c r="L11" s="188" t="s">
        <v>332</v>
      </c>
      <c r="M11" s="79">
        <v>3000</v>
      </c>
      <c r="N11" s="67"/>
      <c r="O11" s="67">
        <f t="shared" ref="O11:O21" si="0">M11+N11</f>
        <v>3000</v>
      </c>
      <c r="P11" s="66"/>
      <c r="Q11" s="67"/>
      <c r="R11" s="67"/>
      <c r="S11" s="68">
        <f t="shared" ref="S11:S19" si="1">Q11+R11</f>
        <v>0</v>
      </c>
    </row>
    <row r="12" spans="1:20" ht="35.25" customHeight="1" x14ac:dyDescent="0.25">
      <c r="B12" s="2" t="s">
        <v>281</v>
      </c>
      <c r="C12" s="236" t="s">
        <v>334</v>
      </c>
      <c r="D12" s="93" t="s">
        <v>231</v>
      </c>
      <c r="E12" s="2" t="s">
        <v>282</v>
      </c>
      <c r="F12" s="2" t="s">
        <v>7</v>
      </c>
      <c r="G12" s="186">
        <v>2.63E-2</v>
      </c>
      <c r="H12" s="186">
        <v>0.1845</v>
      </c>
      <c r="I12" s="187">
        <v>44742</v>
      </c>
      <c r="J12" s="187">
        <v>44757</v>
      </c>
      <c r="K12" s="187">
        <v>43979</v>
      </c>
      <c r="L12" s="188" t="s">
        <v>283</v>
      </c>
      <c r="M12" s="79">
        <v>1027</v>
      </c>
      <c r="N12" s="67"/>
      <c r="O12" s="67">
        <f t="shared" si="0"/>
        <v>1027</v>
      </c>
      <c r="P12" s="66"/>
      <c r="Q12" s="67">
        <v>1011.49</v>
      </c>
      <c r="R12" s="67"/>
      <c r="S12" s="68">
        <f t="shared" si="1"/>
        <v>1011.49</v>
      </c>
    </row>
    <row r="13" spans="1:20" ht="35.25" customHeight="1" x14ac:dyDescent="0.25">
      <c r="B13" s="2" t="s">
        <v>321</v>
      </c>
      <c r="C13" s="236" t="s">
        <v>333</v>
      </c>
      <c r="D13" s="93" t="s">
        <v>288</v>
      </c>
      <c r="E13" s="2" t="s">
        <v>322</v>
      </c>
      <c r="F13" s="2" t="s">
        <v>7</v>
      </c>
      <c r="G13" s="186">
        <f>G12:H12</f>
        <v>2.63E-2</v>
      </c>
      <c r="H13" s="186">
        <f>H12</f>
        <v>0.1845</v>
      </c>
      <c r="I13" s="187">
        <v>45199</v>
      </c>
      <c r="J13" s="187">
        <v>45214</v>
      </c>
      <c r="K13" s="187">
        <v>44201</v>
      </c>
      <c r="L13" s="188" t="s">
        <v>323</v>
      </c>
      <c r="M13" s="79">
        <v>40403.620000000003</v>
      </c>
      <c r="N13" s="67"/>
      <c r="O13" s="67">
        <f t="shared" si="0"/>
        <v>40403.620000000003</v>
      </c>
      <c r="P13" s="66"/>
      <c r="Q13" s="67">
        <f>17625+22778.62</f>
        <v>40403.619999999995</v>
      </c>
      <c r="R13" s="67"/>
      <c r="S13" s="68">
        <f t="shared" si="1"/>
        <v>40403.619999999995</v>
      </c>
    </row>
    <row r="14" spans="1:20" ht="35.25" customHeight="1" x14ac:dyDescent="0.25">
      <c r="B14" s="2" t="s">
        <v>324</v>
      </c>
      <c r="C14" s="236" t="s">
        <v>333</v>
      </c>
      <c r="D14" s="93" t="s">
        <v>288</v>
      </c>
      <c r="E14" s="2" t="s">
        <v>329</v>
      </c>
      <c r="F14" s="2" t="s">
        <v>7</v>
      </c>
      <c r="G14" s="186">
        <f>G13:H13</f>
        <v>2.63E-2</v>
      </c>
      <c r="H14" s="186">
        <f>H13</f>
        <v>0.1845</v>
      </c>
      <c r="I14" s="187">
        <v>45199</v>
      </c>
      <c r="J14" s="187">
        <v>45214</v>
      </c>
      <c r="K14" s="187">
        <v>44201</v>
      </c>
      <c r="L14" s="188" t="s">
        <v>325</v>
      </c>
      <c r="M14" s="79">
        <v>5822</v>
      </c>
      <c r="N14" s="67"/>
      <c r="O14" s="67">
        <f t="shared" si="0"/>
        <v>5822</v>
      </c>
      <c r="P14" s="66"/>
      <c r="Q14" s="67"/>
      <c r="R14" s="67"/>
      <c r="S14" s="68">
        <f t="shared" si="1"/>
        <v>0</v>
      </c>
    </row>
    <row r="15" spans="1:20" ht="35.25" customHeight="1" x14ac:dyDescent="0.25">
      <c r="B15" s="2" t="s">
        <v>326</v>
      </c>
      <c r="C15" s="236" t="s">
        <v>333</v>
      </c>
      <c r="D15" s="93" t="s">
        <v>288</v>
      </c>
      <c r="E15" s="2" t="s">
        <v>330</v>
      </c>
      <c r="F15" s="2" t="s">
        <v>7</v>
      </c>
      <c r="G15" s="186">
        <f>G14:H14</f>
        <v>2.63E-2</v>
      </c>
      <c r="H15" s="186">
        <f>H14</f>
        <v>0.1845</v>
      </c>
      <c r="I15" s="187">
        <v>45199</v>
      </c>
      <c r="J15" s="187">
        <v>45214</v>
      </c>
      <c r="K15" s="187">
        <v>44201</v>
      </c>
      <c r="L15" s="188" t="s">
        <v>323</v>
      </c>
      <c r="M15" s="79">
        <v>10605.95</v>
      </c>
      <c r="N15" s="67"/>
      <c r="O15" s="67">
        <f t="shared" si="0"/>
        <v>10605.95</v>
      </c>
      <c r="P15" s="66"/>
      <c r="Q15" s="67">
        <v>10605.95</v>
      </c>
      <c r="R15" s="67"/>
      <c r="S15" s="68">
        <f t="shared" si="1"/>
        <v>10605.95</v>
      </c>
    </row>
    <row r="16" spans="1:20" ht="35.25" customHeight="1" x14ac:dyDescent="0.25">
      <c r="B16" s="2" t="s">
        <v>370</v>
      </c>
      <c r="C16" s="236" t="s">
        <v>333</v>
      </c>
      <c r="D16" s="93" t="s">
        <v>288</v>
      </c>
      <c r="E16" s="2" t="s">
        <v>331</v>
      </c>
      <c r="F16" s="2" t="s">
        <v>7</v>
      </c>
      <c r="G16" s="186">
        <f t="shared" ref="G16" si="2">G15:H15</f>
        <v>2.63E-2</v>
      </c>
      <c r="H16" s="186">
        <f t="shared" ref="H16" si="3">H15</f>
        <v>0.1845</v>
      </c>
      <c r="I16" s="187">
        <v>45199</v>
      </c>
      <c r="J16" s="187">
        <v>45214</v>
      </c>
      <c r="K16" s="187">
        <v>44201</v>
      </c>
      <c r="L16" s="188" t="s">
        <v>325</v>
      </c>
      <c r="M16" s="79">
        <v>50201.49</v>
      </c>
      <c r="N16" s="67"/>
      <c r="O16" s="67">
        <f t="shared" si="0"/>
        <v>50201.49</v>
      </c>
      <c r="P16" s="66"/>
      <c r="Q16" s="67">
        <v>50201.49</v>
      </c>
      <c r="R16" s="67"/>
      <c r="S16" s="68">
        <f t="shared" si="1"/>
        <v>50201.49</v>
      </c>
    </row>
    <row r="17" spans="2:19" ht="35.25" customHeight="1" x14ac:dyDescent="0.25">
      <c r="B17" s="2" t="s">
        <v>287</v>
      </c>
      <c r="C17" s="236" t="s">
        <v>333</v>
      </c>
      <c r="D17" s="93" t="s">
        <v>288</v>
      </c>
      <c r="E17" s="2" t="s">
        <v>289</v>
      </c>
      <c r="F17" s="2" t="s">
        <v>7</v>
      </c>
      <c r="G17" s="186">
        <v>2.63E-2</v>
      </c>
      <c r="H17" s="186">
        <v>0.1845</v>
      </c>
      <c r="I17" s="187">
        <v>45199</v>
      </c>
      <c r="J17" s="187">
        <v>45199</v>
      </c>
      <c r="K17" s="187">
        <v>44201</v>
      </c>
      <c r="L17" s="188" t="s">
        <v>320</v>
      </c>
      <c r="M17" s="79">
        <v>92928.320000000007</v>
      </c>
      <c r="N17" s="67"/>
      <c r="O17" s="67">
        <f t="shared" si="0"/>
        <v>92928.320000000007</v>
      </c>
      <c r="P17" s="66"/>
      <c r="Q17" s="67">
        <f>56520.56+6656.99+29750.01</f>
        <v>92927.56</v>
      </c>
      <c r="R17" s="67"/>
      <c r="S17" s="68">
        <f t="shared" si="1"/>
        <v>92927.56</v>
      </c>
    </row>
    <row r="18" spans="2:19" ht="35.25" customHeight="1" x14ac:dyDescent="0.25">
      <c r="B18" s="2" t="s">
        <v>352</v>
      </c>
      <c r="C18" s="236" t="s">
        <v>353</v>
      </c>
      <c r="D18" s="93" t="s">
        <v>354</v>
      </c>
      <c r="E18" s="2" t="s">
        <v>355</v>
      </c>
      <c r="F18" s="2" t="s">
        <v>7</v>
      </c>
      <c r="G18" s="186">
        <v>2.63E-2</v>
      </c>
      <c r="H18" s="186">
        <v>0.1845</v>
      </c>
      <c r="I18" s="187">
        <v>45565</v>
      </c>
      <c r="J18" s="187">
        <v>45580</v>
      </c>
      <c r="K18" s="187">
        <v>44279</v>
      </c>
      <c r="L18" s="188" t="s">
        <v>356</v>
      </c>
      <c r="M18" s="79">
        <v>363337.12</v>
      </c>
      <c r="N18" s="67"/>
      <c r="O18" s="67">
        <f t="shared" si="0"/>
        <v>363337.12</v>
      </c>
      <c r="P18" s="66"/>
      <c r="Q18" s="67"/>
      <c r="R18" s="67"/>
      <c r="S18" s="68">
        <f t="shared" si="1"/>
        <v>0</v>
      </c>
    </row>
    <row r="19" spans="2:19" ht="35.25" customHeight="1" x14ac:dyDescent="0.25">
      <c r="B19" s="2" t="s">
        <v>357</v>
      </c>
      <c r="C19" s="236" t="s">
        <v>353</v>
      </c>
      <c r="D19" s="93" t="s">
        <v>354</v>
      </c>
      <c r="E19" s="2" t="s">
        <v>358</v>
      </c>
      <c r="F19" s="2" t="s">
        <v>7</v>
      </c>
      <c r="G19" s="186">
        <v>2.63E-2</v>
      </c>
      <c r="H19" s="186">
        <v>0.1845</v>
      </c>
      <c r="I19" s="187">
        <v>45565</v>
      </c>
      <c r="J19" s="187">
        <v>45580</v>
      </c>
      <c r="K19" s="187">
        <v>44279</v>
      </c>
      <c r="L19" s="188" t="s">
        <v>356</v>
      </c>
      <c r="M19" s="79">
        <v>90834.28</v>
      </c>
      <c r="N19" s="67"/>
      <c r="O19" s="67">
        <f t="shared" si="0"/>
        <v>90834.28</v>
      </c>
      <c r="P19" s="66"/>
      <c r="Q19" s="67"/>
      <c r="R19" s="67"/>
      <c r="S19" s="68">
        <f t="shared" si="1"/>
        <v>0</v>
      </c>
    </row>
    <row r="20" spans="2:19" ht="35.25" customHeight="1" x14ac:dyDescent="0.25">
      <c r="B20" s="2" t="s">
        <v>363</v>
      </c>
      <c r="C20" s="236" t="s">
        <v>333</v>
      </c>
      <c r="D20" s="93" t="s">
        <v>288</v>
      </c>
      <c r="E20" s="2" t="s">
        <v>364</v>
      </c>
      <c r="F20" s="2" t="s">
        <v>7</v>
      </c>
      <c r="G20" s="186">
        <v>2.63E-2</v>
      </c>
      <c r="H20" s="186">
        <v>0.1845</v>
      </c>
      <c r="I20" s="187">
        <v>45199</v>
      </c>
      <c r="J20" s="187">
        <v>45214</v>
      </c>
      <c r="K20" s="187">
        <v>44201</v>
      </c>
      <c r="L20" s="188" t="s">
        <v>365</v>
      </c>
      <c r="M20" s="79">
        <v>855.19</v>
      </c>
      <c r="N20" s="67"/>
      <c r="O20" s="67">
        <f t="shared" si="0"/>
        <v>855.19</v>
      </c>
      <c r="P20" s="66"/>
      <c r="Q20" s="67"/>
      <c r="R20" s="67"/>
      <c r="S20" s="68"/>
    </row>
    <row r="21" spans="2:19" ht="35.25" customHeight="1" x14ac:dyDescent="0.25">
      <c r="B21" s="2" t="s">
        <v>366</v>
      </c>
      <c r="C21" s="236" t="s">
        <v>333</v>
      </c>
      <c r="D21" s="93" t="s">
        <v>367</v>
      </c>
      <c r="E21" s="2" t="s">
        <v>368</v>
      </c>
      <c r="F21" s="2" t="s">
        <v>7</v>
      </c>
      <c r="G21" s="186">
        <v>2.63E-2</v>
      </c>
      <c r="H21" s="186">
        <v>0.1845</v>
      </c>
      <c r="I21" s="187">
        <v>45199</v>
      </c>
      <c r="J21" s="187">
        <v>45214</v>
      </c>
      <c r="K21" s="187">
        <v>44201</v>
      </c>
      <c r="L21" s="188" t="s">
        <v>369</v>
      </c>
      <c r="M21" s="79">
        <v>7332.88</v>
      </c>
      <c r="N21" s="67"/>
      <c r="O21" s="67">
        <f t="shared" si="0"/>
        <v>7332.88</v>
      </c>
      <c r="P21" s="66"/>
      <c r="Q21" s="67"/>
      <c r="R21" s="67"/>
      <c r="S21" s="68"/>
    </row>
    <row r="22" spans="2:19" ht="15" customHeight="1" x14ac:dyDescent="0.25">
      <c r="C22" s="236"/>
      <c r="D22" s="93"/>
      <c r="G22" s="186"/>
      <c r="H22" s="186"/>
      <c r="I22" s="187"/>
      <c r="J22" s="187"/>
      <c r="K22" s="187"/>
      <c r="L22" s="188"/>
      <c r="M22" s="78"/>
      <c r="N22" s="67"/>
      <c r="O22" s="67"/>
      <c r="P22" s="67"/>
      <c r="Q22" s="67"/>
      <c r="R22" s="67"/>
      <c r="S22" s="68"/>
    </row>
    <row r="23" spans="2:19" ht="23.25" customHeight="1" x14ac:dyDescent="0.25">
      <c r="C23" s="93"/>
      <c r="D23" s="93"/>
      <c r="G23" s="123"/>
      <c r="H23" s="123"/>
      <c r="I23" s="116"/>
      <c r="J23" s="116"/>
      <c r="K23" s="116" t="s">
        <v>100</v>
      </c>
      <c r="L23" s="21" t="s">
        <v>38</v>
      </c>
      <c r="M23" s="273">
        <f>SUM(M7:M22)</f>
        <v>697032.27999999991</v>
      </c>
      <c r="N23" s="273">
        <f>SUM(N7:N22)</f>
        <v>0</v>
      </c>
      <c r="O23" s="273">
        <f>SUM(O7:O22)</f>
        <v>697032.27999999991</v>
      </c>
      <c r="P23" s="66"/>
      <c r="Q23" s="273">
        <f>SUM(Q7:Q22)</f>
        <v>225816.41999999998</v>
      </c>
      <c r="R23" s="273">
        <f>SUM(R7:R22)</f>
        <v>0</v>
      </c>
      <c r="S23" s="23">
        <f>SUM(S7:S22)</f>
        <v>225816.41999999998</v>
      </c>
    </row>
    <row r="24" spans="2:19" x14ac:dyDescent="0.25">
      <c r="C24" s="93"/>
      <c r="D24" s="93"/>
      <c r="G24" s="123"/>
      <c r="H24" s="123"/>
      <c r="I24" s="116"/>
      <c r="J24" s="116"/>
      <c r="K24" s="116"/>
      <c r="L24" s="21"/>
      <c r="M24" s="66"/>
      <c r="N24" s="66"/>
      <c r="O24" s="66"/>
      <c r="P24" s="66"/>
      <c r="Q24" s="66"/>
      <c r="R24" s="66"/>
      <c r="S24" s="68"/>
    </row>
    <row r="25" spans="2:19" x14ac:dyDescent="0.25">
      <c r="B25" s="8" t="s">
        <v>125</v>
      </c>
      <c r="C25" s="92"/>
      <c r="D25" s="92"/>
      <c r="S25" s="27"/>
    </row>
    <row r="26" spans="2:19" ht="33.75" customHeight="1" x14ac:dyDescent="0.25">
      <c r="B26" s="341" t="s">
        <v>126</v>
      </c>
      <c r="C26" s="341"/>
      <c r="D26" s="341"/>
      <c r="E26" s="341"/>
      <c r="F26" s="341"/>
      <c r="S26" s="27"/>
    </row>
    <row r="27" spans="2:19" x14ac:dyDescent="0.25">
      <c r="C27" s="92"/>
      <c r="D27" s="92"/>
      <c r="S27" s="27"/>
    </row>
    <row r="28" spans="2:19" ht="50.25" customHeight="1" x14ac:dyDescent="0.25">
      <c r="B28" s="341" t="s">
        <v>129</v>
      </c>
      <c r="C28" s="341"/>
      <c r="D28" s="341"/>
      <c r="E28" s="341"/>
      <c r="F28" s="341"/>
      <c r="S28" s="27"/>
    </row>
    <row r="29" spans="2:19" x14ac:dyDescent="0.25">
      <c r="B29" s="237"/>
      <c r="C29" s="237"/>
      <c r="D29" s="237"/>
      <c r="E29" s="237"/>
      <c r="S29" s="27"/>
    </row>
    <row r="30" spans="2:19" ht="32.25" customHeight="1" x14ac:dyDescent="0.25">
      <c r="B30" s="341" t="s">
        <v>160</v>
      </c>
      <c r="C30" s="341"/>
      <c r="D30" s="341"/>
      <c r="E30" s="341"/>
      <c r="F30" s="341"/>
      <c r="S30" s="27"/>
    </row>
    <row r="31" spans="2:19" ht="15" customHeight="1" x14ac:dyDescent="0.25">
      <c r="B31" s="347" t="s">
        <v>159</v>
      </c>
      <c r="C31" s="341"/>
      <c r="D31" s="341"/>
      <c r="E31" s="341"/>
      <c r="F31" s="341"/>
      <c r="S31" s="27"/>
    </row>
    <row r="32" spans="2:19" ht="15" customHeight="1" x14ac:dyDescent="0.25">
      <c r="B32" s="237"/>
      <c r="C32" s="237"/>
      <c r="D32" s="237"/>
      <c r="E32" s="237"/>
      <c r="S32" s="27"/>
    </row>
    <row r="33" spans="2:20" x14ac:dyDescent="0.25">
      <c r="B33" s="7" t="s">
        <v>109</v>
      </c>
      <c r="C33" s="101" t="s">
        <v>112</v>
      </c>
      <c r="D33" s="101" t="s">
        <v>113</v>
      </c>
      <c r="E33" s="237"/>
      <c r="S33" s="27"/>
    </row>
    <row r="34" spans="2:20" x14ac:dyDescent="0.25">
      <c r="B34" s="319" t="s">
        <v>111</v>
      </c>
      <c r="C34" s="92" t="s">
        <v>300</v>
      </c>
      <c r="D34" s="92" t="s">
        <v>303</v>
      </c>
      <c r="E34" s="318"/>
      <c r="S34" s="27"/>
    </row>
    <row r="35" spans="2:20" x14ac:dyDescent="0.25">
      <c r="B35" s="2" t="s">
        <v>230</v>
      </c>
      <c r="C35" s="92" t="s">
        <v>135</v>
      </c>
      <c r="D35" s="92" t="s">
        <v>147</v>
      </c>
      <c r="S35" s="27"/>
    </row>
    <row r="36" spans="2:20" x14ac:dyDescent="0.25">
      <c r="B36" s="2" t="s">
        <v>275</v>
      </c>
      <c r="C36" s="92" t="s">
        <v>135</v>
      </c>
      <c r="D36" s="92" t="s">
        <v>147</v>
      </c>
      <c r="S36" s="27"/>
    </row>
    <row r="37" spans="2:20" x14ac:dyDescent="0.25">
      <c r="B37" s="2" t="s">
        <v>279</v>
      </c>
      <c r="C37" s="92" t="s">
        <v>135</v>
      </c>
      <c r="D37" s="92" t="s">
        <v>147</v>
      </c>
      <c r="S37" s="27"/>
    </row>
    <row r="38" spans="2:20" x14ac:dyDescent="0.25">
      <c r="B38" s="2" t="s">
        <v>281</v>
      </c>
      <c r="C38" s="92" t="s">
        <v>135</v>
      </c>
      <c r="D38" s="92" t="s">
        <v>147</v>
      </c>
      <c r="S38" s="27"/>
    </row>
    <row r="39" spans="2:20" x14ac:dyDescent="0.25">
      <c r="B39" s="2" t="s">
        <v>286</v>
      </c>
      <c r="C39" s="92" t="s">
        <v>135</v>
      </c>
      <c r="D39" s="92" t="s">
        <v>147</v>
      </c>
      <c r="S39" s="27"/>
    </row>
    <row r="40" spans="2:20" x14ac:dyDescent="0.25">
      <c r="C40" s="92"/>
      <c r="D40" s="92"/>
      <c r="S40" s="27"/>
    </row>
    <row r="41" spans="2:20" x14ac:dyDescent="0.25">
      <c r="B41" s="264" t="s">
        <v>298</v>
      </c>
      <c r="C41" s="42"/>
      <c r="D41" s="42"/>
      <c r="E41" s="29"/>
      <c r="F41" s="29"/>
      <c r="G41" s="29"/>
      <c r="H41" s="29"/>
      <c r="I41" s="29"/>
      <c r="J41" s="29"/>
      <c r="K41" s="29"/>
      <c r="L41" s="29"/>
      <c r="M41" s="29"/>
      <c r="N41" s="29"/>
      <c r="O41" s="29"/>
      <c r="P41" s="29"/>
      <c r="Q41" s="29"/>
      <c r="R41" s="29"/>
      <c r="S41" s="27"/>
    </row>
    <row r="42" spans="2:20" x14ac:dyDescent="0.25">
      <c r="B42" s="265" t="s">
        <v>299</v>
      </c>
      <c r="C42" s="42"/>
      <c r="D42" s="42"/>
      <c r="E42" s="29"/>
      <c r="F42" s="29"/>
      <c r="G42" s="29"/>
      <c r="H42" s="29"/>
      <c r="I42" s="29"/>
      <c r="J42" s="29"/>
      <c r="K42" s="29"/>
      <c r="L42" s="29"/>
      <c r="M42" s="29"/>
      <c r="N42" s="29"/>
      <c r="O42" s="29"/>
      <c r="P42" s="29"/>
      <c r="Q42" s="29"/>
      <c r="R42" s="29"/>
      <c r="S42" s="27"/>
    </row>
    <row r="43" spans="2:20" x14ac:dyDescent="0.25">
      <c r="B43" s="265"/>
      <c r="C43" s="42"/>
      <c r="D43" s="42"/>
      <c r="E43" s="29"/>
      <c r="F43" s="29"/>
      <c r="G43" s="29"/>
      <c r="H43" s="29"/>
      <c r="I43" s="29"/>
      <c r="J43" s="29"/>
      <c r="K43" s="29"/>
      <c r="L43" s="29"/>
      <c r="M43" s="29"/>
      <c r="N43" s="29"/>
      <c r="O43" s="29"/>
      <c r="P43" s="29"/>
      <c r="Q43" s="29"/>
      <c r="R43" s="29"/>
      <c r="S43" s="27"/>
    </row>
    <row r="44" spans="2:20" x14ac:dyDescent="0.25">
      <c r="B44" s="266"/>
      <c r="C44" s="262"/>
      <c r="D44" s="262"/>
      <c r="E44" s="109"/>
      <c r="F44" s="109"/>
      <c r="G44" s="109"/>
      <c r="H44" s="109"/>
      <c r="I44" s="109"/>
      <c r="J44" s="109"/>
      <c r="K44" s="109"/>
      <c r="L44" s="109"/>
      <c r="M44" s="109"/>
      <c r="N44" s="109"/>
      <c r="O44" s="109"/>
      <c r="P44" s="109"/>
      <c r="Q44" s="166" t="s">
        <v>90</v>
      </c>
      <c r="R44" s="163"/>
      <c r="S44" s="164"/>
    </row>
    <row r="45" spans="2:20" x14ac:dyDescent="0.25">
      <c r="B45" s="17" t="s">
        <v>39</v>
      </c>
      <c r="C45" s="239" t="s">
        <v>2</v>
      </c>
      <c r="D45" s="239"/>
      <c r="E45" s="239" t="s">
        <v>34</v>
      </c>
      <c r="F45" s="239" t="s">
        <v>35</v>
      </c>
      <c r="G45" s="239"/>
      <c r="H45" s="239"/>
      <c r="I45" s="239"/>
      <c r="J45" s="239"/>
      <c r="K45" s="239"/>
      <c r="L45" s="239" t="s">
        <v>36</v>
      </c>
      <c r="M45" s="239" t="s">
        <v>37</v>
      </c>
      <c r="N45" s="47"/>
      <c r="O45" s="47"/>
      <c r="P45" s="47"/>
      <c r="Q45" s="54" t="s">
        <v>88</v>
      </c>
      <c r="R45" s="52"/>
      <c r="S45" s="53"/>
      <c r="T45" s="51"/>
    </row>
    <row r="46" spans="2:20" ht="15" customHeight="1" x14ac:dyDescent="0.25">
      <c r="B46" s="63"/>
      <c r="C46" s="148"/>
      <c r="D46" s="148"/>
      <c r="E46" s="148"/>
      <c r="F46" s="148"/>
      <c r="G46" s="148"/>
      <c r="H46" s="148"/>
      <c r="I46" s="148"/>
      <c r="J46" s="148"/>
      <c r="K46" s="148"/>
      <c r="L46" s="148"/>
      <c r="M46" s="148"/>
      <c r="N46" s="45"/>
      <c r="O46" s="45"/>
      <c r="P46" s="45"/>
      <c r="T46" s="51"/>
    </row>
    <row r="47" spans="2:20" ht="15" customHeight="1" x14ac:dyDescent="0.25">
      <c r="B47" s="63"/>
      <c r="C47" s="148"/>
      <c r="D47" s="148"/>
      <c r="E47" s="148"/>
      <c r="F47" s="148"/>
      <c r="G47" s="148"/>
      <c r="H47" s="148"/>
      <c r="I47" s="148"/>
      <c r="J47" s="148"/>
      <c r="K47" s="148"/>
      <c r="L47" s="148"/>
      <c r="M47" s="148"/>
      <c r="N47" s="45"/>
      <c r="O47" s="45"/>
      <c r="P47" s="45"/>
      <c r="Q47" s="59"/>
      <c r="R47" s="50"/>
      <c r="S47" s="50"/>
      <c r="T47" s="51"/>
    </row>
    <row r="48" spans="2:20" ht="15" customHeight="1" x14ac:dyDescent="0.25">
      <c r="B48" s="11"/>
      <c r="C48" s="148"/>
      <c r="D48" s="148"/>
      <c r="E48" s="148"/>
      <c r="R48" s="51"/>
      <c r="S48" s="51"/>
      <c r="T48" s="51"/>
    </row>
    <row r="49" spans="2:20" ht="15" customHeight="1" x14ac:dyDescent="0.25">
      <c r="B49" s="11"/>
      <c r="C49" s="148"/>
      <c r="D49" s="148"/>
      <c r="E49" s="148"/>
      <c r="R49" s="51"/>
      <c r="S49" s="51"/>
      <c r="T49" s="51"/>
    </row>
    <row r="50" spans="2:20" x14ac:dyDescent="0.25">
      <c r="B50" s="12"/>
      <c r="C50" s="13"/>
      <c r="D50" s="13"/>
      <c r="E50" s="41"/>
      <c r="F50" s="15"/>
      <c r="G50" s="15"/>
      <c r="H50" s="15"/>
      <c r="I50" s="15"/>
      <c r="J50" s="15"/>
      <c r="K50" s="15"/>
      <c r="L50" s="16"/>
      <c r="M50" s="20"/>
      <c r="N50" s="18"/>
      <c r="O50" s="18"/>
      <c r="P50" s="18"/>
    </row>
    <row r="51" spans="2:20" x14ac:dyDescent="0.25">
      <c r="B51" s="12"/>
      <c r="C51" s="13"/>
      <c r="D51" s="13"/>
      <c r="E51" s="41"/>
      <c r="F51" s="15"/>
      <c r="G51" s="15"/>
      <c r="H51" s="15"/>
      <c r="I51" s="15"/>
      <c r="J51" s="15"/>
      <c r="K51" s="15"/>
      <c r="L51" s="16"/>
      <c r="M51" s="20"/>
      <c r="N51" s="18"/>
      <c r="O51" s="18"/>
      <c r="P51" s="18"/>
    </row>
    <row r="52" spans="2:20" x14ac:dyDescent="0.25">
      <c r="B52" s="12"/>
      <c r="C52" s="13"/>
      <c r="D52" s="13"/>
      <c r="E52" s="41"/>
      <c r="F52" s="15"/>
      <c r="G52" s="15"/>
      <c r="H52" s="15"/>
      <c r="I52" s="15"/>
      <c r="J52" s="15"/>
      <c r="K52" s="15"/>
      <c r="L52" s="16"/>
      <c r="M52" s="20"/>
      <c r="N52" s="18"/>
      <c r="O52" s="18"/>
      <c r="P52" s="18"/>
    </row>
    <row r="53" spans="2:20" x14ac:dyDescent="0.25">
      <c r="B53" s="12"/>
      <c r="C53" s="13"/>
      <c r="D53" s="13"/>
      <c r="E53" s="41"/>
      <c r="F53" s="15"/>
      <c r="G53" s="15"/>
      <c r="H53" s="15"/>
      <c r="I53" s="15"/>
      <c r="J53" s="15"/>
      <c r="K53" s="15"/>
      <c r="L53" s="16"/>
      <c r="M53" s="20"/>
      <c r="N53" s="18"/>
      <c r="O53" s="18"/>
      <c r="P53" s="18"/>
    </row>
    <row r="54" spans="2:20" x14ac:dyDescent="0.25">
      <c r="B54" s="12"/>
      <c r="C54" s="13"/>
      <c r="D54" s="13"/>
      <c r="E54" s="41"/>
      <c r="F54" s="15"/>
      <c r="G54" s="15"/>
      <c r="H54" s="15"/>
      <c r="I54" s="15"/>
      <c r="J54" s="15"/>
      <c r="K54" s="15"/>
      <c r="L54" s="16"/>
      <c r="M54" s="20"/>
      <c r="N54" s="18"/>
      <c r="O54" s="18"/>
      <c r="P54" s="18"/>
    </row>
    <row r="55" spans="2:20" x14ac:dyDescent="0.25">
      <c r="Q55" s="309" t="s">
        <v>316</v>
      </c>
      <c r="R55" s="309"/>
      <c r="S55" s="310">
        <f>S23</f>
        <v>225816.41999999998</v>
      </c>
    </row>
  </sheetData>
  <mergeCells count="6">
    <mergeCell ref="B31:F31"/>
    <mergeCell ref="Q1:S1"/>
    <mergeCell ref="Q2:S2"/>
    <mergeCell ref="B26:F26"/>
    <mergeCell ref="B28:F28"/>
    <mergeCell ref="B30:F30"/>
  </mergeCells>
  <hyperlinks>
    <hyperlink ref="B31" r:id="rId1"/>
  </hyperlinks>
  <printOptions horizontalCentered="1" gridLines="1"/>
  <pageMargins left="0" right="0" top="0.75" bottom="0.75" header="0.3" footer="0.3"/>
  <pageSetup scale="49" orientation="landscape" horizontalDpi="1200" verticalDpi="1200"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1"/>
  <sheetViews>
    <sheetView topLeftCell="B5" zoomScale="90" zoomScaleNormal="90" workbookViewId="0">
      <selection activeCell="Q12" sqref="Q12:Q16"/>
    </sheetView>
  </sheetViews>
  <sheetFormatPr defaultColWidth="9.140625" defaultRowHeight="15" x14ac:dyDescent="0.25"/>
  <cols>
    <col min="1" max="1" width="9.140625" style="2" hidden="1" customWidth="1"/>
    <col min="2" max="2" width="59.28515625" style="2" customWidth="1"/>
    <col min="3" max="3" width="27" style="2" customWidth="1"/>
    <col min="4" max="4" width="13.7109375" style="2" customWidth="1"/>
    <col min="5" max="5" width="17" style="2" customWidth="1"/>
    <col min="6" max="6" width="22.5703125" style="2" customWidth="1"/>
    <col min="7" max="7" width="11" style="2" customWidth="1"/>
    <col min="8" max="8" width="13.85546875" style="2" customWidth="1"/>
    <col min="9" max="9" width="13.42578125" style="2" customWidth="1"/>
    <col min="10" max="10" width="15.42578125" style="2" customWidth="1"/>
    <col min="11" max="11" width="9" style="2" customWidth="1"/>
    <col min="12" max="12" width="22.57031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5" style="2" customWidth="1"/>
    <col min="20" max="16384" width="9.140625" style="2"/>
  </cols>
  <sheetData>
    <row r="1" spans="1:20" ht="15.6" customHeight="1" x14ac:dyDescent="0.25">
      <c r="B1" s="1" t="s">
        <v>83</v>
      </c>
      <c r="Q1" s="338" t="s">
        <v>296</v>
      </c>
      <c r="R1" s="338"/>
      <c r="S1" s="338"/>
    </row>
    <row r="2" spans="1:20" ht="13.9" customHeight="1" x14ac:dyDescent="0.25">
      <c r="B2" s="88" t="s">
        <v>148</v>
      </c>
      <c r="C2" s="182">
        <v>44742</v>
      </c>
      <c r="M2" s="71"/>
      <c r="N2" s="71"/>
      <c r="P2" s="29"/>
      <c r="Q2" s="337" t="s">
        <v>375</v>
      </c>
      <c r="R2" s="337"/>
      <c r="S2" s="337"/>
    </row>
    <row r="3" spans="1:20" ht="15.75" thickBot="1" x14ac:dyDescent="0.3">
      <c r="A3" s="2" t="s">
        <v>16</v>
      </c>
      <c r="B3" s="44" t="s">
        <v>84</v>
      </c>
      <c r="C3" s="8"/>
      <c r="D3" s="8"/>
      <c r="E3" s="8"/>
      <c r="P3" s="29"/>
      <c r="Q3" s="45"/>
      <c r="R3" s="30"/>
    </row>
    <row r="4" spans="1:20" x14ac:dyDescent="0.25">
      <c r="B4" s="8" t="s">
        <v>174</v>
      </c>
      <c r="M4" s="85" t="s">
        <v>28</v>
      </c>
      <c r="N4" s="85" t="s">
        <v>28</v>
      </c>
      <c r="O4" s="85" t="s">
        <v>28</v>
      </c>
      <c r="P4" s="9"/>
      <c r="Q4" s="89" t="s">
        <v>29</v>
      </c>
      <c r="R4" s="89" t="s">
        <v>31</v>
      </c>
      <c r="S4" s="89" t="s">
        <v>23</v>
      </c>
      <c r="T4" s="7"/>
    </row>
    <row r="5" spans="1:20" ht="15.75" thickBot="1" x14ac:dyDescent="0.3">
      <c r="G5" s="183" t="s">
        <v>295</v>
      </c>
      <c r="H5" s="183" t="s">
        <v>295</v>
      </c>
      <c r="M5" s="86" t="s">
        <v>27</v>
      </c>
      <c r="N5" s="86" t="s">
        <v>26</v>
      </c>
      <c r="O5" s="86" t="s">
        <v>25</v>
      </c>
      <c r="P5" s="9"/>
      <c r="Q5" s="90" t="s">
        <v>30</v>
      </c>
      <c r="R5" s="90" t="s">
        <v>30</v>
      </c>
      <c r="S5" s="90" t="s">
        <v>30</v>
      </c>
      <c r="T5" s="7"/>
    </row>
    <row r="6" spans="1:20" ht="85.5" customHeight="1" thickBot="1" x14ac:dyDescent="0.3">
      <c r="B6" s="84" t="s">
        <v>1</v>
      </c>
      <c r="C6" s="84" t="s">
        <v>389</v>
      </c>
      <c r="D6" s="84" t="s">
        <v>107</v>
      </c>
      <c r="E6" s="84" t="s">
        <v>3</v>
      </c>
      <c r="F6" s="84" t="s">
        <v>4</v>
      </c>
      <c r="G6" s="107" t="s">
        <v>136</v>
      </c>
      <c r="H6" s="107" t="s">
        <v>137</v>
      </c>
      <c r="I6" s="107" t="s">
        <v>133</v>
      </c>
      <c r="J6" s="107" t="s">
        <v>134</v>
      </c>
      <c r="K6" s="107" t="s">
        <v>121</v>
      </c>
      <c r="L6" s="83" t="s">
        <v>5</v>
      </c>
      <c r="M6" s="87" t="s">
        <v>6</v>
      </c>
      <c r="N6" s="87" t="s">
        <v>6</v>
      </c>
      <c r="O6" s="87" t="s">
        <v>6</v>
      </c>
      <c r="P6" s="9"/>
      <c r="Q6" s="91"/>
      <c r="R6" s="97" t="s">
        <v>32</v>
      </c>
      <c r="S6" s="98" t="s">
        <v>33</v>
      </c>
    </row>
    <row r="7" spans="1:20" ht="40.5" customHeight="1" x14ac:dyDescent="0.25">
      <c r="B7" s="2" t="s">
        <v>128</v>
      </c>
      <c r="C7" s="236" t="s">
        <v>122</v>
      </c>
      <c r="D7" s="93" t="s">
        <v>310</v>
      </c>
      <c r="E7" s="2" t="s">
        <v>309</v>
      </c>
      <c r="F7" s="2" t="s">
        <v>7</v>
      </c>
      <c r="G7" s="186">
        <v>2.63E-2</v>
      </c>
      <c r="H7" s="186">
        <v>0.1845</v>
      </c>
      <c r="I7" s="187">
        <v>44742</v>
      </c>
      <c r="J7" s="187">
        <v>44743</v>
      </c>
      <c r="K7" s="187">
        <v>44378</v>
      </c>
      <c r="L7" s="204" t="s">
        <v>297</v>
      </c>
      <c r="M7" s="67">
        <v>2544.6999999999998</v>
      </c>
      <c r="N7" s="67"/>
      <c r="O7" s="67">
        <f>M7+N7</f>
        <v>2544.6999999999998</v>
      </c>
      <c r="P7" s="29"/>
      <c r="Q7" s="67">
        <v>2544.6999999999998</v>
      </c>
      <c r="R7" s="67"/>
      <c r="S7" s="68">
        <f>SUM(Q7:R7)</f>
        <v>2544.6999999999998</v>
      </c>
    </row>
    <row r="8" spans="1:20" ht="40.5" customHeight="1" x14ac:dyDescent="0.25">
      <c r="B8" s="330" t="s">
        <v>371</v>
      </c>
      <c r="C8" s="236" t="s">
        <v>373</v>
      </c>
      <c r="D8" s="331" t="s">
        <v>372</v>
      </c>
      <c r="E8" s="29" t="s">
        <v>374</v>
      </c>
      <c r="F8" s="2" t="s">
        <v>7</v>
      </c>
      <c r="G8" s="186">
        <v>2.63E-2</v>
      </c>
      <c r="H8" s="186">
        <v>0.1845</v>
      </c>
      <c r="I8" s="187">
        <v>45199</v>
      </c>
      <c r="J8" s="187">
        <v>45214</v>
      </c>
      <c r="K8" s="187">
        <v>44378</v>
      </c>
      <c r="L8" s="188" t="s">
        <v>325</v>
      </c>
      <c r="M8" s="70">
        <v>761.77</v>
      </c>
      <c r="N8" s="70"/>
      <c r="O8" s="67">
        <f>M8+N8</f>
        <v>761.77</v>
      </c>
      <c r="P8" s="42"/>
      <c r="Q8" s="43">
        <v>761.77</v>
      </c>
      <c r="R8" s="67"/>
      <c r="S8" s="68">
        <f>SUM(Q8:R8)</f>
        <v>761.77</v>
      </c>
    </row>
    <row r="9" spans="1:20" ht="38.25" customHeight="1" x14ac:dyDescent="0.25">
      <c r="B9" s="2" t="s">
        <v>223</v>
      </c>
      <c r="C9" s="236" t="s">
        <v>333</v>
      </c>
      <c r="D9" s="93" t="s">
        <v>224</v>
      </c>
      <c r="E9" s="2" t="s">
        <v>225</v>
      </c>
      <c r="F9" s="2" t="s">
        <v>7</v>
      </c>
      <c r="G9" s="186">
        <v>2.63E-2</v>
      </c>
      <c r="H9" s="186">
        <v>0.1845</v>
      </c>
      <c r="I9" s="187">
        <v>44834</v>
      </c>
      <c r="J9" s="187">
        <v>44849</v>
      </c>
      <c r="K9" s="187">
        <v>43614</v>
      </c>
      <c r="L9" s="188" t="s">
        <v>274</v>
      </c>
      <c r="M9" s="67">
        <v>12653.6</v>
      </c>
      <c r="N9" s="67"/>
      <c r="O9" s="246">
        <f>M9+N20</f>
        <v>12653.6</v>
      </c>
      <c r="P9" s="29"/>
      <c r="Q9" s="67">
        <v>12653.6</v>
      </c>
      <c r="R9" s="67"/>
      <c r="S9" s="248">
        <f>Q9+R20</f>
        <v>12653.6</v>
      </c>
    </row>
    <row r="10" spans="1:20" ht="38.25" customHeight="1" x14ac:dyDescent="0.25">
      <c r="B10" s="2" t="s">
        <v>279</v>
      </c>
      <c r="C10" s="236" t="s">
        <v>333</v>
      </c>
      <c r="D10" s="93" t="s">
        <v>224</v>
      </c>
      <c r="E10" s="2" t="s">
        <v>280</v>
      </c>
      <c r="F10" s="2" t="s">
        <v>7</v>
      </c>
      <c r="G10" s="186">
        <v>2.63E-2</v>
      </c>
      <c r="H10" s="186">
        <v>0.1845</v>
      </c>
      <c r="I10" s="187">
        <v>44592</v>
      </c>
      <c r="J10" s="187">
        <v>44592</v>
      </c>
      <c r="K10" s="187">
        <v>43980</v>
      </c>
      <c r="L10" s="188" t="s">
        <v>332</v>
      </c>
      <c r="M10" s="79">
        <v>3000</v>
      </c>
      <c r="N10" s="67"/>
      <c r="O10" s="67">
        <f t="shared" ref="O10:O19" si="0">M10+N10</f>
        <v>3000</v>
      </c>
      <c r="P10" s="66"/>
      <c r="Q10" s="67">
        <v>3000</v>
      </c>
      <c r="R10" s="67"/>
      <c r="S10" s="68">
        <f t="shared" ref="S10:S18" si="1">Q10+R10</f>
        <v>3000</v>
      </c>
    </row>
    <row r="11" spans="1:20" ht="38.25" customHeight="1" x14ac:dyDescent="0.25">
      <c r="B11" s="2" t="s">
        <v>281</v>
      </c>
      <c r="C11" s="236" t="s">
        <v>334</v>
      </c>
      <c r="D11" s="93" t="s">
        <v>231</v>
      </c>
      <c r="E11" s="2" t="s">
        <v>282</v>
      </c>
      <c r="F11" s="2" t="s">
        <v>7</v>
      </c>
      <c r="G11" s="186">
        <v>2.63E-2</v>
      </c>
      <c r="H11" s="186">
        <v>0.1845</v>
      </c>
      <c r="I11" s="187">
        <v>44742</v>
      </c>
      <c r="J11" s="187">
        <v>44757</v>
      </c>
      <c r="K11" s="187">
        <v>43979</v>
      </c>
      <c r="L11" s="188" t="s">
        <v>283</v>
      </c>
      <c r="M11" s="79">
        <v>1027</v>
      </c>
      <c r="N11" s="67"/>
      <c r="O11" s="67">
        <f t="shared" si="0"/>
        <v>1027</v>
      </c>
      <c r="P11" s="66"/>
      <c r="Q11" s="67"/>
      <c r="R11" s="67"/>
      <c r="S11" s="68">
        <f t="shared" si="1"/>
        <v>0</v>
      </c>
    </row>
    <row r="12" spans="1:20" ht="38.25" customHeight="1" x14ac:dyDescent="0.25">
      <c r="B12" s="2" t="s">
        <v>321</v>
      </c>
      <c r="C12" s="236" t="s">
        <v>333</v>
      </c>
      <c r="D12" s="93" t="s">
        <v>288</v>
      </c>
      <c r="E12" s="2" t="s">
        <v>322</v>
      </c>
      <c r="F12" s="2" t="s">
        <v>7</v>
      </c>
      <c r="G12" s="186">
        <f>G11:H11</f>
        <v>2.63E-2</v>
      </c>
      <c r="H12" s="186">
        <f>H11</f>
        <v>0.1845</v>
      </c>
      <c r="I12" s="187">
        <v>45199</v>
      </c>
      <c r="J12" s="187">
        <v>45214</v>
      </c>
      <c r="K12" s="187">
        <v>44201</v>
      </c>
      <c r="L12" s="188" t="s">
        <v>323</v>
      </c>
      <c r="M12" s="79">
        <v>15041.46</v>
      </c>
      <c r="N12" s="67"/>
      <c r="O12" s="67">
        <f t="shared" si="0"/>
        <v>15041.46</v>
      </c>
      <c r="P12" s="66"/>
      <c r="Q12" s="67">
        <v>15041.06</v>
      </c>
      <c r="R12" s="67"/>
      <c r="S12" s="68">
        <f t="shared" si="1"/>
        <v>15041.06</v>
      </c>
    </row>
    <row r="13" spans="1:20" ht="38.25" customHeight="1" x14ac:dyDescent="0.25">
      <c r="B13" s="2" t="s">
        <v>324</v>
      </c>
      <c r="C13" s="236" t="s">
        <v>333</v>
      </c>
      <c r="D13" s="93" t="s">
        <v>288</v>
      </c>
      <c r="E13" s="2" t="s">
        <v>329</v>
      </c>
      <c r="F13" s="2" t="s">
        <v>7</v>
      </c>
      <c r="G13" s="186">
        <f>G12:H12</f>
        <v>2.63E-2</v>
      </c>
      <c r="H13" s="186">
        <f>H12</f>
        <v>0.1845</v>
      </c>
      <c r="I13" s="187">
        <v>45199</v>
      </c>
      <c r="J13" s="187">
        <v>45214</v>
      </c>
      <c r="K13" s="187">
        <v>44201</v>
      </c>
      <c r="L13" s="188" t="s">
        <v>325</v>
      </c>
      <c r="M13" s="79">
        <v>5822</v>
      </c>
      <c r="N13" s="67"/>
      <c r="O13" s="67">
        <f t="shared" si="0"/>
        <v>5822</v>
      </c>
      <c r="P13" s="66"/>
      <c r="Q13" s="67"/>
      <c r="R13" s="67"/>
      <c r="S13" s="68">
        <f t="shared" si="1"/>
        <v>0</v>
      </c>
    </row>
    <row r="14" spans="1:20" ht="38.25" customHeight="1" x14ac:dyDescent="0.25">
      <c r="B14" s="2" t="s">
        <v>326</v>
      </c>
      <c r="C14" s="236" t="s">
        <v>333</v>
      </c>
      <c r="D14" s="93" t="s">
        <v>288</v>
      </c>
      <c r="E14" s="2" t="s">
        <v>330</v>
      </c>
      <c r="F14" s="2" t="s">
        <v>7</v>
      </c>
      <c r="G14" s="186">
        <f>G13:H13</f>
        <v>2.63E-2</v>
      </c>
      <c r="H14" s="186">
        <f>H13</f>
        <v>0.1845</v>
      </c>
      <c r="I14" s="187">
        <v>45199</v>
      </c>
      <c r="J14" s="187">
        <v>45214</v>
      </c>
      <c r="K14" s="187">
        <v>44201</v>
      </c>
      <c r="L14" s="188" t="s">
        <v>323</v>
      </c>
      <c r="M14" s="79">
        <v>3948.38</v>
      </c>
      <c r="N14" s="67"/>
      <c r="O14" s="67">
        <f t="shared" si="0"/>
        <v>3948.38</v>
      </c>
      <c r="P14" s="66"/>
      <c r="Q14" s="67">
        <v>3948.38</v>
      </c>
      <c r="R14" s="67"/>
      <c r="S14" s="68">
        <f t="shared" si="1"/>
        <v>3948.38</v>
      </c>
    </row>
    <row r="15" spans="1:20" ht="38.25" customHeight="1" x14ac:dyDescent="0.25">
      <c r="B15" s="2" t="s">
        <v>370</v>
      </c>
      <c r="C15" s="236" t="s">
        <v>333</v>
      </c>
      <c r="D15" s="93" t="s">
        <v>288</v>
      </c>
      <c r="E15" s="2" t="s">
        <v>331</v>
      </c>
      <c r="F15" s="2" t="s">
        <v>7</v>
      </c>
      <c r="G15" s="186">
        <f t="shared" ref="G15" si="2">G14:H14</f>
        <v>2.63E-2</v>
      </c>
      <c r="H15" s="186">
        <f t="shared" ref="H15" si="3">H14</f>
        <v>0.1845</v>
      </c>
      <c r="I15" s="187">
        <v>45199</v>
      </c>
      <c r="J15" s="187">
        <v>45214</v>
      </c>
      <c r="K15" s="187">
        <v>44201</v>
      </c>
      <c r="L15" s="188" t="s">
        <v>325</v>
      </c>
      <c r="M15" s="79">
        <v>18689.009999999998</v>
      </c>
      <c r="N15" s="67"/>
      <c r="O15" s="67">
        <f t="shared" si="0"/>
        <v>18689.009999999998</v>
      </c>
      <c r="P15" s="66"/>
      <c r="Q15" s="67">
        <v>18689.009999999998</v>
      </c>
      <c r="R15" s="67"/>
      <c r="S15" s="68">
        <f t="shared" si="1"/>
        <v>18689.009999999998</v>
      </c>
    </row>
    <row r="16" spans="1:20" ht="38.25" customHeight="1" x14ac:dyDescent="0.25">
      <c r="B16" s="2" t="s">
        <v>287</v>
      </c>
      <c r="C16" s="236" t="s">
        <v>333</v>
      </c>
      <c r="D16" s="93" t="s">
        <v>288</v>
      </c>
      <c r="E16" s="2" t="s">
        <v>289</v>
      </c>
      <c r="F16" s="2" t="s">
        <v>7</v>
      </c>
      <c r="G16" s="186">
        <v>2.63E-2</v>
      </c>
      <c r="H16" s="186">
        <v>0.1845</v>
      </c>
      <c r="I16" s="187">
        <v>45199</v>
      </c>
      <c r="J16" s="187">
        <v>45199</v>
      </c>
      <c r="K16" s="187">
        <v>44201</v>
      </c>
      <c r="L16" s="188" t="s">
        <v>320</v>
      </c>
      <c r="M16" s="79">
        <v>34595.35</v>
      </c>
      <c r="N16" s="67"/>
      <c r="O16" s="67">
        <f t="shared" si="0"/>
        <v>34595.35</v>
      </c>
      <c r="P16" s="66"/>
      <c r="Q16" s="67">
        <v>21658.93</v>
      </c>
      <c r="R16" s="67"/>
      <c r="S16" s="68">
        <f t="shared" si="1"/>
        <v>21658.93</v>
      </c>
    </row>
    <row r="17" spans="2:19" ht="38.25" customHeight="1" x14ac:dyDescent="0.25">
      <c r="B17" s="2" t="s">
        <v>352</v>
      </c>
      <c r="C17" s="236" t="s">
        <v>353</v>
      </c>
      <c r="D17" s="93" t="s">
        <v>354</v>
      </c>
      <c r="E17" s="2" t="s">
        <v>355</v>
      </c>
      <c r="F17" s="2" t="s">
        <v>7</v>
      </c>
      <c r="G17" s="186">
        <v>2.63E-2</v>
      </c>
      <c r="H17" s="186">
        <v>0.1845</v>
      </c>
      <c r="I17" s="187">
        <v>45565</v>
      </c>
      <c r="J17" s="187">
        <v>45580</v>
      </c>
      <c r="K17" s="187">
        <v>44279</v>
      </c>
      <c r="L17" s="188" t="s">
        <v>356</v>
      </c>
      <c r="M17" s="79">
        <v>135263.14000000001</v>
      </c>
      <c r="N17" s="67"/>
      <c r="O17" s="67">
        <f t="shared" si="0"/>
        <v>135263.14000000001</v>
      </c>
      <c r="P17" s="66"/>
      <c r="Q17" s="67"/>
      <c r="R17" s="67"/>
      <c r="S17" s="68">
        <f t="shared" si="1"/>
        <v>0</v>
      </c>
    </row>
    <row r="18" spans="2:19" ht="38.25" customHeight="1" x14ac:dyDescent="0.25">
      <c r="B18" s="2" t="s">
        <v>357</v>
      </c>
      <c r="C18" s="236" t="s">
        <v>353</v>
      </c>
      <c r="D18" s="93" t="s">
        <v>354</v>
      </c>
      <c r="E18" s="2" t="s">
        <v>358</v>
      </c>
      <c r="F18" s="2" t="s">
        <v>7</v>
      </c>
      <c r="G18" s="186">
        <v>2.63E-2</v>
      </c>
      <c r="H18" s="186">
        <v>0.1845</v>
      </c>
      <c r="I18" s="187">
        <v>45565</v>
      </c>
      <c r="J18" s="187">
        <v>45580</v>
      </c>
      <c r="K18" s="187">
        <v>44279</v>
      </c>
      <c r="L18" s="188" t="s">
        <v>356</v>
      </c>
      <c r="M18" s="79">
        <v>33815.79</v>
      </c>
      <c r="N18" s="67"/>
      <c r="O18" s="67">
        <f t="shared" si="0"/>
        <v>33815.79</v>
      </c>
      <c r="P18" s="66"/>
      <c r="Q18" s="67"/>
      <c r="R18" s="67"/>
      <c r="S18" s="68">
        <f t="shared" si="1"/>
        <v>0</v>
      </c>
    </row>
    <row r="19" spans="2:19" ht="38.25" customHeight="1" x14ac:dyDescent="0.25">
      <c r="B19" s="2" t="s">
        <v>363</v>
      </c>
      <c r="C19" s="236" t="s">
        <v>333</v>
      </c>
      <c r="D19" s="93" t="s">
        <v>288</v>
      </c>
      <c r="E19" s="2" t="s">
        <v>364</v>
      </c>
      <c r="F19" s="2" t="s">
        <v>7</v>
      </c>
      <c r="G19" s="186">
        <v>2.63E-2</v>
      </c>
      <c r="H19" s="186">
        <v>0.1845</v>
      </c>
      <c r="I19" s="187">
        <v>45199</v>
      </c>
      <c r="J19" s="187">
        <v>45214</v>
      </c>
      <c r="K19" s="187">
        <v>44201</v>
      </c>
      <c r="L19" s="188" t="s">
        <v>365</v>
      </c>
      <c r="M19" s="79">
        <v>318.37</v>
      </c>
      <c r="N19" s="67"/>
      <c r="O19" s="67">
        <f t="shared" si="0"/>
        <v>318.37</v>
      </c>
      <c r="P19" s="66"/>
      <c r="Q19" s="67"/>
      <c r="R19" s="67"/>
      <c r="S19" s="68"/>
    </row>
    <row r="20" spans="2:19" x14ac:dyDescent="0.25">
      <c r="G20" s="186"/>
      <c r="H20" s="186"/>
      <c r="I20" s="187"/>
      <c r="J20" s="187"/>
      <c r="K20" s="187"/>
      <c r="L20" s="188"/>
      <c r="M20" s="25"/>
      <c r="N20" s="25"/>
      <c r="O20" s="25"/>
      <c r="P20" s="29"/>
      <c r="Q20" s="25"/>
      <c r="R20" s="25"/>
      <c r="S20" s="26"/>
    </row>
    <row r="21" spans="2:19" ht="23.25" customHeight="1" x14ac:dyDescent="0.25">
      <c r="C21" s="92"/>
      <c r="D21" s="92"/>
      <c r="G21" s="123"/>
      <c r="H21" s="124"/>
      <c r="I21" s="116"/>
      <c r="J21" s="116"/>
      <c r="K21" s="116"/>
      <c r="L21" s="5" t="s">
        <v>38</v>
      </c>
      <c r="M21" s="66">
        <f>SUM(M7:M20)</f>
        <v>267480.57</v>
      </c>
      <c r="N21" s="66">
        <f>SUM(N7:N20)</f>
        <v>0</v>
      </c>
      <c r="O21" s="66">
        <f>SUM(O7:O20)</f>
        <v>267480.57</v>
      </c>
      <c r="Q21" s="66">
        <f>SUM(Q7:Q20)</f>
        <v>78297.449999999983</v>
      </c>
      <c r="R21" s="66">
        <f>SUM(R7:R20)</f>
        <v>0</v>
      </c>
      <c r="S21" s="68">
        <f>SUM(S7:S20)</f>
        <v>78297.449999999983</v>
      </c>
    </row>
    <row r="22" spans="2:19" x14ac:dyDescent="0.25">
      <c r="C22" s="92"/>
      <c r="D22" s="92"/>
      <c r="I22" s="116"/>
      <c r="J22" s="116"/>
      <c r="K22" s="116"/>
      <c r="L22" s="5"/>
      <c r="M22" s="66"/>
      <c r="N22" s="66"/>
      <c r="O22" s="66"/>
      <c r="Q22" s="66"/>
      <c r="R22" s="66"/>
      <c r="S22" s="68"/>
    </row>
    <row r="23" spans="2:19" x14ac:dyDescent="0.25">
      <c r="C23" s="92"/>
      <c r="D23" s="92"/>
      <c r="L23" s="5"/>
      <c r="M23" s="66"/>
      <c r="N23" s="66"/>
      <c r="O23" s="66"/>
      <c r="Q23" s="66"/>
      <c r="R23" s="66"/>
      <c r="S23" s="68"/>
    </row>
    <row r="24" spans="2:19" x14ac:dyDescent="0.25">
      <c r="B24" s="8" t="s">
        <v>125</v>
      </c>
      <c r="C24" s="92"/>
      <c r="D24" s="92"/>
      <c r="L24" s="5"/>
      <c r="M24" s="66"/>
      <c r="N24" s="66"/>
      <c r="O24" s="66"/>
      <c r="Q24" s="66"/>
      <c r="R24" s="66"/>
      <c r="S24" s="68"/>
    </row>
    <row r="25" spans="2:19" ht="34.5" customHeight="1" x14ac:dyDescent="0.25">
      <c r="B25" s="341" t="s">
        <v>126</v>
      </c>
      <c r="C25" s="341"/>
      <c r="D25" s="341"/>
      <c r="E25" s="341"/>
      <c r="F25" s="341"/>
      <c r="L25" s="5"/>
      <c r="M25" s="66"/>
      <c r="N25" s="66"/>
      <c r="O25" s="66"/>
      <c r="Q25" s="66"/>
      <c r="R25" s="66"/>
      <c r="S25" s="68"/>
    </row>
    <row r="26" spans="2:19" x14ac:dyDescent="0.25">
      <c r="C26" s="92"/>
      <c r="D26" s="92"/>
      <c r="L26" s="5"/>
      <c r="M26" s="66"/>
      <c r="N26" s="66"/>
      <c r="O26" s="66"/>
      <c r="Q26" s="66"/>
      <c r="R26" s="66"/>
      <c r="S26" s="68"/>
    </row>
    <row r="27" spans="2:19" ht="60" customHeight="1" x14ac:dyDescent="0.25">
      <c r="B27" s="341" t="s">
        <v>129</v>
      </c>
      <c r="C27" s="341"/>
      <c r="D27" s="341"/>
      <c r="E27" s="341"/>
      <c r="F27" s="341"/>
      <c r="L27" s="5"/>
      <c r="M27" s="66"/>
      <c r="N27" s="66"/>
      <c r="O27" s="66"/>
      <c r="Q27" s="66"/>
      <c r="R27" s="66"/>
      <c r="S27" s="68"/>
    </row>
    <row r="28" spans="2:19" x14ac:dyDescent="0.25">
      <c r="B28" s="193"/>
      <c r="C28" s="193"/>
      <c r="D28" s="193"/>
      <c r="E28" s="193"/>
      <c r="F28" s="193"/>
      <c r="L28" s="5"/>
      <c r="M28" s="66"/>
      <c r="N28" s="66"/>
      <c r="O28" s="66"/>
      <c r="Q28" s="66"/>
      <c r="R28" s="66"/>
      <c r="S28" s="68"/>
    </row>
    <row r="29" spans="2:19" ht="36" customHeight="1" x14ac:dyDescent="0.25">
      <c r="B29" s="341" t="s">
        <v>160</v>
      </c>
      <c r="C29" s="341"/>
      <c r="D29" s="341"/>
      <c r="E29" s="341"/>
      <c r="F29" s="341"/>
      <c r="L29" s="5"/>
      <c r="M29" s="66"/>
      <c r="N29" s="66"/>
      <c r="O29" s="66"/>
      <c r="Q29" s="66"/>
      <c r="R29" s="66"/>
      <c r="S29" s="68"/>
    </row>
    <row r="30" spans="2:19" ht="15" customHeight="1" x14ac:dyDescent="0.25">
      <c r="B30" s="347" t="s">
        <v>159</v>
      </c>
      <c r="C30" s="341"/>
      <c r="D30" s="341"/>
      <c r="E30" s="341"/>
      <c r="F30" s="341"/>
      <c r="L30" s="5"/>
      <c r="M30" s="66"/>
      <c r="N30" s="66"/>
      <c r="O30" s="66"/>
      <c r="Q30" s="66"/>
      <c r="R30" s="66"/>
      <c r="S30" s="68"/>
    </row>
    <row r="31" spans="2:19" ht="15" customHeight="1" x14ac:dyDescent="0.25">
      <c r="B31" s="195"/>
      <c r="C31" s="195"/>
      <c r="D31" s="195"/>
      <c r="E31" s="195"/>
      <c r="L31" s="5"/>
      <c r="M31" s="66"/>
      <c r="N31" s="66"/>
      <c r="O31" s="66"/>
      <c r="Q31" s="66"/>
      <c r="R31" s="66"/>
      <c r="S31" s="68"/>
    </row>
    <row r="32" spans="2:19" x14ac:dyDescent="0.25">
      <c r="B32" s="108"/>
      <c r="C32" s="108"/>
      <c r="D32" s="108"/>
      <c r="E32" s="108"/>
      <c r="L32" s="5"/>
      <c r="M32" s="66"/>
      <c r="N32" s="66"/>
      <c r="O32" s="66"/>
      <c r="Q32" s="66"/>
      <c r="R32" s="66"/>
      <c r="S32" s="68"/>
    </row>
    <row r="33" spans="2:20" x14ac:dyDescent="0.25">
      <c r="B33" s="7" t="s">
        <v>109</v>
      </c>
      <c r="C33" s="101" t="s">
        <v>112</v>
      </c>
      <c r="D33" s="101" t="s">
        <v>113</v>
      </c>
      <c r="E33" s="108"/>
      <c r="L33" s="5"/>
      <c r="M33" s="66"/>
      <c r="N33" s="66"/>
      <c r="O33" s="66"/>
      <c r="Q33" s="66"/>
      <c r="R33" s="66"/>
      <c r="S33" s="68"/>
    </row>
    <row r="34" spans="2:20" x14ac:dyDescent="0.25">
      <c r="B34" s="103" t="s">
        <v>111</v>
      </c>
      <c r="C34" s="92" t="s">
        <v>300</v>
      </c>
      <c r="D34" s="92" t="s">
        <v>303</v>
      </c>
      <c r="L34" s="5"/>
      <c r="M34" s="66"/>
      <c r="N34" s="66"/>
      <c r="O34" s="66"/>
      <c r="Q34" s="66"/>
      <c r="R34" s="66"/>
      <c r="S34" s="68"/>
    </row>
    <row r="35" spans="2:20" x14ac:dyDescent="0.25">
      <c r="B35" s="2" t="s">
        <v>230</v>
      </c>
      <c r="C35" s="92" t="s">
        <v>135</v>
      </c>
      <c r="D35" s="92" t="s">
        <v>147</v>
      </c>
      <c r="L35" s="5"/>
      <c r="M35" s="66"/>
      <c r="N35" s="66"/>
      <c r="O35" s="66"/>
      <c r="Q35" s="66"/>
      <c r="R35" s="66"/>
      <c r="S35" s="68"/>
    </row>
    <row r="36" spans="2:20" x14ac:dyDescent="0.25">
      <c r="B36" s="2" t="s">
        <v>279</v>
      </c>
      <c r="C36" s="92" t="s">
        <v>135</v>
      </c>
      <c r="D36" s="92" t="s">
        <v>147</v>
      </c>
      <c r="L36" s="5"/>
      <c r="M36" s="66"/>
      <c r="N36" s="66"/>
      <c r="O36" s="66"/>
      <c r="Q36" s="66"/>
      <c r="R36" s="66"/>
      <c r="S36" s="68"/>
    </row>
    <row r="37" spans="2:20" x14ac:dyDescent="0.25">
      <c r="B37" s="2" t="s">
        <v>281</v>
      </c>
      <c r="C37" s="92" t="s">
        <v>135</v>
      </c>
      <c r="D37" s="92" t="s">
        <v>147</v>
      </c>
      <c r="L37" s="5"/>
      <c r="M37" s="66"/>
      <c r="N37" s="66"/>
      <c r="O37" s="66"/>
      <c r="Q37" s="66"/>
      <c r="R37" s="66"/>
      <c r="S37" s="68"/>
    </row>
    <row r="38" spans="2:20" x14ac:dyDescent="0.25">
      <c r="B38" s="2" t="s">
        <v>286</v>
      </c>
      <c r="C38" s="92" t="s">
        <v>135</v>
      </c>
      <c r="D38" s="92" t="s">
        <v>147</v>
      </c>
      <c r="L38" s="5"/>
      <c r="M38" s="66"/>
      <c r="N38" s="66"/>
      <c r="O38" s="66"/>
      <c r="Q38" s="66"/>
      <c r="R38" s="66"/>
      <c r="S38" s="68"/>
    </row>
    <row r="39" spans="2:20" x14ac:dyDescent="0.25">
      <c r="C39" s="92"/>
      <c r="D39" s="92"/>
      <c r="L39" s="5"/>
      <c r="M39" s="66"/>
      <c r="N39" s="66"/>
      <c r="O39" s="66"/>
      <c r="Q39" s="66"/>
      <c r="R39" s="66"/>
      <c r="S39" s="68"/>
    </row>
    <row r="40" spans="2:20" x14ac:dyDescent="0.25">
      <c r="B40" s="270" t="s">
        <v>298</v>
      </c>
      <c r="C40" s="92"/>
      <c r="D40" s="92"/>
      <c r="H40" s="261"/>
      <c r="L40" s="5"/>
      <c r="M40" s="66"/>
      <c r="N40" s="66"/>
      <c r="O40" s="66"/>
      <c r="Q40" s="66"/>
      <c r="R40" s="66"/>
      <c r="S40" s="68"/>
    </row>
    <row r="41" spans="2:20" x14ac:dyDescent="0.25">
      <c r="B41" s="267" t="s">
        <v>299</v>
      </c>
      <c r="C41" s="92"/>
      <c r="D41" s="92"/>
      <c r="L41" s="5"/>
      <c r="M41" s="66"/>
      <c r="N41" s="66"/>
      <c r="O41" s="66"/>
      <c r="Q41" s="66"/>
      <c r="R41" s="66"/>
      <c r="S41" s="68"/>
    </row>
    <row r="42" spans="2:20" x14ac:dyDescent="0.25">
      <c r="B42" s="220"/>
      <c r="C42" s="218"/>
      <c r="D42" s="218"/>
      <c r="E42" s="10"/>
      <c r="F42" s="10"/>
      <c r="G42" s="10"/>
      <c r="H42" s="10"/>
      <c r="I42" s="10"/>
      <c r="J42" s="10"/>
      <c r="K42" s="10"/>
      <c r="L42" s="219"/>
      <c r="M42" s="25"/>
      <c r="N42" s="25"/>
      <c r="O42" s="25"/>
      <c r="P42" s="10"/>
      <c r="Q42" s="25"/>
      <c r="R42" s="25"/>
      <c r="S42" s="26"/>
    </row>
    <row r="43" spans="2:20" x14ac:dyDescent="0.25">
      <c r="Q43" s="59" t="s">
        <v>90</v>
      </c>
      <c r="R43" s="50"/>
      <c r="S43" s="165"/>
    </row>
    <row r="44" spans="2:20" x14ac:dyDescent="0.25">
      <c r="B44" s="17" t="s">
        <v>39</v>
      </c>
      <c r="C44" s="96" t="s">
        <v>2</v>
      </c>
      <c r="D44" s="96"/>
      <c r="E44" s="96" t="s">
        <v>34</v>
      </c>
      <c r="F44" s="96" t="s">
        <v>35</v>
      </c>
      <c r="G44" s="120"/>
      <c r="H44" s="120"/>
      <c r="I44" s="114"/>
      <c r="J44" s="96"/>
      <c r="K44" s="96"/>
      <c r="L44" s="96" t="s">
        <v>36</v>
      </c>
      <c r="M44" s="211" t="s">
        <v>37</v>
      </c>
      <c r="N44" s="47"/>
      <c r="O44" s="47"/>
      <c r="P44" s="47"/>
      <c r="Q44" s="54" t="s">
        <v>88</v>
      </c>
      <c r="R44" s="52"/>
      <c r="S44" s="53"/>
      <c r="T44" s="51"/>
    </row>
    <row r="45" spans="2:20" x14ac:dyDescent="0.25">
      <c r="B45" s="63"/>
      <c r="C45" s="9"/>
      <c r="D45" s="9"/>
      <c r="E45" s="9"/>
      <c r="F45" s="9"/>
      <c r="G45" s="9"/>
      <c r="H45" s="9"/>
      <c r="I45" s="9"/>
      <c r="J45" s="9"/>
      <c r="K45" s="9"/>
      <c r="L45" s="9"/>
      <c r="M45" s="9"/>
      <c r="N45" s="45"/>
      <c r="O45" s="45"/>
      <c r="P45" s="45"/>
      <c r="Q45" s="59"/>
      <c r="R45" s="50"/>
      <c r="S45" s="50"/>
      <c r="T45" s="51"/>
    </row>
    <row r="46" spans="2:20" x14ac:dyDescent="0.25">
      <c r="B46" s="63"/>
      <c r="C46" s="9"/>
      <c r="D46" s="9"/>
      <c r="E46" s="9"/>
      <c r="F46" s="9"/>
      <c r="G46" s="9"/>
      <c r="H46" s="9"/>
      <c r="I46" s="9"/>
      <c r="J46" s="9"/>
      <c r="K46" s="9"/>
      <c r="L46" s="9"/>
      <c r="M46" s="9"/>
      <c r="N46" s="45"/>
      <c r="O46" s="45"/>
      <c r="P46" s="45"/>
      <c r="R46" s="51"/>
      <c r="S46" s="51"/>
      <c r="T46" s="51"/>
    </row>
    <row r="47" spans="2:20" x14ac:dyDescent="0.25">
      <c r="B47" s="63"/>
      <c r="C47" s="148"/>
      <c r="D47" s="148"/>
      <c r="E47" s="148"/>
      <c r="F47" s="148"/>
      <c r="G47" s="148"/>
      <c r="H47" s="148"/>
      <c r="I47" s="148"/>
      <c r="J47" s="148"/>
      <c r="K47" s="148"/>
      <c r="L47" s="148"/>
      <c r="M47" s="148"/>
      <c r="N47" s="45"/>
      <c r="O47" s="45"/>
      <c r="P47" s="45"/>
      <c r="R47" s="51"/>
      <c r="S47" s="51"/>
      <c r="T47" s="51"/>
    </row>
    <row r="48" spans="2:20" x14ac:dyDescent="0.25">
      <c r="B48" s="63"/>
      <c r="C48" s="148"/>
      <c r="D48" s="148"/>
      <c r="E48" s="148"/>
      <c r="F48" s="148"/>
      <c r="G48" s="148"/>
      <c r="H48" s="148"/>
      <c r="I48" s="148"/>
      <c r="J48" s="148"/>
      <c r="K48" s="148"/>
      <c r="L48" s="148"/>
      <c r="M48" s="148"/>
      <c r="N48" s="45"/>
      <c r="O48" s="45"/>
      <c r="P48" s="45"/>
      <c r="R48" s="51"/>
      <c r="S48" s="51"/>
      <c r="T48" s="51"/>
    </row>
    <row r="49" spans="2:20" x14ac:dyDescent="0.25">
      <c r="B49" s="63"/>
      <c r="C49" s="148"/>
      <c r="D49" s="148"/>
      <c r="E49" s="148"/>
      <c r="F49" s="148"/>
      <c r="G49" s="148"/>
      <c r="H49" s="148"/>
      <c r="I49" s="148"/>
      <c r="J49" s="148"/>
      <c r="K49" s="148"/>
      <c r="L49" s="148"/>
      <c r="M49" s="148"/>
      <c r="N49" s="45"/>
      <c r="O49" s="45"/>
      <c r="P49" s="45"/>
      <c r="R49" s="51"/>
      <c r="S49" s="51"/>
      <c r="T49" s="51"/>
    </row>
    <row r="50" spans="2:20" x14ac:dyDescent="0.25">
      <c r="B50" s="12"/>
      <c r="C50" s="13"/>
      <c r="D50" s="13"/>
      <c r="E50" s="41"/>
      <c r="F50" s="15"/>
      <c r="G50" s="15"/>
      <c r="H50" s="15"/>
      <c r="I50" s="15"/>
      <c r="J50" s="15"/>
      <c r="K50" s="15"/>
      <c r="L50" s="16"/>
      <c r="M50" s="20"/>
      <c r="N50" s="18"/>
      <c r="O50" s="18"/>
      <c r="P50" s="18"/>
      <c r="T50" s="51"/>
    </row>
    <row r="51" spans="2:20" ht="15" customHeight="1" x14ac:dyDescent="0.25">
      <c r="B51" s="12"/>
      <c r="C51" s="13"/>
      <c r="D51" s="13"/>
      <c r="E51" s="41"/>
      <c r="F51" s="15"/>
      <c r="G51" s="15"/>
      <c r="H51" s="15"/>
      <c r="I51" s="15"/>
      <c r="J51" s="15"/>
      <c r="K51" s="15"/>
      <c r="L51" s="16"/>
      <c r="M51" s="20"/>
      <c r="N51" s="18"/>
      <c r="O51" s="18"/>
      <c r="P51" s="18"/>
    </row>
    <row r="52" spans="2:20" ht="15" customHeight="1" x14ac:dyDescent="0.25">
      <c r="B52" s="12"/>
      <c r="C52" s="13"/>
      <c r="D52" s="13"/>
      <c r="E52" s="41"/>
      <c r="F52" s="15"/>
      <c r="G52" s="15"/>
      <c r="H52" s="15"/>
      <c r="I52" s="15"/>
      <c r="J52" s="15"/>
      <c r="K52" s="15"/>
      <c r="L52" s="16"/>
      <c r="M52" s="20"/>
      <c r="N52" s="18"/>
      <c r="O52" s="18"/>
      <c r="P52" s="18"/>
    </row>
    <row r="53" spans="2:20" ht="15" customHeight="1" x14ac:dyDescent="0.25">
      <c r="B53" s="12"/>
      <c r="C53" s="13"/>
      <c r="D53" s="13"/>
      <c r="E53" s="41"/>
      <c r="F53" s="15"/>
      <c r="G53" s="15"/>
      <c r="H53" s="15"/>
      <c r="I53" s="15"/>
      <c r="J53" s="15"/>
      <c r="K53" s="15"/>
      <c r="L53" s="16"/>
      <c r="M53" s="20"/>
      <c r="N53" s="18"/>
      <c r="O53" s="18"/>
      <c r="P53" s="18"/>
    </row>
    <row r="54" spans="2:20" ht="15" customHeight="1" x14ac:dyDescent="0.25">
      <c r="B54" s="12"/>
      <c r="C54" s="13"/>
      <c r="D54" s="13"/>
      <c r="E54" s="41"/>
      <c r="F54" s="15"/>
      <c r="G54" s="15"/>
      <c r="H54" s="15"/>
      <c r="I54" s="15"/>
      <c r="J54" s="15"/>
      <c r="K54" s="15"/>
      <c r="L54" s="16"/>
      <c r="M54" s="20"/>
      <c r="N54" s="18"/>
      <c r="O54" s="18"/>
      <c r="P54" s="18"/>
    </row>
    <row r="55" spans="2:20" x14ac:dyDescent="0.25">
      <c r="B55" s="36"/>
      <c r="C55" s="40"/>
      <c r="D55" s="40"/>
      <c r="E55" s="41"/>
      <c r="F55" s="38"/>
      <c r="G55" s="38"/>
      <c r="H55" s="38"/>
      <c r="I55" s="38"/>
      <c r="J55" s="38"/>
      <c r="K55" s="38"/>
      <c r="L55" s="33"/>
      <c r="M55" s="31"/>
      <c r="N55" s="99"/>
      <c r="O55" s="99"/>
      <c r="P55" s="29"/>
      <c r="Q55" s="309" t="s">
        <v>316</v>
      </c>
      <c r="R55" s="309"/>
      <c r="S55" s="310">
        <f>S21</f>
        <v>78297.449999999983</v>
      </c>
    </row>
    <row r="56" spans="2:20" ht="16.5" customHeight="1" x14ac:dyDescent="0.25">
      <c r="B56" s="36"/>
      <c r="C56" s="40"/>
      <c r="D56" s="40"/>
      <c r="E56" s="41"/>
      <c r="F56" s="38"/>
      <c r="G56" s="38"/>
      <c r="H56" s="38"/>
      <c r="I56" s="38"/>
      <c r="J56" s="38"/>
      <c r="K56" s="38"/>
      <c r="L56" s="39"/>
      <c r="M56" s="20"/>
      <c r="N56" s="99"/>
      <c r="O56" s="99"/>
      <c r="P56" s="29"/>
    </row>
    <row r="57" spans="2:20" ht="15" hidden="1" customHeight="1" x14ac:dyDescent="0.25"/>
    <row r="58" spans="2:20" ht="15" customHeight="1" x14ac:dyDescent="0.25">
      <c r="E58" s="21"/>
      <c r="F58" s="102"/>
      <c r="G58" s="102"/>
      <c r="H58" s="102"/>
      <c r="I58" s="102"/>
      <c r="J58" s="102"/>
      <c r="K58" s="102"/>
    </row>
    <row r="61" spans="2:20" ht="15" customHeight="1" x14ac:dyDescent="0.25"/>
  </sheetData>
  <mergeCells count="6">
    <mergeCell ref="B30:F30"/>
    <mergeCell ref="Q1:S1"/>
    <mergeCell ref="Q2:S2"/>
    <mergeCell ref="B29:F29"/>
    <mergeCell ref="B25:F25"/>
    <mergeCell ref="B27:F27"/>
  </mergeCells>
  <hyperlinks>
    <hyperlink ref="B30" r:id="rId1"/>
  </hyperlinks>
  <printOptions horizontalCentered="1" gridLines="1"/>
  <pageMargins left="0" right="0" top="0.75" bottom="0.75" header="0.3" footer="0.3"/>
  <pageSetup scale="50" orientation="landscape" horizontalDpi="1200" verticalDpi="1200"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7"/>
  <sheetViews>
    <sheetView topLeftCell="B1" zoomScale="90" zoomScaleNormal="90" workbookViewId="0">
      <selection activeCell="B11" sqref="B11"/>
    </sheetView>
  </sheetViews>
  <sheetFormatPr defaultColWidth="9.140625" defaultRowHeight="15" x14ac:dyDescent="0.25"/>
  <cols>
    <col min="1" max="1" width="9.140625" style="2" hidden="1" customWidth="1"/>
    <col min="2" max="2" width="57.7109375" style="2" customWidth="1"/>
    <col min="3" max="3" width="28.28515625" style="2" customWidth="1"/>
    <col min="4" max="4" width="13.7109375" style="2" customWidth="1"/>
    <col min="5" max="5" width="17" style="2" customWidth="1"/>
    <col min="6" max="6" width="22.7109375" style="2" customWidth="1"/>
    <col min="7" max="7" width="10.28515625" style="2" customWidth="1"/>
    <col min="8" max="8" width="12.85546875" style="2" customWidth="1"/>
    <col min="9" max="9" width="13.42578125" style="2" customWidth="1"/>
    <col min="10" max="10" width="15.7109375" style="2" customWidth="1"/>
    <col min="11" max="11" width="8.85546875" style="2" customWidth="1"/>
    <col min="12" max="12" width="18.140625" style="2" customWidth="1"/>
    <col min="13" max="13" width="14" style="2" bestFit="1" customWidth="1"/>
    <col min="14" max="14" width="13.7109375" style="2" customWidth="1"/>
    <col min="15" max="15" width="14.42578125" style="2" customWidth="1"/>
    <col min="16" max="16" width="3.140625" style="2" customWidth="1"/>
    <col min="17" max="17" width="14.85546875" style="2" customWidth="1"/>
    <col min="18" max="18" width="14.140625" style="2" customWidth="1"/>
    <col min="19" max="19" width="16.7109375" style="2" customWidth="1"/>
    <col min="20" max="16384" width="9.140625" style="2"/>
  </cols>
  <sheetData>
    <row r="1" spans="1:20" ht="18" customHeight="1" x14ac:dyDescent="0.25">
      <c r="B1" s="1" t="s">
        <v>94</v>
      </c>
      <c r="Q1" s="338" t="s">
        <v>296</v>
      </c>
      <c r="R1" s="338"/>
      <c r="S1" s="338"/>
    </row>
    <row r="2" spans="1:20" ht="18" customHeight="1" x14ac:dyDescent="0.25">
      <c r="B2" s="88" t="s">
        <v>148</v>
      </c>
      <c r="C2" s="182">
        <v>44742</v>
      </c>
      <c r="M2" s="71"/>
      <c r="N2" s="71"/>
      <c r="P2" s="29"/>
      <c r="Q2" s="337" t="s">
        <v>375</v>
      </c>
      <c r="R2" s="337"/>
      <c r="S2" s="337"/>
    </row>
    <row r="3" spans="1:20" ht="18" customHeight="1" thickBot="1" x14ac:dyDescent="0.3">
      <c r="A3" s="2" t="s">
        <v>16</v>
      </c>
      <c r="B3" s="44" t="s">
        <v>95</v>
      </c>
      <c r="C3" s="8"/>
      <c r="D3" s="8"/>
      <c r="E3" s="8"/>
      <c r="P3" s="29"/>
      <c r="Q3" s="45"/>
      <c r="R3" s="30"/>
    </row>
    <row r="4" spans="1:20" ht="18.75" customHeight="1" x14ac:dyDescent="0.25">
      <c r="B4" s="8" t="s">
        <v>174</v>
      </c>
      <c r="M4" s="85" t="s">
        <v>28</v>
      </c>
      <c r="N4" s="85" t="s">
        <v>28</v>
      </c>
      <c r="O4" s="85" t="s">
        <v>28</v>
      </c>
      <c r="P4" s="9"/>
      <c r="Q4" s="89" t="s">
        <v>29</v>
      </c>
      <c r="R4" s="89" t="s">
        <v>31</v>
      </c>
      <c r="S4" s="89" t="s">
        <v>23</v>
      </c>
      <c r="T4" s="7"/>
    </row>
    <row r="5" spans="1:20" ht="15.75" thickBot="1" x14ac:dyDescent="0.3">
      <c r="G5" s="183" t="s">
        <v>295</v>
      </c>
      <c r="H5" s="183" t="s">
        <v>295</v>
      </c>
      <c r="M5" s="86" t="s">
        <v>27</v>
      </c>
      <c r="N5" s="86" t="s">
        <v>26</v>
      </c>
      <c r="O5" s="86" t="s">
        <v>25</v>
      </c>
      <c r="P5" s="9"/>
      <c r="Q5" s="90" t="s">
        <v>30</v>
      </c>
      <c r="R5" s="90" t="s">
        <v>30</v>
      </c>
      <c r="S5" s="90" t="s">
        <v>30</v>
      </c>
      <c r="T5" s="7"/>
    </row>
    <row r="6" spans="1:20" ht="85.5" customHeight="1" thickBot="1" x14ac:dyDescent="0.3">
      <c r="B6" s="84" t="s">
        <v>1</v>
      </c>
      <c r="C6" s="84" t="s">
        <v>389</v>
      </c>
      <c r="D6" s="84" t="s">
        <v>107</v>
      </c>
      <c r="E6" s="84" t="s">
        <v>3</v>
      </c>
      <c r="F6" s="84" t="s">
        <v>4</v>
      </c>
      <c r="G6" s="107" t="s">
        <v>136</v>
      </c>
      <c r="H6" s="107" t="s">
        <v>137</v>
      </c>
      <c r="I6" s="107" t="s">
        <v>133</v>
      </c>
      <c r="J6" s="107" t="s">
        <v>134</v>
      </c>
      <c r="K6" s="107" t="s">
        <v>121</v>
      </c>
      <c r="L6" s="83" t="s">
        <v>5</v>
      </c>
      <c r="M6" s="87" t="s">
        <v>6</v>
      </c>
      <c r="N6" s="87" t="s">
        <v>6</v>
      </c>
      <c r="O6" s="87" t="s">
        <v>6</v>
      </c>
      <c r="P6" s="9"/>
      <c r="Q6" s="91"/>
      <c r="R6" s="97" t="s">
        <v>32</v>
      </c>
      <c r="S6" s="98" t="s">
        <v>33</v>
      </c>
    </row>
    <row r="7" spans="1:20" ht="34.5" customHeight="1" x14ac:dyDescent="0.25">
      <c r="B7" s="2" t="s">
        <v>8</v>
      </c>
      <c r="C7" s="92" t="s">
        <v>106</v>
      </c>
      <c r="D7" s="92" t="s">
        <v>306</v>
      </c>
      <c r="E7" s="2" t="s">
        <v>307</v>
      </c>
      <c r="F7" s="2" t="s">
        <v>7</v>
      </c>
      <c r="G7" s="186">
        <v>2.63E-2</v>
      </c>
      <c r="H7" s="186">
        <v>0.1845</v>
      </c>
      <c r="I7" s="187">
        <v>44742</v>
      </c>
      <c r="J7" s="187">
        <v>44743</v>
      </c>
      <c r="K7" s="187">
        <v>44378</v>
      </c>
      <c r="L7" s="188" t="s">
        <v>297</v>
      </c>
      <c r="M7" s="70">
        <v>243210.5</v>
      </c>
      <c r="N7" s="142"/>
      <c r="O7" s="67">
        <f t="shared" ref="O7:O24" si="0">M7+N7</f>
        <v>243210.5</v>
      </c>
      <c r="P7" s="148"/>
      <c r="Q7" s="73">
        <f>27066.1+43544.32+20763.94+20792.93+26585.38+30051.09+32295.79+18402.99+16072.55</f>
        <v>235575.09</v>
      </c>
      <c r="R7" s="149"/>
      <c r="S7" s="214">
        <f>Q7+R7</f>
        <v>235575.09</v>
      </c>
    </row>
    <row r="8" spans="1:20" ht="30.75" customHeight="1" x14ac:dyDescent="0.25">
      <c r="B8" s="2" t="s">
        <v>312</v>
      </c>
      <c r="C8" s="110" t="s">
        <v>188</v>
      </c>
      <c r="D8" s="92" t="s">
        <v>311</v>
      </c>
      <c r="E8" s="2" t="s">
        <v>313</v>
      </c>
      <c r="F8" s="2" t="s">
        <v>7</v>
      </c>
      <c r="G8" s="186">
        <v>2.63E-2</v>
      </c>
      <c r="H8" s="186">
        <v>0.1845</v>
      </c>
      <c r="I8" s="187">
        <v>44742</v>
      </c>
      <c r="J8" s="187">
        <v>44743</v>
      </c>
      <c r="K8" s="187">
        <v>44378</v>
      </c>
      <c r="L8" s="188" t="s">
        <v>297</v>
      </c>
      <c r="M8" s="70">
        <v>9340</v>
      </c>
      <c r="N8" s="142"/>
      <c r="O8" s="67">
        <f t="shared" si="0"/>
        <v>9340</v>
      </c>
      <c r="P8" s="148"/>
      <c r="Q8" s="73">
        <v>2440</v>
      </c>
      <c r="R8" s="149"/>
      <c r="S8" s="214">
        <f>Q8+R8</f>
        <v>2440</v>
      </c>
    </row>
    <row r="9" spans="1:20" ht="30" customHeight="1" x14ac:dyDescent="0.25">
      <c r="B9" s="2" t="s">
        <v>257</v>
      </c>
      <c r="C9" s="236" t="s">
        <v>260</v>
      </c>
      <c r="D9" s="93" t="s">
        <v>258</v>
      </c>
      <c r="E9" s="2" t="s">
        <v>259</v>
      </c>
      <c r="F9" s="2" t="s">
        <v>7</v>
      </c>
      <c r="G9" s="186">
        <v>2.63E-2</v>
      </c>
      <c r="H9" s="186">
        <v>0.1845</v>
      </c>
      <c r="I9" s="187">
        <v>44439</v>
      </c>
      <c r="J9" s="187">
        <v>44454</v>
      </c>
      <c r="K9" s="187">
        <v>44013</v>
      </c>
      <c r="L9" s="188" t="s">
        <v>294</v>
      </c>
      <c r="M9" s="79">
        <v>7.75</v>
      </c>
      <c r="N9" s="67"/>
      <c r="O9" s="67">
        <f>M9+N9</f>
        <v>7.75</v>
      </c>
      <c r="P9" s="67"/>
      <c r="Q9" s="67">
        <v>0</v>
      </c>
      <c r="R9" s="67"/>
      <c r="S9" s="68">
        <f>Q9+R9</f>
        <v>0</v>
      </c>
    </row>
    <row r="10" spans="1:20" ht="30" customHeight="1" x14ac:dyDescent="0.25">
      <c r="B10" s="2" t="s">
        <v>257</v>
      </c>
      <c r="C10" s="236" t="s">
        <v>260</v>
      </c>
      <c r="D10" s="93" t="s">
        <v>335</v>
      </c>
      <c r="E10" s="2" t="s">
        <v>336</v>
      </c>
      <c r="F10" s="2" t="s">
        <v>7</v>
      </c>
      <c r="G10" s="186">
        <v>2.63E-2</v>
      </c>
      <c r="H10" s="186">
        <v>0.1845</v>
      </c>
      <c r="I10" s="187">
        <v>44773</v>
      </c>
      <c r="J10" s="187">
        <v>44788</v>
      </c>
      <c r="K10" s="187">
        <v>44378</v>
      </c>
      <c r="L10" s="322" t="s">
        <v>337</v>
      </c>
      <c r="M10" s="79">
        <v>16345.68</v>
      </c>
      <c r="N10" s="67"/>
      <c r="O10" s="67">
        <f>M10+N10</f>
        <v>16345.68</v>
      </c>
      <c r="P10" s="67"/>
      <c r="Q10" s="67">
        <f>955.75+6761.75+3754+4874.18</f>
        <v>16345.68</v>
      </c>
      <c r="R10" s="67"/>
      <c r="S10" s="68">
        <f>Q10+R10</f>
        <v>16345.68</v>
      </c>
    </row>
    <row r="11" spans="1:20" ht="30" customHeight="1" x14ac:dyDescent="0.25">
      <c r="B11" s="2" t="s">
        <v>128</v>
      </c>
      <c r="C11" s="226" t="s">
        <v>122</v>
      </c>
      <c r="D11" s="93" t="s">
        <v>310</v>
      </c>
      <c r="E11" s="2" t="s">
        <v>309</v>
      </c>
      <c r="F11" s="2" t="s">
        <v>7</v>
      </c>
      <c r="G11" s="186">
        <v>2.63E-2</v>
      </c>
      <c r="H11" s="186">
        <v>0.1845</v>
      </c>
      <c r="I11" s="187">
        <v>44742</v>
      </c>
      <c r="J11" s="187">
        <v>44743</v>
      </c>
      <c r="K11" s="187">
        <v>44378</v>
      </c>
      <c r="L11" s="204" t="s">
        <v>297</v>
      </c>
      <c r="M11" s="70">
        <v>12308</v>
      </c>
      <c r="N11" s="142">
        <v>3654.23</v>
      </c>
      <c r="O11" s="67">
        <f t="shared" si="0"/>
        <v>15962.23</v>
      </c>
      <c r="P11" s="148"/>
      <c r="Q11" s="73">
        <f>12308+3654.23</f>
        <v>15962.23</v>
      </c>
      <c r="R11" s="149"/>
      <c r="S11" s="214">
        <f t="shared" ref="S11:S12" si="1">Q11+R11</f>
        <v>15962.23</v>
      </c>
    </row>
    <row r="12" spans="1:20" ht="30" customHeight="1" x14ac:dyDescent="0.25">
      <c r="B12" s="2" t="s">
        <v>223</v>
      </c>
      <c r="C12" s="236" t="s">
        <v>333</v>
      </c>
      <c r="D12" s="93" t="s">
        <v>224</v>
      </c>
      <c r="E12" s="2" t="s">
        <v>225</v>
      </c>
      <c r="F12" s="2" t="s">
        <v>7</v>
      </c>
      <c r="G12" s="186">
        <v>2.63E-2</v>
      </c>
      <c r="H12" s="186">
        <v>0.1845</v>
      </c>
      <c r="I12" s="187">
        <v>44834</v>
      </c>
      <c r="J12" s="187">
        <v>44849</v>
      </c>
      <c r="K12" s="187">
        <v>43614</v>
      </c>
      <c r="L12" s="188" t="s">
        <v>274</v>
      </c>
      <c r="M12" s="70">
        <v>139478.25</v>
      </c>
      <c r="N12" s="142"/>
      <c r="O12" s="67">
        <f t="shared" si="0"/>
        <v>139478.25</v>
      </c>
      <c r="P12" s="148"/>
      <c r="Q12" s="73">
        <v>139478.25</v>
      </c>
      <c r="R12" s="149"/>
      <c r="S12" s="214">
        <f t="shared" si="1"/>
        <v>139478.25</v>
      </c>
    </row>
    <row r="13" spans="1:20" ht="30" customHeight="1" x14ac:dyDescent="0.25">
      <c r="B13" s="2" t="s">
        <v>275</v>
      </c>
      <c r="C13" s="236" t="s">
        <v>333</v>
      </c>
      <c r="D13" s="93" t="s">
        <v>224</v>
      </c>
      <c r="E13" s="2" t="s">
        <v>276</v>
      </c>
      <c r="F13" s="2" t="s">
        <v>7</v>
      </c>
      <c r="G13" s="186">
        <v>2.63E-2</v>
      </c>
      <c r="H13" s="186">
        <v>0.1845</v>
      </c>
      <c r="I13" s="297">
        <v>44773</v>
      </c>
      <c r="J13" s="297">
        <v>44788</v>
      </c>
      <c r="K13" s="187">
        <v>43980</v>
      </c>
      <c r="L13" s="188" t="s">
        <v>277</v>
      </c>
      <c r="M13" s="79">
        <v>7151.44</v>
      </c>
      <c r="N13" s="70"/>
      <c r="O13" s="67">
        <f t="shared" si="0"/>
        <v>7151.44</v>
      </c>
      <c r="P13" s="67"/>
      <c r="Q13" s="67"/>
      <c r="R13" s="67"/>
      <c r="S13" s="68">
        <f>Q13+R13</f>
        <v>0</v>
      </c>
    </row>
    <row r="14" spans="1:20" ht="30" customHeight="1" x14ac:dyDescent="0.25">
      <c r="B14" s="2" t="s">
        <v>279</v>
      </c>
      <c r="C14" s="236" t="s">
        <v>333</v>
      </c>
      <c r="D14" s="93" t="s">
        <v>224</v>
      </c>
      <c r="E14" s="2" t="s">
        <v>280</v>
      </c>
      <c r="F14" s="2" t="s">
        <v>7</v>
      </c>
      <c r="G14" s="186">
        <v>2.63E-2</v>
      </c>
      <c r="H14" s="186">
        <v>0.1845</v>
      </c>
      <c r="I14" s="187">
        <v>44592</v>
      </c>
      <c r="J14" s="187">
        <v>44592</v>
      </c>
      <c r="K14" s="187">
        <v>43980</v>
      </c>
      <c r="L14" s="188" t="s">
        <v>332</v>
      </c>
      <c r="M14" s="79">
        <v>3000</v>
      </c>
      <c r="N14" s="67"/>
      <c r="O14" s="67">
        <f t="shared" si="0"/>
        <v>3000</v>
      </c>
      <c r="P14" s="66"/>
      <c r="Q14" s="67"/>
      <c r="R14" s="67"/>
      <c r="S14" s="68">
        <f t="shared" ref="S14:S22" si="2">Q14+R14</f>
        <v>0</v>
      </c>
    </row>
    <row r="15" spans="1:20" ht="30" customHeight="1" x14ac:dyDescent="0.25">
      <c r="B15" s="2" t="s">
        <v>281</v>
      </c>
      <c r="C15" s="236" t="s">
        <v>334</v>
      </c>
      <c r="D15" s="93" t="s">
        <v>231</v>
      </c>
      <c r="E15" s="2" t="s">
        <v>282</v>
      </c>
      <c r="F15" s="2" t="s">
        <v>7</v>
      </c>
      <c r="G15" s="186">
        <v>2.63E-2</v>
      </c>
      <c r="H15" s="186">
        <v>0.1845</v>
      </c>
      <c r="I15" s="187">
        <v>44742</v>
      </c>
      <c r="J15" s="187">
        <v>44757</v>
      </c>
      <c r="K15" s="187">
        <v>43979</v>
      </c>
      <c r="L15" s="188" t="s">
        <v>283</v>
      </c>
      <c r="M15" s="79">
        <v>1027</v>
      </c>
      <c r="N15" s="67"/>
      <c r="O15" s="67">
        <f t="shared" si="0"/>
        <v>1027</v>
      </c>
      <c r="P15" s="66"/>
      <c r="Q15" s="67"/>
      <c r="R15" s="67"/>
      <c r="S15" s="68">
        <f t="shared" si="2"/>
        <v>0</v>
      </c>
    </row>
    <row r="16" spans="1:20" ht="30" customHeight="1" x14ac:dyDescent="0.25">
      <c r="B16" s="2" t="s">
        <v>321</v>
      </c>
      <c r="C16" s="236" t="s">
        <v>333</v>
      </c>
      <c r="D16" s="93" t="s">
        <v>288</v>
      </c>
      <c r="E16" s="2" t="s">
        <v>322</v>
      </c>
      <c r="F16" s="2" t="s">
        <v>7</v>
      </c>
      <c r="G16" s="186">
        <f>G15:H15</f>
        <v>2.63E-2</v>
      </c>
      <c r="H16" s="186">
        <f>H15</f>
        <v>0.1845</v>
      </c>
      <c r="I16" s="187">
        <v>45199</v>
      </c>
      <c r="J16" s="187">
        <v>45214</v>
      </c>
      <c r="K16" s="187">
        <v>44201</v>
      </c>
      <c r="L16" s="188" t="s">
        <v>323</v>
      </c>
      <c r="M16" s="79">
        <v>130924.24</v>
      </c>
      <c r="N16" s="67"/>
      <c r="O16" s="67">
        <f t="shared" si="0"/>
        <v>130924.24</v>
      </c>
      <c r="P16" s="66"/>
      <c r="Q16" s="67">
        <v>130924.24</v>
      </c>
      <c r="R16" s="67"/>
      <c r="S16" s="68">
        <f t="shared" si="2"/>
        <v>130924.24</v>
      </c>
    </row>
    <row r="17" spans="2:19" ht="30" customHeight="1" x14ac:dyDescent="0.25">
      <c r="B17" s="2" t="s">
        <v>324</v>
      </c>
      <c r="C17" s="236" t="s">
        <v>333</v>
      </c>
      <c r="D17" s="93" t="s">
        <v>288</v>
      </c>
      <c r="E17" s="2" t="s">
        <v>329</v>
      </c>
      <c r="F17" s="2" t="s">
        <v>7</v>
      </c>
      <c r="G17" s="186">
        <f>G16:H16</f>
        <v>2.63E-2</v>
      </c>
      <c r="H17" s="186">
        <f>H16</f>
        <v>0.1845</v>
      </c>
      <c r="I17" s="187">
        <v>45199</v>
      </c>
      <c r="J17" s="187">
        <v>45214</v>
      </c>
      <c r="K17" s="187">
        <v>44201</v>
      </c>
      <c r="L17" s="188" t="s">
        <v>325</v>
      </c>
      <c r="M17" s="79">
        <v>55309</v>
      </c>
      <c r="N17" s="67"/>
      <c r="O17" s="67">
        <f t="shared" si="0"/>
        <v>55309</v>
      </c>
      <c r="P17" s="66"/>
      <c r="Q17" s="67"/>
      <c r="R17" s="67"/>
      <c r="S17" s="68">
        <f t="shared" si="2"/>
        <v>0</v>
      </c>
    </row>
    <row r="18" spans="2:19" ht="30" customHeight="1" x14ac:dyDescent="0.25">
      <c r="B18" s="2" t="s">
        <v>326</v>
      </c>
      <c r="C18" s="236" t="s">
        <v>333</v>
      </c>
      <c r="D18" s="93" t="s">
        <v>288</v>
      </c>
      <c r="E18" s="2" t="s">
        <v>330</v>
      </c>
      <c r="F18" s="2" t="s">
        <v>7</v>
      </c>
      <c r="G18" s="186">
        <f>G17:H17</f>
        <v>2.63E-2</v>
      </c>
      <c r="H18" s="186">
        <f>H17</f>
        <v>0.1845</v>
      </c>
      <c r="I18" s="187">
        <v>45199</v>
      </c>
      <c r="J18" s="187">
        <v>45214</v>
      </c>
      <c r="K18" s="187">
        <v>44201</v>
      </c>
      <c r="L18" s="188" t="s">
        <v>323</v>
      </c>
      <c r="M18" s="79">
        <v>34367.61</v>
      </c>
      <c r="N18" s="67"/>
      <c r="O18" s="67">
        <f t="shared" si="0"/>
        <v>34367.61</v>
      </c>
      <c r="P18" s="66"/>
      <c r="Q18" s="67"/>
      <c r="R18" s="67"/>
      <c r="S18" s="68">
        <f t="shared" si="2"/>
        <v>0</v>
      </c>
    </row>
    <row r="19" spans="2:19" ht="30" customHeight="1" x14ac:dyDescent="0.25">
      <c r="B19" s="2" t="s">
        <v>370</v>
      </c>
      <c r="C19" s="236" t="s">
        <v>333</v>
      </c>
      <c r="D19" s="93" t="s">
        <v>288</v>
      </c>
      <c r="E19" s="2" t="s">
        <v>331</v>
      </c>
      <c r="F19" s="2" t="s">
        <v>7</v>
      </c>
      <c r="G19" s="186">
        <f t="shared" ref="G19" si="3">G18:H18</f>
        <v>2.63E-2</v>
      </c>
      <c r="H19" s="186">
        <f t="shared" ref="H19" si="4">H18</f>
        <v>0.1845</v>
      </c>
      <c r="I19" s="187">
        <v>45199</v>
      </c>
      <c r="J19" s="187">
        <v>45214</v>
      </c>
      <c r="K19" s="187">
        <v>44201</v>
      </c>
      <c r="L19" s="188" t="s">
        <v>325</v>
      </c>
      <c r="M19" s="79">
        <v>162673.35999999999</v>
      </c>
      <c r="N19" s="67"/>
      <c r="O19" s="67">
        <f t="shared" si="0"/>
        <v>162673.35999999999</v>
      </c>
      <c r="P19" s="66"/>
      <c r="Q19" s="67"/>
      <c r="R19" s="67"/>
      <c r="S19" s="68">
        <f t="shared" si="2"/>
        <v>0</v>
      </c>
    </row>
    <row r="20" spans="2:19" ht="30" customHeight="1" x14ac:dyDescent="0.25">
      <c r="B20" s="2" t="s">
        <v>287</v>
      </c>
      <c r="C20" s="236" t="s">
        <v>333</v>
      </c>
      <c r="D20" s="93" t="s">
        <v>288</v>
      </c>
      <c r="E20" s="2" t="s">
        <v>289</v>
      </c>
      <c r="F20" s="2" t="s">
        <v>7</v>
      </c>
      <c r="G20" s="186">
        <v>2.63E-2</v>
      </c>
      <c r="H20" s="186">
        <v>0.1845</v>
      </c>
      <c r="I20" s="187">
        <v>45199</v>
      </c>
      <c r="J20" s="187">
        <v>45199</v>
      </c>
      <c r="K20" s="187">
        <v>44201</v>
      </c>
      <c r="L20" s="188" t="s">
        <v>320</v>
      </c>
      <c r="M20" s="79">
        <v>301125.75</v>
      </c>
      <c r="N20" s="67"/>
      <c r="O20" s="67">
        <f t="shared" si="0"/>
        <v>301125.75</v>
      </c>
      <c r="P20" s="66"/>
      <c r="Q20" s="67"/>
      <c r="R20" s="67"/>
      <c r="S20" s="68">
        <f t="shared" si="2"/>
        <v>0</v>
      </c>
    </row>
    <row r="21" spans="2:19" ht="30" customHeight="1" x14ac:dyDescent="0.25">
      <c r="B21" s="2" t="s">
        <v>352</v>
      </c>
      <c r="C21" s="236" t="s">
        <v>353</v>
      </c>
      <c r="D21" s="93" t="s">
        <v>354</v>
      </c>
      <c r="E21" s="2" t="s">
        <v>355</v>
      </c>
      <c r="F21" s="2" t="s">
        <v>7</v>
      </c>
      <c r="G21" s="186">
        <v>2.63E-2</v>
      </c>
      <c r="H21" s="186">
        <v>0.1845</v>
      </c>
      <c r="I21" s="187">
        <v>45565</v>
      </c>
      <c r="J21" s="187">
        <v>45580</v>
      </c>
      <c r="K21" s="187">
        <v>44279</v>
      </c>
      <c r="L21" s="188" t="s">
        <v>356</v>
      </c>
      <c r="M21" s="79">
        <v>1177360.8700000001</v>
      </c>
      <c r="N21" s="67"/>
      <c r="O21" s="67">
        <f t="shared" si="0"/>
        <v>1177360.8700000001</v>
      </c>
      <c r="P21" s="66"/>
      <c r="Q21" s="67"/>
      <c r="R21" s="67"/>
      <c r="S21" s="68">
        <f t="shared" si="2"/>
        <v>0</v>
      </c>
    </row>
    <row r="22" spans="2:19" ht="30" customHeight="1" x14ac:dyDescent="0.25">
      <c r="B22" s="2" t="s">
        <v>357</v>
      </c>
      <c r="C22" s="236" t="s">
        <v>353</v>
      </c>
      <c r="D22" s="93" t="s">
        <v>354</v>
      </c>
      <c r="E22" s="2" t="s">
        <v>358</v>
      </c>
      <c r="F22" s="2" t="s">
        <v>7</v>
      </c>
      <c r="G22" s="186">
        <v>2.63E-2</v>
      </c>
      <c r="H22" s="186">
        <v>0.1845</v>
      </c>
      <c r="I22" s="187">
        <v>45565</v>
      </c>
      <c r="J22" s="187">
        <v>45580</v>
      </c>
      <c r="K22" s="187">
        <v>44279</v>
      </c>
      <c r="L22" s="188" t="s">
        <v>356</v>
      </c>
      <c r="M22" s="79">
        <v>294340.21999999997</v>
      </c>
      <c r="N22" s="67"/>
      <c r="O22" s="67">
        <f t="shared" si="0"/>
        <v>294340.21999999997</v>
      </c>
      <c r="P22" s="66"/>
      <c r="Q22" s="67"/>
      <c r="R22" s="67"/>
      <c r="S22" s="68">
        <f t="shared" si="2"/>
        <v>0</v>
      </c>
    </row>
    <row r="23" spans="2:19" ht="30" customHeight="1" x14ac:dyDescent="0.25">
      <c r="B23" s="2" t="s">
        <v>363</v>
      </c>
      <c r="C23" s="236" t="s">
        <v>333</v>
      </c>
      <c r="D23" s="93" t="s">
        <v>288</v>
      </c>
      <c r="E23" s="2" t="s">
        <v>364</v>
      </c>
      <c r="F23" s="2" t="s">
        <v>7</v>
      </c>
      <c r="G23" s="186">
        <v>2.63E-2</v>
      </c>
      <c r="H23" s="186">
        <v>0.1845</v>
      </c>
      <c r="I23" s="187">
        <v>45199</v>
      </c>
      <c r="J23" s="187">
        <v>45214</v>
      </c>
      <c r="K23" s="187">
        <v>44201</v>
      </c>
      <c r="L23" s="188" t="s">
        <v>365</v>
      </c>
      <c r="M23" s="79">
        <v>2771.15</v>
      </c>
      <c r="N23" s="67"/>
      <c r="O23" s="67">
        <f t="shared" si="0"/>
        <v>2771.15</v>
      </c>
      <c r="P23" s="66"/>
      <c r="Q23" s="67"/>
      <c r="R23" s="67"/>
      <c r="S23" s="68"/>
    </row>
    <row r="24" spans="2:19" ht="30" customHeight="1" x14ac:dyDescent="0.25">
      <c r="B24" s="2" t="s">
        <v>366</v>
      </c>
      <c r="C24" s="236" t="s">
        <v>333</v>
      </c>
      <c r="D24" s="93" t="s">
        <v>367</v>
      </c>
      <c r="E24" s="2" t="s">
        <v>368</v>
      </c>
      <c r="F24" s="2" t="s">
        <v>7</v>
      </c>
      <c r="G24" s="186">
        <v>2.63E-2</v>
      </c>
      <c r="H24" s="186">
        <v>0.1845</v>
      </c>
      <c r="I24" s="187">
        <v>45199</v>
      </c>
      <c r="J24" s="187">
        <v>45214</v>
      </c>
      <c r="K24" s="187">
        <v>44201</v>
      </c>
      <c r="L24" s="188" t="s">
        <v>369</v>
      </c>
      <c r="M24" s="79">
        <v>7332.88</v>
      </c>
      <c r="N24" s="67"/>
      <c r="O24" s="67">
        <f t="shared" si="0"/>
        <v>7332.88</v>
      </c>
      <c r="P24" s="66"/>
      <c r="Q24" s="67"/>
      <c r="R24" s="67"/>
      <c r="S24" s="68"/>
    </row>
    <row r="25" spans="2:19" x14ac:dyDescent="0.25">
      <c r="C25" s="92"/>
      <c r="D25" s="126"/>
      <c r="E25" s="75"/>
      <c r="G25" s="186"/>
      <c r="H25" s="186"/>
      <c r="I25" s="187"/>
      <c r="J25" s="187"/>
      <c r="K25" s="187"/>
      <c r="L25" s="188"/>
      <c r="M25" s="161"/>
      <c r="N25" s="180"/>
      <c r="O25" s="25"/>
      <c r="P25" s="148"/>
      <c r="Q25" s="215"/>
      <c r="R25" s="181"/>
      <c r="S25" s="160"/>
    </row>
    <row r="26" spans="2:19" ht="27" customHeight="1" x14ac:dyDescent="0.25">
      <c r="C26" s="93"/>
      <c r="D26" s="93"/>
      <c r="L26" s="5" t="s">
        <v>38</v>
      </c>
      <c r="M26" s="66">
        <f>SUM(M7:M25)</f>
        <v>2598073.6999999997</v>
      </c>
      <c r="N26" s="66">
        <f>SUM(N7:N25)</f>
        <v>3654.23</v>
      </c>
      <c r="O26" s="66">
        <f>SUM(O7:O25)</f>
        <v>2601727.9300000002</v>
      </c>
      <c r="P26" s="66"/>
      <c r="Q26" s="216">
        <f>SUM(Q7:Q25)</f>
        <v>540725.49</v>
      </c>
      <c r="R26" s="213">
        <f>SUM(R7:R25)</f>
        <v>0</v>
      </c>
      <c r="S26" s="217">
        <f>SUM(S7:S25)</f>
        <v>540725.49</v>
      </c>
    </row>
    <row r="27" spans="2:19" x14ac:dyDescent="0.25">
      <c r="C27" s="93"/>
      <c r="D27" s="93"/>
      <c r="L27" s="5"/>
      <c r="M27" s="66"/>
      <c r="N27" s="66"/>
      <c r="O27" s="66"/>
      <c r="Q27" s="66"/>
      <c r="R27" s="66"/>
      <c r="S27" s="68"/>
    </row>
    <row r="28" spans="2:19" x14ac:dyDescent="0.25">
      <c r="B28" s="8" t="s">
        <v>125</v>
      </c>
      <c r="C28" s="92"/>
      <c r="D28" s="92"/>
      <c r="S28" s="27"/>
    </row>
    <row r="29" spans="2:19" ht="33.75" customHeight="1" x14ac:dyDescent="0.25">
      <c r="B29" s="341" t="s">
        <v>126</v>
      </c>
      <c r="C29" s="341"/>
      <c r="D29" s="341"/>
      <c r="E29" s="341"/>
      <c r="F29" s="341"/>
      <c r="L29" s="5"/>
      <c r="M29" s="66"/>
      <c r="N29" s="66"/>
      <c r="O29" s="66"/>
      <c r="Q29" s="66"/>
      <c r="R29" s="66"/>
      <c r="S29" s="68"/>
    </row>
    <row r="30" spans="2:19" x14ac:dyDescent="0.25">
      <c r="C30" s="92"/>
      <c r="D30" s="92"/>
      <c r="L30" s="5"/>
      <c r="M30" s="66"/>
      <c r="N30" s="66"/>
      <c r="O30" s="66"/>
      <c r="Q30" s="66"/>
      <c r="R30" s="66"/>
      <c r="S30" s="68"/>
    </row>
    <row r="31" spans="2:19" ht="48.75" customHeight="1" x14ac:dyDescent="0.25">
      <c r="B31" s="341" t="s">
        <v>129</v>
      </c>
      <c r="C31" s="341"/>
      <c r="D31" s="341"/>
      <c r="E31" s="341"/>
      <c r="F31" s="341"/>
      <c r="L31" s="5"/>
      <c r="M31" s="66"/>
      <c r="N31" s="66"/>
      <c r="O31" s="66"/>
      <c r="Q31" s="66"/>
      <c r="R31" s="66"/>
      <c r="S31" s="68"/>
    </row>
    <row r="32" spans="2:19" x14ac:dyDescent="0.25">
      <c r="B32" s="108"/>
      <c r="C32" s="108"/>
      <c r="D32" s="108"/>
      <c r="E32" s="108"/>
      <c r="L32" s="5"/>
      <c r="M32" s="66"/>
      <c r="N32" s="66"/>
      <c r="O32" s="66"/>
      <c r="Q32" s="66"/>
      <c r="R32" s="66"/>
      <c r="S32" s="68"/>
    </row>
    <row r="33" spans="2:19" ht="30" customHeight="1" x14ac:dyDescent="0.25">
      <c r="B33" s="341" t="s">
        <v>160</v>
      </c>
      <c r="C33" s="341"/>
      <c r="D33" s="341"/>
      <c r="E33" s="341"/>
      <c r="F33" s="341"/>
      <c r="L33" s="5"/>
      <c r="M33" s="66"/>
      <c r="N33" s="66"/>
      <c r="O33" s="66"/>
      <c r="Q33" s="66"/>
      <c r="R33" s="66"/>
      <c r="S33" s="68"/>
    </row>
    <row r="34" spans="2:19" ht="15" customHeight="1" x14ac:dyDescent="0.25">
      <c r="B34" s="347" t="s">
        <v>159</v>
      </c>
      <c r="C34" s="341"/>
      <c r="D34" s="341"/>
      <c r="E34" s="341"/>
      <c r="F34" s="341"/>
      <c r="L34" s="5"/>
      <c r="M34" s="66"/>
      <c r="N34" s="66"/>
      <c r="O34" s="66"/>
      <c r="Q34" s="66"/>
      <c r="R34" s="66"/>
      <c r="S34" s="68"/>
    </row>
    <row r="35" spans="2:19" ht="15" customHeight="1" x14ac:dyDescent="0.25">
      <c r="B35" s="195"/>
      <c r="C35" s="195"/>
      <c r="D35" s="195"/>
      <c r="E35" s="195"/>
      <c r="L35" s="5"/>
      <c r="M35" s="66"/>
      <c r="N35" s="66"/>
      <c r="O35" s="66"/>
      <c r="Q35" s="66"/>
      <c r="R35" s="66"/>
      <c r="S35" s="68"/>
    </row>
    <row r="36" spans="2:19" x14ac:dyDescent="0.25">
      <c r="B36" s="7" t="s">
        <v>109</v>
      </c>
      <c r="C36" s="101" t="s">
        <v>112</v>
      </c>
      <c r="D36" s="101" t="s">
        <v>113</v>
      </c>
      <c r="E36" s="108"/>
      <c r="L36" s="5"/>
      <c r="M36" s="66"/>
      <c r="N36" s="66"/>
      <c r="O36" s="66"/>
      <c r="Q36" s="66"/>
      <c r="R36" s="66"/>
      <c r="S36" s="68"/>
    </row>
    <row r="37" spans="2:19" x14ac:dyDescent="0.25">
      <c r="B37" s="2" t="s">
        <v>110</v>
      </c>
      <c r="C37" s="92" t="s">
        <v>327</v>
      </c>
      <c r="D37" s="92" t="s">
        <v>118</v>
      </c>
      <c r="E37" s="108"/>
      <c r="L37" s="5"/>
      <c r="M37" s="66"/>
      <c r="N37" s="66"/>
      <c r="O37" s="66"/>
      <c r="Q37" s="66"/>
      <c r="R37" s="66"/>
      <c r="S37" s="68"/>
    </row>
    <row r="38" spans="2:19" x14ac:dyDescent="0.25">
      <c r="B38" s="2" t="s">
        <v>261</v>
      </c>
      <c r="C38" s="92" t="s">
        <v>180</v>
      </c>
      <c r="D38" s="92" t="s">
        <v>181</v>
      </c>
      <c r="E38" s="291"/>
      <c r="L38" s="5"/>
      <c r="M38" s="66"/>
      <c r="N38" s="66"/>
      <c r="O38" s="66"/>
      <c r="Q38" s="66"/>
      <c r="R38" s="66"/>
      <c r="S38" s="68"/>
    </row>
    <row r="39" spans="2:19" x14ac:dyDescent="0.25">
      <c r="B39" s="2" t="s">
        <v>262</v>
      </c>
      <c r="C39" s="92" t="s">
        <v>180</v>
      </c>
      <c r="D39" s="92" t="s">
        <v>181</v>
      </c>
      <c r="L39" s="5"/>
      <c r="M39" s="66"/>
      <c r="N39" s="66"/>
      <c r="O39" s="66"/>
      <c r="Q39" s="66"/>
      <c r="R39" s="66"/>
      <c r="S39" s="68"/>
    </row>
    <row r="40" spans="2:19" x14ac:dyDescent="0.25">
      <c r="B40" s="103" t="s">
        <v>111</v>
      </c>
      <c r="C40" s="92" t="s">
        <v>300</v>
      </c>
      <c r="D40" s="92" t="s">
        <v>303</v>
      </c>
      <c r="L40" s="5"/>
      <c r="M40" s="66"/>
      <c r="N40" s="66"/>
      <c r="O40" s="66"/>
      <c r="Q40" s="66"/>
      <c r="R40" s="66"/>
      <c r="S40" s="68"/>
    </row>
    <row r="41" spans="2:19" x14ac:dyDescent="0.25">
      <c r="B41" s="2" t="s">
        <v>230</v>
      </c>
      <c r="C41" s="92" t="s">
        <v>135</v>
      </c>
      <c r="D41" s="92" t="s">
        <v>147</v>
      </c>
      <c r="L41" s="5"/>
      <c r="M41" s="66"/>
      <c r="N41" s="66"/>
      <c r="O41" s="66"/>
      <c r="Q41" s="66"/>
      <c r="R41" s="66"/>
      <c r="S41" s="68"/>
    </row>
    <row r="42" spans="2:19" x14ac:dyDescent="0.25">
      <c r="B42" s="2" t="s">
        <v>275</v>
      </c>
      <c r="C42" s="92" t="s">
        <v>135</v>
      </c>
      <c r="D42" s="92" t="s">
        <v>147</v>
      </c>
      <c r="L42" s="5"/>
      <c r="M42" s="66"/>
      <c r="N42" s="66"/>
      <c r="O42" s="66"/>
      <c r="Q42" s="66"/>
      <c r="R42" s="66"/>
      <c r="S42" s="68"/>
    </row>
    <row r="43" spans="2:19" x14ac:dyDescent="0.25">
      <c r="B43" s="2" t="s">
        <v>279</v>
      </c>
      <c r="C43" s="92" t="s">
        <v>135</v>
      </c>
      <c r="D43" s="92" t="s">
        <v>147</v>
      </c>
      <c r="L43" s="5"/>
      <c r="M43" s="66"/>
      <c r="N43" s="66"/>
      <c r="O43" s="66"/>
      <c r="Q43" s="66"/>
      <c r="R43" s="66"/>
      <c r="S43" s="68"/>
    </row>
    <row r="44" spans="2:19" x14ac:dyDescent="0.25">
      <c r="B44" s="2" t="s">
        <v>281</v>
      </c>
      <c r="C44" s="92" t="s">
        <v>135</v>
      </c>
      <c r="D44" s="92" t="s">
        <v>147</v>
      </c>
      <c r="L44" s="5"/>
      <c r="M44" s="66"/>
      <c r="N44" s="66"/>
      <c r="O44" s="66"/>
      <c r="Q44" s="66"/>
      <c r="R44" s="66"/>
      <c r="S44" s="68"/>
    </row>
    <row r="45" spans="2:19" x14ac:dyDescent="0.25">
      <c r="B45" s="2" t="s">
        <v>286</v>
      </c>
      <c r="C45" s="92" t="s">
        <v>135</v>
      </c>
      <c r="D45" s="92" t="s">
        <v>147</v>
      </c>
      <c r="L45" s="5"/>
      <c r="M45" s="66"/>
      <c r="N45" s="66"/>
      <c r="O45" s="66"/>
      <c r="Q45" s="66"/>
      <c r="R45" s="66"/>
      <c r="S45" s="68"/>
    </row>
    <row r="46" spans="2:19" x14ac:dyDescent="0.25">
      <c r="C46" s="92"/>
      <c r="D46" s="92"/>
      <c r="L46" s="5"/>
      <c r="M46" s="66"/>
      <c r="N46" s="66"/>
      <c r="O46" s="66"/>
      <c r="Q46" s="66"/>
      <c r="R46" s="66"/>
      <c r="S46" s="68"/>
    </row>
    <row r="47" spans="2:19" x14ac:dyDescent="0.25">
      <c r="B47" s="259" t="s">
        <v>298</v>
      </c>
      <c r="C47" s="92"/>
      <c r="D47" s="92"/>
      <c r="L47" s="5"/>
      <c r="M47" s="66"/>
      <c r="N47" s="66"/>
      <c r="O47" s="66"/>
      <c r="Q47" s="66"/>
      <c r="R47" s="66"/>
      <c r="S47" s="68"/>
    </row>
    <row r="48" spans="2:19" x14ac:dyDescent="0.25">
      <c r="B48" s="265" t="s">
        <v>299</v>
      </c>
      <c r="C48" s="42"/>
      <c r="D48" s="42"/>
      <c r="E48" s="29"/>
      <c r="F48" s="29"/>
      <c r="G48" s="29"/>
      <c r="H48" s="29"/>
      <c r="I48" s="29"/>
      <c r="J48" s="29"/>
      <c r="K48" s="29"/>
      <c r="L48" s="29"/>
      <c r="M48" s="29"/>
      <c r="N48" s="29"/>
      <c r="O48" s="29"/>
      <c r="P48" s="29"/>
      <c r="Q48" s="29"/>
      <c r="R48" s="29"/>
      <c r="S48" s="27"/>
    </row>
    <row r="49" spans="2:19" x14ac:dyDescent="0.25">
      <c r="B49" s="265"/>
      <c r="C49" s="42"/>
      <c r="D49" s="42"/>
      <c r="E49" s="29"/>
      <c r="F49" s="29"/>
      <c r="G49" s="29"/>
      <c r="H49" s="29"/>
      <c r="I49" s="29"/>
      <c r="J49" s="29"/>
      <c r="K49" s="29"/>
      <c r="L49" s="29"/>
      <c r="M49" s="29"/>
      <c r="N49" s="29"/>
      <c r="O49" s="29"/>
      <c r="P49" s="29"/>
      <c r="Q49" s="29"/>
      <c r="R49" s="29"/>
      <c r="S49" s="27"/>
    </row>
    <row r="50" spans="2:19" x14ac:dyDescent="0.25">
      <c r="B50" s="109"/>
      <c r="C50" s="109"/>
      <c r="D50" s="109"/>
      <c r="E50" s="109"/>
      <c r="F50" s="109"/>
      <c r="G50" s="109"/>
      <c r="H50" s="109"/>
      <c r="I50" s="109"/>
      <c r="J50" s="109"/>
      <c r="K50" s="109"/>
      <c r="L50" s="109"/>
      <c r="M50" s="109"/>
      <c r="N50" s="109"/>
      <c r="O50" s="109"/>
      <c r="P50" s="109"/>
      <c r="Q50" s="170" t="s">
        <v>90</v>
      </c>
      <c r="R50" s="171"/>
      <c r="S50" s="172"/>
    </row>
    <row r="51" spans="2:19" ht="15" customHeight="1" x14ac:dyDescent="0.25">
      <c r="B51" s="17" t="s">
        <v>39</v>
      </c>
      <c r="C51" s="96" t="s">
        <v>2</v>
      </c>
      <c r="D51" s="96"/>
      <c r="E51" s="96" t="s">
        <v>34</v>
      </c>
      <c r="F51" s="96" t="s">
        <v>35</v>
      </c>
      <c r="G51" s="120"/>
      <c r="H51" s="120"/>
      <c r="I51" s="114"/>
      <c r="J51" s="96"/>
      <c r="K51" s="96"/>
      <c r="L51" s="96" t="s">
        <v>36</v>
      </c>
      <c r="M51" s="96" t="s">
        <v>37</v>
      </c>
      <c r="N51" s="10"/>
      <c r="O51" s="10"/>
      <c r="P51" s="10"/>
      <c r="Q51" s="54" t="s">
        <v>88</v>
      </c>
      <c r="R51" s="54"/>
      <c r="S51" s="55"/>
    </row>
    <row r="52" spans="2:19" ht="15" customHeight="1" x14ac:dyDescent="0.25">
      <c r="B52" s="63"/>
      <c r="C52" s="9"/>
      <c r="D52" s="9"/>
      <c r="E52" s="9"/>
      <c r="F52" s="9"/>
      <c r="G52" s="9"/>
      <c r="H52" s="9"/>
      <c r="I52" s="9"/>
      <c r="J52" s="9"/>
      <c r="K52" s="9"/>
      <c r="L52" s="9"/>
      <c r="M52" s="9"/>
      <c r="Q52" s="58"/>
      <c r="R52" s="51"/>
      <c r="S52" s="51"/>
    </row>
    <row r="53" spans="2:19" ht="15" customHeight="1" x14ac:dyDescent="0.25">
      <c r="B53" s="63"/>
      <c r="C53" s="148"/>
      <c r="D53" s="148"/>
      <c r="E53" s="148"/>
      <c r="F53" s="148"/>
      <c r="G53" s="148"/>
      <c r="H53" s="148"/>
      <c r="I53" s="148"/>
      <c r="J53" s="148"/>
      <c r="K53" s="148"/>
      <c r="L53" s="148"/>
      <c r="M53" s="148"/>
      <c r="Q53" s="58"/>
      <c r="R53" s="51"/>
      <c r="S53" s="51"/>
    </row>
    <row r="54" spans="2:19" ht="15" customHeight="1" x14ac:dyDescent="0.25">
      <c r="B54" s="63"/>
      <c r="C54" s="148"/>
      <c r="D54" s="148"/>
      <c r="E54" s="148"/>
      <c r="F54" s="148"/>
      <c r="G54" s="148"/>
      <c r="H54" s="148"/>
      <c r="I54" s="148"/>
      <c r="J54" s="148"/>
      <c r="K54" s="148"/>
      <c r="L54" s="148"/>
      <c r="M54" s="148"/>
      <c r="Q54" s="58"/>
      <c r="R54" s="51"/>
      <c r="S54" s="51"/>
    </row>
    <row r="55" spans="2:19" x14ac:dyDescent="0.25">
      <c r="B55" s="36"/>
      <c r="C55" s="40"/>
      <c r="D55" s="40"/>
      <c r="E55" s="41"/>
      <c r="F55" s="38"/>
      <c r="G55" s="38"/>
      <c r="H55" s="38"/>
      <c r="I55" s="38"/>
      <c r="J55" s="38"/>
      <c r="K55" s="38"/>
      <c r="L55" s="39"/>
      <c r="M55" s="34"/>
      <c r="N55" s="104"/>
      <c r="O55" s="29"/>
      <c r="P55" s="29"/>
      <c r="Q55" s="309" t="s">
        <v>316</v>
      </c>
      <c r="R55" s="309"/>
      <c r="S55" s="312">
        <f>S26</f>
        <v>540725.49</v>
      </c>
    </row>
    <row r="56" spans="2:19" x14ac:dyDescent="0.25">
      <c r="C56" s="40"/>
      <c r="D56" s="40"/>
      <c r="E56" s="41"/>
      <c r="F56" s="69"/>
      <c r="G56" s="69"/>
      <c r="H56" s="69"/>
      <c r="I56" s="69"/>
      <c r="J56" s="69"/>
      <c r="K56" s="69"/>
      <c r="L56" s="33"/>
      <c r="M56" s="31"/>
      <c r="N56" s="104"/>
    </row>
    <row r="57" spans="2:19" x14ac:dyDescent="0.25">
      <c r="C57" s="40"/>
      <c r="D57" s="40"/>
      <c r="E57" s="41"/>
      <c r="F57" s="69"/>
      <c r="G57" s="69"/>
      <c r="H57" s="69"/>
      <c r="I57" s="69"/>
      <c r="J57" s="69"/>
      <c r="K57" s="69"/>
      <c r="L57" s="33"/>
      <c r="M57" s="31"/>
      <c r="N57" s="105"/>
    </row>
    <row r="58" spans="2:19" x14ac:dyDescent="0.25">
      <c r="C58" s="40"/>
      <c r="D58" s="40"/>
      <c r="E58" s="41"/>
      <c r="F58" s="69"/>
      <c r="G58" s="69"/>
      <c r="H58" s="69"/>
      <c r="I58" s="69"/>
      <c r="J58" s="69"/>
      <c r="K58" s="69"/>
      <c r="L58" s="33"/>
      <c r="M58" s="35"/>
      <c r="N58" s="37"/>
      <c r="O58" s="37"/>
      <c r="P58" s="29"/>
    </row>
    <row r="59" spans="2:19" ht="15" customHeight="1" x14ac:dyDescent="0.25">
      <c r="B59" s="36"/>
      <c r="C59" s="40"/>
      <c r="D59" s="40"/>
      <c r="E59" s="41"/>
      <c r="F59" s="38"/>
      <c r="G59" s="38"/>
      <c r="H59" s="38"/>
      <c r="I59" s="38"/>
      <c r="J59" s="38"/>
      <c r="K59" s="38"/>
      <c r="L59" s="33"/>
      <c r="M59" s="31"/>
      <c r="N59" s="99"/>
      <c r="O59" s="99"/>
      <c r="P59" s="29"/>
    </row>
    <row r="60" spans="2:19" x14ac:dyDescent="0.25">
      <c r="B60" s="36"/>
      <c r="C60" s="40"/>
      <c r="D60" s="40"/>
      <c r="E60" s="41"/>
      <c r="F60" s="38"/>
      <c r="G60" s="38"/>
      <c r="H60" s="38"/>
      <c r="I60" s="38"/>
      <c r="J60" s="38"/>
      <c r="K60" s="38"/>
      <c r="L60" s="33"/>
      <c r="M60" s="31"/>
      <c r="N60" s="99"/>
      <c r="O60" s="99"/>
      <c r="P60" s="29"/>
    </row>
    <row r="61" spans="2:19" x14ac:dyDescent="0.25">
      <c r="B61" s="36"/>
      <c r="C61" s="40"/>
      <c r="D61" s="40"/>
      <c r="E61" s="41"/>
      <c r="F61" s="38"/>
      <c r="G61" s="38"/>
      <c r="H61" s="38"/>
      <c r="I61" s="38"/>
      <c r="J61" s="38"/>
      <c r="K61" s="38"/>
      <c r="L61" s="33"/>
      <c r="M61" s="31"/>
      <c r="N61" s="99"/>
      <c r="O61" s="99"/>
      <c r="P61" s="29"/>
    </row>
    <row r="62" spans="2:19" ht="16.5" customHeight="1" x14ac:dyDescent="0.25">
      <c r="B62" s="36"/>
      <c r="C62" s="40"/>
      <c r="D62" s="40"/>
      <c r="E62" s="41"/>
      <c r="F62" s="38"/>
      <c r="G62" s="38"/>
      <c r="H62" s="38"/>
      <c r="I62" s="38"/>
      <c r="J62" s="38"/>
      <c r="K62" s="38"/>
      <c r="L62" s="39"/>
      <c r="M62" s="20"/>
      <c r="N62" s="99"/>
      <c r="O62" s="99"/>
      <c r="P62" s="29"/>
    </row>
    <row r="63" spans="2:19" ht="15" hidden="1" customHeight="1" x14ac:dyDescent="0.25"/>
    <row r="64" spans="2:19" ht="15" customHeight="1" x14ac:dyDescent="0.25">
      <c r="E64" s="21"/>
      <c r="F64" s="102"/>
      <c r="G64" s="102"/>
      <c r="H64" s="102"/>
      <c r="I64" s="102"/>
      <c r="J64" s="102"/>
      <c r="K64" s="102"/>
    </row>
    <row r="67" ht="15" customHeight="1" x14ac:dyDescent="0.25"/>
  </sheetData>
  <mergeCells count="6">
    <mergeCell ref="B34:F34"/>
    <mergeCell ref="Q1:S1"/>
    <mergeCell ref="Q2:S2"/>
    <mergeCell ref="B33:F33"/>
    <mergeCell ref="B29:F29"/>
    <mergeCell ref="B31:F31"/>
  </mergeCells>
  <hyperlinks>
    <hyperlink ref="B34" r:id="rId1"/>
  </hyperlinks>
  <printOptions horizontalCentered="1" gridLines="1"/>
  <pageMargins left="0" right="0" top="0.75" bottom="0.75" header="0.3" footer="0.3"/>
  <pageSetup scale="46" orientation="landscape" horizontalDpi="1200" verticalDpi="1200"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4"/>
  <sheetViews>
    <sheetView topLeftCell="N39" zoomScale="90" zoomScaleNormal="90" workbookViewId="0">
      <selection activeCell="S55" sqref="S55"/>
    </sheetView>
  </sheetViews>
  <sheetFormatPr defaultColWidth="9.140625" defaultRowHeight="15" x14ac:dyDescent="0.25"/>
  <cols>
    <col min="1" max="1" width="9.140625" style="2" hidden="1" customWidth="1"/>
    <col min="2" max="2" width="57.7109375" style="2" customWidth="1"/>
    <col min="3" max="3" width="26.7109375" style="2" customWidth="1"/>
    <col min="4" max="4" width="13.7109375" style="2" customWidth="1"/>
    <col min="5" max="5" width="16.85546875" style="2" customWidth="1"/>
    <col min="6" max="6" width="22.7109375" style="2" customWidth="1"/>
    <col min="7" max="7" width="10.28515625" style="2" customWidth="1"/>
    <col min="8" max="8" width="12.85546875" style="2" customWidth="1"/>
    <col min="9" max="9" width="13.42578125" style="2" customWidth="1"/>
    <col min="10" max="10" width="15.7109375" style="2" customWidth="1"/>
    <col min="11" max="11" width="8.85546875" style="2" customWidth="1"/>
    <col min="12" max="12" width="18.28515625" style="2" customWidth="1"/>
    <col min="13" max="13" width="14" style="2" bestFit="1" customWidth="1"/>
    <col min="14" max="14" width="13.7109375" style="2" customWidth="1"/>
    <col min="15" max="15" width="14.42578125" style="2" customWidth="1"/>
    <col min="16" max="16" width="3.140625" style="2" customWidth="1"/>
    <col min="17" max="17" width="14.5703125" style="2" customWidth="1"/>
    <col min="18" max="18" width="14.140625" style="2" customWidth="1"/>
    <col min="19" max="19" width="16.7109375" style="2" customWidth="1"/>
    <col min="20" max="16384" width="9.140625" style="2"/>
  </cols>
  <sheetData>
    <row r="1" spans="1:20" ht="18" customHeight="1" x14ac:dyDescent="0.25">
      <c r="B1" s="1" t="s">
        <v>93</v>
      </c>
      <c r="Q1" s="338" t="s">
        <v>296</v>
      </c>
      <c r="R1" s="338"/>
      <c r="S1" s="338"/>
    </row>
    <row r="2" spans="1:20" ht="18" customHeight="1" x14ac:dyDescent="0.25">
      <c r="B2" s="88" t="s">
        <v>148</v>
      </c>
      <c r="C2" s="182">
        <v>44742</v>
      </c>
      <c r="M2" s="71"/>
      <c r="N2" s="71"/>
      <c r="P2" s="29"/>
      <c r="Q2" s="337" t="s">
        <v>375</v>
      </c>
      <c r="R2" s="337"/>
      <c r="S2" s="337"/>
    </row>
    <row r="3" spans="1:20" ht="18" customHeight="1" thickBot="1" x14ac:dyDescent="0.3">
      <c r="A3" s="2" t="s">
        <v>16</v>
      </c>
      <c r="B3" s="44" t="s">
        <v>92</v>
      </c>
      <c r="C3" s="8"/>
      <c r="D3" s="8"/>
      <c r="E3" s="8"/>
      <c r="P3" s="29"/>
      <c r="Q3" s="45"/>
      <c r="R3" s="30"/>
    </row>
    <row r="4" spans="1:20" ht="18.75" customHeight="1" x14ac:dyDescent="0.25">
      <c r="B4" s="8" t="s">
        <v>174</v>
      </c>
      <c r="M4" s="85" t="s">
        <v>28</v>
      </c>
      <c r="N4" s="85" t="s">
        <v>28</v>
      </c>
      <c r="O4" s="85" t="s">
        <v>28</v>
      </c>
      <c r="P4" s="9"/>
      <c r="Q4" s="89" t="s">
        <v>29</v>
      </c>
      <c r="R4" s="89" t="s">
        <v>31</v>
      </c>
      <c r="S4" s="89" t="s">
        <v>23</v>
      </c>
      <c r="T4" s="7"/>
    </row>
    <row r="5" spans="1:20" ht="15.75" thickBot="1" x14ac:dyDescent="0.3">
      <c r="G5" s="183" t="s">
        <v>295</v>
      </c>
      <c r="H5" s="183" t="s">
        <v>295</v>
      </c>
      <c r="M5" s="86" t="s">
        <v>27</v>
      </c>
      <c r="N5" s="86" t="s">
        <v>26</v>
      </c>
      <c r="O5" s="86" t="s">
        <v>25</v>
      </c>
      <c r="P5" s="9"/>
      <c r="Q5" s="90" t="s">
        <v>30</v>
      </c>
      <c r="R5" s="90" t="s">
        <v>30</v>
      </c>
      <c r="S5" s="90" t="s">
        <v>30</v>
      </c>
      <c r="T5" s="7"/>
    </row>
    <row r="6" spans="1:20" ht="85.5" customHeight="1" thickBot="1" x14ac:dyDescent="0.3">
      <c r="B6" s="84" t="s">
        <v>1</v>
      </c>
      <c r="C6" s="84" t="s">
        <v>389</v>
      </c>
      <c r="D6" s="84" t="s">
        <v>107</v>
      </c>
      <c r="E6" s="84" t="s">
        <v>3</v>
      </c>
      <c r="F6" s="84" t="s">
        <v>4</v>
      </c>
      <c r="G6" s="107" t="s">
        <v>136</v>
      </c>
      <c r="H6" s="107" t="s">
        <v>137</v>
      </c>
      <c r="I6" s="107" t="s">
        <v>133</v>
      </c>
      <c r="J6" s="107" t="s">
        <v>134</v>
      </c>
      <c r="K6" s="107" t="s">
        <v>121</v>
      </c>
      <c r="L6" s="83" t="s">
        <v>5</v>
      </c>
      <c r="M6" s="87" t="s">
        <v>6</v>
      </c>
      <c r="N6" s="87" t="s">
        <v>6</v>
      </c>
      <c r="O6" s="87" t="s">
        <v>6</v>
      </c>
      <c r="P6" s="9"/>
      <c r="Q6" s="91"/>
      <c r="R6" s="97" t="s">
        <v>32</v>
      </c>
      <c r="S6" s="98" t="s">
        <v>33</v>
      </c>
    </row>
    <row r="7" spans="1:20" ht="27" customHeight="1" x14ac:dyDescent="0.25">
      <c r="B7" s="2" t="s">
        <v>8</v>
      </c>
      <c r="C7" s="92" t="s">
        <v>106</v>
      </c>
      <c r="D7" s="92" t="s">
        <v>306</v>
      </c>
      <c r="E7" s="2" t="s">
        <v>307</v>
      </c>
      <c r="F7" s="2" t="s">
        <v>7</v>
      </c>
      <c r="G7" s="186">
        <v>2.63E-2</v>
      </c>
      <c r="H7" s="186">
        <v>0.1845</v>
      </c>
      <c r="I7" s="187">
        <v>44742</v>
      </c>
      <c r="J7" s="187">
        <v>44743</v>
      </c>
      <c r="K7" s="187">
        <v>44378</v>
      </c>
      <c r="L7" s="188" t="s">
        <v>297</v>
      </c>
      <c r="M7" s="70">
        <v>300898</v>
      </c>
      <c r="N7" s="70"/>
      <c r="O7" s="67">
        <f>M7+N7</f>
        <v>300898</v>
      </c>
      <c r="P7" s="148"/>
      <c r="Q7" s="70">
        <f>52443.96+77927.39+82474.84+62682.32</f>
        <v>275528.51</v>
      </c>
      <c r="R7" s="60"/>
      <c r="S7" s="81">
        <f>Q7+R7</f>
        <v>275528.51</v>
      </c>
    </row>
    <row r="8" spans="1:20" ht="27" customHeight="1" x14ac:dyDescent="0.25">
      <c r="B8" s="2" t="s">
        <v>257</v>
      </c>
      <c r="C8" s="236" t="s">
        <v>260</v>
      </c>
      <c r="D8" s="93" t="s">
        <v>258</v>
      </c>
      <c r="E8" s="2" t="s">
        <v>259</v>
      </c>
      <c r="F8" s="2" t="s">
        <v>7</v>
      </c>
      <c r="G8" s="186">
        <v>2.63E-2</v>
      </c>
      <c r="H8" s="186">
        <v>0.1845</v>
      </c>
      <c r="I8" s="187">
        <v>44439</v>
      </c>
      <c r="J8" s="187">
        <v>44454</v>
      </c>
      <c r="K8" s="187">
        <v>44013</v>
      </c>
      <c r="L8" s="188" t="s">
        <v>290</v>
      </c>
      <c r="M8" s="79">
        <v>9635</v>
      </c>
      <c r="N8" s="67"/>
      <c r="O8" s="67">
        <f t="shared" ref="O8" si="0">M8+N8</f>
        <v>9635</v>
      </c>
      <c r="P8" s="67"/>
      <c r="Q8" s="67">
        <v>8595.75</v>
      </c>
      <c r="R8" s="67"/>
      <c r="S8" s="68">
        <f t="shared" ref="S8" si="1">Q8+R8</f>
        <v>8595.75</v>
      </c>
    </row>
    <row r="9" spans="1:20" ht="33" customHeight="1" x14ac:dyDescent="0.25">
      <c r="B9" s="2" t="s">
        <v>128</v>
      </c>
      <c r="C9" s="226" t="s">
        <v>122</v>
      </c>
      <c r="D9" s="93" t="s">
        <v>310</v>
      </c>
      <c r="E9" s="2" t="s">
        <v>309</v>
      </c>
      <c r="F9" s="2" t="s">
        <v>7</v>
      </c>
      <c r="G9" s="186">
        <v>2.63E-2</v>
      </c>
      <c r="H9" s="186">
        <v>0.1845</v>
      </c>
      <c r="I9" s="187">
        <v>44742</v>
      </c>
      <c r="J9" s="187">
        <v>44743</v>
      </c>
      <c r="K9" s="187">
        <v>44378</v>
      </c>
      <c r="L9" s="204" t="s">
        <v>297</v>
      </c>
      <c r="M9" s="70">
        <v>16424.900000000001</v>
      </c>
      <c r="N9" s="70"/>
      <c r="O9" s="67">
        <f>M9+N9</f>
        <v>16424.900000000001</v>
      </c>
      <c r="P9" s="148"/>
      <c r="Q9" s="70">
        <v>16424.900000000001</v>
      </c>
      <c r="R9" s="60"/>
      <c r="S9" s="81">
        <f>Q9+R9</f>
        <v>16424.900000000001</v>
      </c>
    </row>
    <row r="10" spans="1:20" ht="33" customHeight="1" x14ac:dyDescent="0.25">
      <c r="B10" s="2" t="s">
        <v>223</v>
      </c>
      <c r="C10" s="236" t="s">
        <v>333</v>
      </c>
      <c r="D10" s="93" t="s">
        <v>224</v>
      </c>
      <c r="E10" s="2" t="s">
        <v>225</v>
      </c>
      <c r="F10" s="2" t="s">
        <v>7</v>
      </c>
      <c r="G10" s="186">
        <v>2.63E-2</v>
      </c>
      <c r="H10" s="186">
        <v>0.1845</v>
      </c>
      <c r="I10" s="187">
        <v>44834</v>
      </c>
      <c r="J10" s="187">
        <v>44849</v>
      </c>
      <c r="K10" s="187">
        <v>43614</v>
      </c>
      <c r="L10" s="188" t="s">
        <v>274</v>
      </c>
      <c r="M10" s="70">
        <v>146674.71</v>
      </c>
      <c r="N10" s="70"/>
      <c r="O10" s="67">
        <f>M10+N10</f>
        <v>146674.71</v>
      </c>
      <c r="P10" s="148"/>
      <c r="Q10" s="70"/>
      <c r="R10" s="60"/>
      <c r="S10" s="81">
        <f>Q10+R10</f>
        <v>0</v>
      </c>
    </row>
    <row r="11" spans="1:20" ht="33" customHeight="1" x14ac:dyDescent="0.25">
      <c r="B11" s="2" t="s">
        <v>275</v>
      </c>
      <c r="C11" s="236" t="s">
        <v>333</v>
      </c>
      <c r="D11" s="93" t="s">
        <v>224</v>
      </c>
      <c r="E11" s="2" t="s">
        <v>276</v>
      </c>
      <c r="F11" s="2" t="s">
        <v>7</v>
      </c>
      <c r="G11" s="186">
        <v>2.63E-2</v>
      </c>
      <c r="H11" s="186">
        <v>0.1845</v>
      </c>
      <c r="I11" s="297">
        <v>44773</v>
      </c>
      <c r="J11" s="297">
        <v>44788</v>
      </c>
      <c r="K11" s="187">
        <v>43980</v>
      </c>
      <c r="L11" s="188" t="s">
        <v>277</v>
      </c>
      <c r="M11" s="79">
        <v>8120.06</v>
      </c>
      <c r="N11" s="70"/>
      <c r="O11" s="67">
        <f>M11+N11</f>
        <v>8120.06</v>
      </c>
      <c r="P11" s="67"/>
      <c r="Q11" s="67"/>
      <c r="R11" s="67"/>
      <c r="S11" s="68">
        <f>Q11+R11</f>
        <v>0</v>
      </c>
    </row>
    <row r="12" spans="1:20" ht="33" customHeight="1" x14ac:dyDescent="0.25">
      <c r="B12" s="2" t="s">
        <v>279</v>
      </c>
      <c r="C12" s="236" t="s">
        <v>333</v>
      </c>
      <c r="D12" s="93" t="s">
        <v>224</v>
      </c>
      <c r="E12" s="2" t="s">
        <v>280</v>
      </c>
      <c r="F12" s="2" t="s">
        <v>7</v>
      </c>
      <c r="G12" s="186">
        <v>2.63E-2</v>
      </c>
      <c r="H12" s="186">
        <v>0.1845</v>
      </c>
      <c r="I12" s="187">
        <v>44592</v>
      </c>
      <c r="J12" s="187">
        <v>44592</v>
      </c>
      <c r="K12" s="187">
        <v>43980</v>
      </c>
      <c r="L12" s="188" t="s">
        <v>332</v>
      </c>
      <c r="M12" s="79">
        <v>3000</v>
      </c>
      <c r="N12" s="67"/>
      <c r="O12" s="67">
        <f t="shared" ref="O12:O21" si="2">M12+N12</f>
        <v>3000</v>
      </c>
      <c r="P12" s="66"/>
      <c r="Q12" s="67"/>
      <c r="R12" s="67"/>
      <c r="S12" s="68">
        <f t="shared" ref="S12:S20" si="3">Q12+R12</f>
        <v>0</v>
      </c>
    </row>
    <row r="13" spans="1:20" ht="33" customHeight="1" x14ac:dyDescent="0.25">
      <c r="B13" s="2" t="s">
        <v>281</v>
      </c>
      <c r="C13" s="236" t="s">
        <v>334</v>
      </c>
      <c r="D13" s="93" t="s">
        <v>231</v>
      </c>
      <c r="E13" s="2" t="s">
        <v>282</v>
      </c>
      <c r="F13" s="2" t="s">
        <v>7</v>
      </c>
      <c r="G13" s="186">
        <v>2.63E-2</v>
      </c>
      <c r="H13" s="186">
        <v>0.1845</v>
      </c>
      <c r="I13" s="187">
        <v>44742</v>
      </c>
      <c r="J13" s="187">
        <v>44757</v>
      </c>
      <c r="K13" s="187">
        <v>43979</v>
      </c>
      <c r="L13" s="188" t="s">
        <v>283</v>
      </c>
      <c r="M13" s="79">
        <v>1027</v>
      </c>
      <c r="N13" s="67"/>
      <c r="O13" s="67">
        <f t="shared" si="2"/>
        <v>1027</v>
      </c>
      <c r="P13" s="66"/>
      <c r="Q13" s="67"/>
      <c r="R13" s="67"/>
      <c r="S13" s="68">
        <f t="shared" si="3"/>
        <v>0</v>
      </c>
    </row>
    <row r="14" spans="1:20" ht="33" customHeight="1" x14ac:dyDescent="0.25">
      <c r="B14" s="2" t="s">
        <v>321</v>
      </c>
      <c r="C14" s="236" t="s">
        <v>333</v>
      </c>
      <c r="D14" s="93" t="s">
        <v>288</v>
      </c>
      <c r="E14" s="2" t="s">
        <v>322</v>
      </c>
      <c r="F14" s="2" t="s">
        <v>7</v>
      </c>
      <c r="G14" s="186">
        <f>G13:H13</f>
        <v>2.63E-2</v>
      </c>
      <c r="H14" s="186">
        <f>H13</f>
        <v>0.1845</v>
      </c>
      <c r="I14" s="187">
        <v>45199</v>
      </c>
      <c r="J14" s="187">
        <v>45214</v>
      </c>
      <c r="K14" s="187">
        <v>44201</v>
      </c>
      <c r="L14" s="188" t="s">
        <v>323</v>
      </c>
      <c r="M14" s="79">
        <v>131464.46</v>
      </c>
      <c r="N14" s="67"/>
      <c r="O14" s="67">
        <f t="shared" si="2"/>
        <v>131464.46</v>
      </c>
      <c r="P14" s="66"/>
      <c r="Q14" s="67"/>
      <c r="R14" s="67"/>
      <c r="S14" s="68">
        <f t="shared" si="3"/>
        <v>0</v>
      </c>
    </row>
    <row r="15" spans="1:20" ht="33" customHeight="1" x14ac:dyDescent="0.25">
      <c r="B15" s="2" t="s">
        <v>324</v>
      </c>
      <c r="C15" s="236" t="s">
        <v>333</v>
      </c>
      <c r="D15" s="93" t="s">
        <v>288</v>
      </c>
      <c r="E15" s="2" t="s">
        <v>329</v>
      </c>
      <c r="F15" s="2" t="s">
        <v>7</v>
      </c>
      <c r="G15" s="186">
        <f>G14:H14</f>
        <v>2.63E-2</v>
      </c>
      <c r="H15" s="186">
        <f>H14</f>
        <v>0.1845</v>
      </c>
      <c r="I15" s="187">
        <v>45199</v>
      </c>
      <c r="J15" s="187">
        <v>45214</v>
      </c>
      <c r="K15" s="187">
        <v>44201</v>
      </c>
      <c r="L15" s="188" t="s">
        <v>325</v>
      </c>
      <c r="M15" s="79">
        <v>32021</v>
      </c>
      <c r="N15" s="67"/>
      <c r="O15" s="67">
        <f t="shared" si="2"/>
        <v>32021</v>
      </c>
      <c r="P15" s="66"/>
      <c r="Q15" s="67"/>
      <c r="R15" s="67"/>
      <c r="S15" s="68">
        <f t="shared" si="3"/>
        <v>0</v>
      </c>
    </row>
    <row r="16" spans="1:20" ht="33" customHeight="1" x14ac:dyDescent="0.25">
      <c r="B16" s="2" t="s">
        <v>326</v>
      </c>
      <c r="C16" s="236" t="s">
        <v>333</v>
      </c>
      <c r="D16" s="93" t="s">
        <v>288</v>
      </c>
      <c r="E16" s="2" t="s">
        <v>330</v>
      </c>
      <c r="F16" s="2" t="s">
        <v>7</v>
      </c>
      <c r="G16" s="186">
        <f>G15:H15</f>
        <v>2.63E-2</v>
      </c>
      <c r="H16" s="186">
        <f>H15</f>
        <v>0.1845</v>
      </c>
      <c r="I16" s="187">
        <v>45199</v>
      </c>
      <c r="J16" s="187">
        <v>45214</v>
      </c>
      <c r="K16" s="187">
        <v>44201</v>
      </c>
      <c r="L16" s="188" t="s">
        <v>323</v>
      </c>
      <c r="M16" s="79">
        <v>34509.42</v>
      </c>
      <c r="N16" s="67"/>
      <c r="O16" s="67">
        <f t="shared" si="2"/>
        <v>34509.42</v>
      </c>
      <c r="P16" s="66"/>
      <c r="Q16" s="67"/>
      <c r="R16" s="67"/>
      <c r="S16" s="68">
        <f t="shared" si="3"/>
        <v>0</v>
      </c>
    </row>
    <row r="17" spans="2:19" ht="33" customHeight="1" x14ac:dyDescent="0.25">
      <c r="B17" s="2" t="s">
        <v>370</v>
      </c>
      <c r="C17" s="236" t="s">
        <v>333</v>
      </c>
      <c r="D17" s="93" t="s">
        <v>288</v>
      </c>
      <c r="E17" s="2" t="s">
        <v>331</v>
      </c>
      <c r="F17" s="2" t="s">
        <v>7</v>
      </c>
      <c r="G17" s="186">
        <f t="shared" ref="G17" si="4">G16:H16</f>
        <v>2.63E-2</v>
      </c>
      <c r="H17" s="186">
        <f t="shared" ref="H17" si="5">H16</f>
        <v>0.1845</v>
      </c>
      <c r="I17" s="187">
        <v>45199</v>
      </c>
      <c r="J17" s="187">
        <v>45214</v>
      </c>
      <c r="K17" s="187">
        <v>44201</v>
      </c>
      <c r="L17" s="188" t="s">
        <v>325</v>
      </c>
      <c r="M17" s="79">
        <v>163344.59</v>
      </c>
      <c r="N17" s="67"/>
      <c r="O17" s="67">
        <f t="shared" si="2"/>
        <v>163344.59</v>
      </c>
      <c r="P17" s="66"/>
      <c r="Q17" s="67"/>
      <c r="R17" s="67"/>
      <c r="S17" s="68">
        <f t="shared" si="3"/>
        <v>0</v>
      </c>
    </row>
    <row r="18" spans="2:19" ht="33" customHeight="1" x14ac:dyDescent="0.25">
      <c r="B18" s="2" t="s">
        <v>287</v>
      </c>
      <c r="C18" s="236" t="s">
        <v>333</v>
      </c>
      <c r="D18" s="93" t="s">
        <v>288</v>
      </c>
      <c r="E18" s="2" t="s">
        <v>289</v>
      </c>
      <c r="F18" s="2" t="s">
        <v>7</v>
      </c>
      <c r="G18" s="186">
        <v>2.63E-2</v>
      </c>
      <c r="H18" s="186">
        <v>0.1845</v>
      </c>
      <c r="I18" s="187">
        <v>45199</v>
      </c>
      <c r="J18" s="187">
        <v>45199</v>
      </c>
      <c r="K18" s="187">
        <v>44201</v>
      </c>
      <c r="L18" s="188" t="s">
        <v>320</v>
      </c>
      <c r="M18" s="79">
        <v>302368.25</v>
      </c>
      <c r="N18" s="67"/>
      <c r="O18" s="67">
        <f t="shared" si="2"/>
        <v>302368.25</v>
      </c>
      <c r="P18" s="66"/>
      <c r="Q18" s="67"/>
      <c r="R18" s="67"/>
      <c r="S18" s="68">
        <f t="shared" si="3"/>
        <v>0</v>
      </c>
    </row>
    <row r="19" spans="2:19" ht="33" customHeight="1" x14ac:dyDescent="0.25">
      <c r="B19" s="2" t="s">
        <v>352</v>
      </c>
      <c r="C19" s="236" t="s">
        <v>353</v>
      </c>
      <c r="D19" s="93" t="s">
        <v>354</v>
      </c>
      <c r="E19" s="2" t="s">
        <v>355</v>
      </c>
      <c r="F19" s="2" t="s">
        <v>7</v>
      </c>
      <c r="G19" s="186">
        <v>2.63E-2</v>
      </c>
      <c r="H19" s="186">
        <v>0.1845</v>
      </c>
      <c r="I19" s="187">
        <v>45565</v>
      </c>
      <c r="J19" s="187">
        <v>45580</v>
      </c>
      <c r="K19" s="187">
        <v>44279</v>
      </c>
      <c r="L19" s="188" t="s">
        <v>356</v>
      </c>
      <c r="M19" s="79">
        <v>1182218.9099999999</v>
      </c>
      <c r="N19" s="67"/>
      <c r="O19" s="67">
        <f t="shared" si="2"/>
        <v>1182218.9099999999</v>
      </c>
      <c r="P19" s="66"/>
      <c r="Q19" s="67"/>
      <c r="R19" s="67"/>
      <c r="S19" s="68">
        <f t="shared" si="3"/>
        <v>0</v>
      </c>
    </row>
    <row r="20" spans="2:19" ht="33" customHeight="1" x14ac:dyDescent="0.25">
      <c r="B20" s="2" t="s">
        <v>357</v>
      </c>
      <c r="C20" s="236" t="s">
        <v>353</v>
      </c>
      <c r="D20" s="93" t="s">
        <v>354</v>
      </c>
      <c r="E20" s="2" t="s">
        <v>358</v>
      </c>
      <c r="F20" s="2" t="s">
        <v>7</v>
      </c>
      <c r="G20" s="186">
        <v>2.63E-2</v>
      </c>
      <c r="H20" s="186">
        <v>0.1845</v>
      </c>
      <c r="I20" s="187">
        <v>45565</v>
      </c>
      <c r="J20" s="187">
        <v>45580</v>
      </c>
      <c r="K20" s="187">
        <v>44279</v>
      </c>
      <c r="L20" s="188" t="s">
        <v>356</v>
      </c>
      <c r="M20" s="79">
        <v>295554.73</v>
      </c>
      <c r="N20" s="67"/>
      <c r="O20" s="67">
        <f t="shared" si="2"/>
        <v>295554.73</v>
      </c>
      <c r="P20" s="66"/>
      <c r="Q20" s="67"/>
      <c r="R20" s="67"/>
      <c r="S20" s="68">
        <f t="shared" si="3"/>
        <v>0</v>
      </c>
    </row>
    <row r="21" spans="2:19" ht="33" customHeight="1" x14ac:dyDescent="0.25">
      <c r="B21" s="2" t="s">
        <v>366</v>
      </c>
      <c r="C21" s="236" t="s">
        <v>333</v>
      </c>
      <c r="D21" s="93" t="s">
        <v>367</v>
      </c>
      <c r="E21" s="2" t="s">
        <v>368</v>
      </c>
      <c r="F21" s="2" t="s">
        <v>7</v>
      </c>
      <c r="G21" s="186">
        <v>2.63E-2</v>
      </c>
      <c r="H21" s="186">
        <v>0.1845</v>
      </c>
      <c r="I21" s="187">
        <v>45199</v>
      </c>
      <c r="J21" s="187">
        <v>45214</v>
      </c>
      <c r="K21" s="187">
        <v>44201</v>
      </c>
      <c r="L21" s="188" t="s">
        <v>369</v>
      </c>
      <c r="M21" s="79">
        <v>22933.1</v>
      </c>
      <c r="N21" s="67"/>
      <c r="O21" s="67">
        <f t="shared" si="2"/>
        <v>22933.1</v>
      </c>
      <c r="P21" s="66"/>
      <c r="Q21" s="67"/>
      <c r="R21" s="67"/>
      <c r="S21" s="68"/>
    </row>
    <row r="22" spans="2:19" x14ac:dyDescent="0.25">
      <c r="C22" s="93"/>
      <c r="D22" s="93"/>
      <c r="I22" s="116"/>
      <c r="J22" s="116"/>
      <c r="K22" s="116"/>
      <c r="L22" s="93"/>
      <c r="M22" s="25"/>
      <c r="N22" s="25"/>
      <c r="O22" s="25"/>
      <c r="P22" s="29"/>
      <c r="Q22" s="25"/>
      <c r="R22" s="25"/>
      <c r="S22" s="26"/>
    </row>
    <row r="23" spans="2:19" ht="24" customHeight="1" x14ac:dyDescent="0.25">
      <c r="B23" s="29"/>
      <c r="C23" s="92"/>
      <c r="D23" s="92"/>
      <c r="L23" s="5" t="s">
        <v>38</v>
      </c>
      <c r="M23" s="66">
        <f>SUM(M7:M22)</f>
        <v>2650194.13</v>
      </c>
      <c r="N23" s="66">
        <f>SUM(N7:N22)</f>
        <v>0</v>
      </c>
      <c r="O23" s="66">
        <f>SUM(O7:O22)</f>
        <v>2650194.13</v>
      </c>
      <c r="P23" s="66" t="s">
        <v>100</v>
      </c>
      <c r="Q23" s="66">
        <f>SUM(Q7:Q22)</f>
        <v>300549.16000000003</v>
      </c>
      <c r="R23" s="66">
        <f>SUM(R7:R22)</f>
        <v>0</v>
      </c>
      <c r="S23" s="23">
        <f>SUM(S7:S22)</f>
        <v>300549.16000000003</v>
      </c>
    </row>
    <row r="24" spans="2:19" x14ac:dyDescent="0.25">
      <c r="B24" s="29"/>
      <c r="C24" s="92"/>
      <c r="D24" s="92"/>
      <c r="L24" s="5"/>
      <c r="M24" s="66"/>
      <c r="N24" s="66"/>
      <c r="O24" s="66"/>
      <c r="P24" s="66"/>
      <c r="Q24" s="66"/>
      <c r="R24" s="66"/>
      <c r="S24" s="68"/>
    </row>
    <row r="25" spans="2:19" x14ac:dyDescent="0.25">
      <c r="B25" s="8" t="s">
        <v>125</v>
      </c>
      <c r="C25" s="92"/>
      <c r="D25" s="92"/>
      <c r="S25" s="27"/>
    </row>
    <row r="26" spans="2:19" ht="35.25" customHeight="1" x14ac:dyDescent="0.25">
      <c r="B26" s="341" t="s">
        <v>126</v>
      </c>
      <c r="C26" s="341"/>
      <c r="D26" s="341"/>
      <c r="E26" s="341"/>
      <c r="F26" s="341"/>
      <c r="L26" s="5"/>
      <c r="M26" s="66"/>
      <c r="N26" s="66"/>
      <c r="O26" s="66"/>
      <c r="Q26" s="66"/>
      <c r="R26" s="66"/>
      <c r="S26" s="68"/>
    </row>
    <row r="27" spans="2:19" x14ac:dyDescent="0.25">
      <c r="B27" s="193"/>
      <c r="C27" s="193"/>
      <c r="D27" s="193"/>
      <c r="E27" s="193"/>
      <c r="F27" s="193"/>
      <c r="L27" s="5"/>
      <c r="M27" s="66"/>
      <c r="N27" s="66"/>
      <c r="O27" s="66"/>
      <c r="Q27" s="66"/>
      <c r="R27" s="66"/>
      <c r="S27" s="68"/>
    </row>
    <row r="28" spans="2:19" ht="48" customHeight="1" x14ac:dyDescent="0.25">
      <c r="B28" s="341" t="s">
        <v>129</v>
      </c>
      <c r="C28" s="341"/>
      <c r="D28" s="341"/>
      <c r="E28" s="341"/>
      <c r="F28" s="341"/>
      <c r="L28" s="5"/>
      <c r="M28" s="66"/>
      <c r="N28" s="66"/>
      <c r="O28" s="66"/>
      <c r="Q28" s="66"/>
      <c r="R28" s="66"/>
      <c r="S28" s="68"/>
    </row>
    <row r="29" spans="2:19" x14ac:dyDescent="0.25">
      <c r="B29" s="108"/>
      <c r="C29" s="108"/>
      <c r="D29" s="108"/>
      <c r="E29" s="108"/>
      <c r="L29" s="5"/>
      <c r="M29" s="66"/>
      <c r="N29" s="66"/>
      <c r="O29" s="66"/>
      <c r="Q29" s="66"/>
      <c r="R29" s="66"/>
      <c r="S29" s="68"/>
    </row>
    <row r="30" spans="2:19" ht="28.5" customHeight="1" x14ac:dyDescent="0.25">
      <c r="B30" s="344" t="s">
        <v>160</v>
      </c>
      <c r="C30" s="344"/>
      <c r="D30" s="344"/>
      <c r="E30" s="344"/>
      <c r="F30" s="344"/>
      <c r="L30" s="5"/>
      <c r="M30" s="66"/>
      <c r="N30" s="66"/>
      <c r="O30" s="66"/>
      <c r="Q30" s="66"/>
      <c r="R30" s="66"/>
      <c r="S30" s="68"/>
    </row>
    <row r="31" spans="2:19" ht="15" customHeight="1" x14ac:dyDescent="0.25">
      <c r="B31" s="347" t="s">
        <v>159</v>
      </c>
      <c r="C31" s="341"/>
      <c r="D31" s="341"/>
      <c r="E31" s="341"/>
      <c r="F31" s="341"/>
      <c r="L31" s="5"/>
      <c r="M31" s="66"/>
      <c r="N31" s="66"/>
      <c r="O31" s="66"/>
      <c r="Q31" s="66"/>
      <c r="R31" s="66"/>
      <c r="S31" s="68"/>
    </row>
    <row r="32" spans="2:19" ht="15" customHeight="1" x14ac:dyDescent="0.25">
      <c r="B32" s="195"/>
      <c r="C32" s="195"/>
      <c r="D32" s="195"/>
      <c r="E32" s="195"/>
      <c r="L32" s="5"/>
      <c r="M32" s="66"/>
      <c r="N32" s="66"/>
      <c r="O32" s="66"/>
      <c r="Q32" s="66"/>
      <c r="R32" s="66"/>
      <c r="S32" s="68"/>
    </row>
    <row r="33" spans="2:19" x14ac:dyDescent="0.25">
      <c r="B33" s="7" t="s">
        <v>109</v>
      </c>
      <c r="C33" s="101" t="s">
        <v>112</v>
      </c>
      <c r="D33" s="101" t="s">
        <v>113</v>
      </c>
      <c r="E33" s="108"/>
      <c r="L33" s="5"/>
      <c r="M33" s="66"/>
      <c r="N33" s="66"/>
      <c r="O33" s="66"/>
      <c r="Q33" s="66"/>
      <c r="R33" s="66"/>
      <c r="S33" s="68"/>
    </row>
    <row r="34" spans="2:19" x14ac:dyDescent="0.25">
      <c r="B34" s="2" t="s">
        <v>110</v>
      </c>
      <c r="C34" s="92" t="s">
        <v>327</v>
      </c>
      <c r="D34" s="92" t="s">
        <v>118</v>
      </c>
      <c r="E34" s="108"/>
      <c r="L34" s="5"/>
      <c r="M34" s="66"/>
      <c r="N34" s="66"/>
      <c r="O34" s="66"/>
      <c r="Q34" s="66"/>
      <c r="R34" s="66"/>
      <c r="S34" s="68"/>
    </row>
    <row r="35" spans="2:19" x14ac:dyDescent="0.25">
      <c r="B35" s="2" t="s">
        <v>262</v>
      </c>
      <c r="C35" s="92" t="s">
        <v>180</v>
      </c>
      <c r="D35" s="92" t="s">
        <v>181</v>
      </c>
      <c r="E35" s="318"/>
      <c r="L35" s="5"/>
      <c r="M35" s="66"/>
      <c r="N35" s="66"/>
      <c r="O35" s="66"/>
      <c r="Q35" s="66"/>
      <c r="R35" s="66"/>
      <c r="S35" s="68"/>
    </row>
    <row r="36" spans="2:19" ht="15" customHeight="1" x14ac:dyDescent="0.25">
      <c r="B36" s="12" t="s">
        <v>111</v>
      </c>
      <c r="C36" s="92" t="s">
        <v>300</v>
      </c>
      <c r="D36" s="92" t="s">
        <v>303</v>
      </c>
      <c r="L36" s="5"/>
      <c r="M36" s="66"/>
      <c r="N36" s="66"/>
      <c r="O36" s="66"/>
      <c r="Q36" s="66"/>
      <c r="R36" s="66"/>
      <c r="S36" s="68"/>
    </row>
    <row r="37" spans="2:19" ht="15" customHeight="1" x14ac:dyDescent="0.25">
      <c r="B37" s="2" t="s">
        <v>230</v>
      </c>
      <c r="C37" s="92" t="s">
        <v>135</v>
      </c>
      <c r="D37" s="92" t="s">
        <v>147</v>
      </c>
      <c r="L37" s="5"/>
      <c r="M37" s="66"/>
      <c r="N37" s="66"/>
      <c r="O37" s="66"/>
      <c r="Q37" s="66"/>
      <c r="R37" s="66"/>
      <c r="S37" s="68"/>
    </row>
    <row r="38" spans="2:19" ht="15" customHeight="1" x14ac:dyDescent="0.25">
      <c r="B38" s="2" t="s">
        <v>275</v>
      </c>
      <c r="C38" s="92" t="s">
        <v>135</v>
      </c>
      <c r="D38" s="92" t="s">
        <v>147</v>
      </c>
      <c r="L38" s="5"/>
      <c r="M38" s="66"/>
      <c r="N38" s="66"/>
      <c r="O38" s="66"/>
      <c r="Q38" s="66"/>
      <c r="R38" s="66"/>
      <c r="S38" s="68"/>
    </row>
    <row r="39" spans="2:19" ht="15" customHeight="1" x14ac:dyDescent="0.25">
      <c r="B39" s="2" t="s">
        <v>279</v>
      </c>
      <c r="C39" s="92" t="s">
        <v>135</v>
      </c>
      <c r="D39" s="92" t="s">
        <v>147</v>
      </c>
      <c r="L39" s="5"/>
      <c r="M39" s="66"/>
      <c r="N39" s="66"/>
      <c r="O39" s="66"/>
      <c r="Q39" s="66"/>
      <c r="R39" s="66"/>
      <c r="S39" s="68"/>
    </row>
    <row r="40" spans="2:19" ht="15" customHeight="1" x14ac:dyDescent="0.25">
      <c r="B40" s="2" t="s">
        <v>281</v>
      </c>
      <c r="C40" s="92" t="s">
        <v>135</v>
      </c>
      <c r="D40" s="92" t="s">
        <v>147</v>
      </c>
      <c r="L40" s="5"/>
      <c r="M40" s="66"/>
      <c r="N40" s="66"/>
      <c r="O40" s="66"/>
      <c r="Q40" s="66"/>
      <c r="R40" s="66"/>
      <c r="S40" s="68"/>
    </row>
    <row r="41" spans="2:19" ht="15" customHeight="1" x14ac:dyDescent="0.25">
      <c r="B41" s="2" t="s">
        <v>286</v>
      </c>
      <c r="C41" s="92" t="s">
        <v>135</v>
      </c>
      <c r="D41" s="92" t="s">
        <v>147</v>
      </c>
      <c r="L41" s="5"/>
      <c r="M41" s="66"/>
      <c r="N41" s="66"/>
      <c r="O41" s="66"/>
      <c r="Q41" s="66"/>
      <c r="R41" s="66"/>
      <c r="S41" s="68"/>
    </row>
    <row r="42" spans="2:19" ht="15" customHeight="1" x14ac:dyDescent="0.25">
      <c r="C42" s="92"/>
      <c r="D42" s="92"/>
      <c r="L42" s="5"/>
      <c r="M42" s="66"/>
      <c r="N42" s="66"/>
      <c r="O42" s="66"/>
      <c r="Q42" s="66"/>
      <c r="R42" s="66"/>
      <c r="S42" s="68"/>
    </row>
    <row r="43" spans="2:19" x14ac:dyDescent="0.25">
      <c r="B43" s="348" t="s">
        <v>298</v>
      </c>
      <c r="C43" s="336"/>
      <c r="D43" s="336"/>
      <c r="E43" s="336"/>
      <c r="F43" s="336"/>
      <c r="G43" s="336"/>
      <c r="H43" s="336"/>
      <c r="L43" s="5"/>
      <c r="M43" s="66"/>
      <c r="N43" s="66"/>
      <c r="O43" s="66"/>
      <c r="Q43" s="66"/>
      <c r="R43" s="66"/>
      <c r="S43" s="68"/>
    </row>
    <row r="44" spans="2:19" x14ac:dyDescent="0.25">
      <c r="B44" s="242" t="s">
        <v>299</v>
      </c>
      <c r="C44" s="92"/>
      <c r="D44" s="92"/>
      <c r="L44" s="5"/>
      <c r="M44" s="66"/>
      <c r="N44" s="66"/>
      <c r="O44" s="66"/>
      <c r="Q44" s="66"/>
      <c r="R44" s="66"/>
      <c r="S44" s="68"/>
    </row>
    <row r="45" spans="2:19" x14ac:dyDescent="0.25">
      <c r="B45" s="10"/>
      <c r="C45" s="94"/>
      <c r="D45" s="94"/>
      <c r="E45" s="10"/>
      <c r="F45" s="10"/>
      <c r="G45" s="10"/>
      <c r="H45" s="10"/>
      <c r="I45" s="10"/>
      <c r="J45" s="10"/>
      <c r="K45" s="10"/>
      <c r="L45" s="10"/>
      <c r="M45" s="10"/>
      <c r="N45" s="10"/>
      <c r="O45" s="10"/>
      <c r="P45" s="10"/>
      <c r="Q45" s="10"/>
      <c r="R45" s="10"/>
      <c r="S45" s="28"/>
    </row>
    <row r="46" spans="2:19" ht="15" customHeight="1" x14ac:dyDescent="0.25">
      <c r="P46" s="29"/>
      <c r="Q46" s="58" t="s">
        <v>90</v>
      </c>
      <c r="R46" s="51"/>
      <c r="S46" s="172"/>
    </row>
    <row r="47" spans="2:19" ht="15" customHeight="1" x14ac:dyDescent="0.25">
      <c r="B47" s="17" t="s">
        <v>39</v>
      </c>
      <c r="C47" s="96" t="s">
        <v>2</v>
      </c>
      <c r="D47" s="96"/>
      <c r="E47" s="96" t="s">
        <v>34</v>
      </c>
      <c r="F47" s="96" t="s">
        <v>35</v>
      </c>
      <c r="G47" s="120"/>
      <c r="H47" s="120"/>
      <c r="I47" s="114"/>
      <c r="J47" s="96"/>
      <c r="K47" s="96"/>
      <c r="L47" s="96" t="s">
        <v>36</v>
      </c>
      <c r="M47" s="96" t="s">
        <v>37</v>
      </c>
      <c r="N47" s="10"/>
      <c r="O47" s="10"/>
      <c r="P47" s="10"/>
      <c r="Q47" s="54" t="s">
        <v>88</v>
      </c>
      <c r="R47" s="54"/>
      <c r="S47" s="55"/>
    </row>
    <row r="48" spans="2:19" ht="15" customHeight="1" x14ac:dyDescent="0.25">
      <c r="B48" s="63"/>
      <c r="C48" s="9"/>
      <c r="D48" s="9"/>
      <c r="E48" s="9"/>
      <c r="F48" s="9"/>
      <c r="G48" s="9"/>
      <c r="H48" s="9"/>
      <c r="I48" s="9"/>
      <c r="J48" s="9"/>
      <c r="K48" s="9"/>
      <c r="L48" s="9"/>
      <c r="M48" s="9"/>
      <c r="Q48" s="58"/>
      <c r="R48" s="51"/>
      <c r="S48" s="51"/>
    </row>
    <row r="49" spans="2:19" ht="15" customHeight="1" x14ac:dyDescent="0.25">
      <c r="B49" s="63"/>
      <c r="C49" s="148"/>
      <c r="D49" s="148"/>
      <c r="E49" s="148"/>
      <c r="F49" s="148"/>
      <c r="G49" s="148"/>
      <c r="H49" s="148"/>
      <c r="I49" s="148"/>
      <c r="J49" s="148"/>
      <c r="K49" s="148"/>
      <c r="L49" s="148"/>
      <c r="M49" s="148"/>
      <c r="Q49" s="58"/>
      <c r="R49" s="51"/>
      <c r="S49" s="51"/>
    </row>
    <row r="50" spans="2:19" ht="15" customHeight="1" x14ac:dyDescent="0.25">
      <c r="B50" s="63"/>
      <c r="C50" s="148"/>
      <c r="D50" s="148"/>
      <c r="E50" s="148"/>
      <c r="F50" s="148"/>
      <c r="G50" s="148"/>
      <c r="H50" s="148"/>
      <c r="I50" s="148"/>
      <c r="J50" s="148"/>
      <c r="K50" s="148"/>
      <c r="L50" s="148"/>
      <c r="M50" s="148"/>
      <c r="Q50" s="58"/>
      <c r="R50" s="51"/>
      <c r="S50" s="51"/>
    </row>
    <row r="51" spans="2:19" x14ac:dyDescent="0.25">
      <c r="B51" s="63"/>
      <c r="C51" s="148"/>
      <c r="D51" s="148"/>
      <c r="E51" s="148"/>
      <c r="F51" s="148"/>
      <c r="G51" s="148"/>
      <c r="H51" s="148"/>
      <c r="I51" s="148"/>
      <c r="J51" s="148"/>
      <c r="K51" s="148"/>
      <c r="L51" s="148"/>
      <c r="M51" s="148"/>
      <c r="R51" s="51"/>
      <c r="S51" s="51"/>
    </row>
    <row r="52" spans="2:19" x14ac:dyDescent="0.25">
      <c r="B52" s="63"/>
      <c r="C52" s="9"/>
      <c r="D52" s="9"/>
      <c r="E52" s="9"/>
      <c r="F52" s="9"/>
      <c r="G52" s="9"/>
      <c r="H52" s="9"/>
      <c r="I52" s="9"/>
      <c r="J52" s="9"/>
      <c r="K52" s="9"/>
      <c r="L52" s="9"/>
      <c r="M52" s="9"/>
      <c r="Q52" s="58"/>
      <c r="R52" s="51"/>
      <c r="S52" s="51"/>
    </row>
    <row r="53" spans="2:19" x14ac:dyDescent="0.25">
      <c r="B53" s="63"/>
      <c r="C53" s="9"/>
      <c r="D53" s="9"/>
      <c r="E53" s="9"/>
      <c r="F53" s="9"/>
      <c r="G53" s="9"/>
      <c r="H53" s="9"/>
      <c r="I53" s="9"/>
      <c r="J53" s="9"/>
      <c r="K53" s="9"/>
      <c r="L53" s="9"/>
      <c r="M53" s="9"/>
      <c r="Q53" s="58"/>
      <c r="R53" s="51"/>
      <c r="S53" s="51"/>
    </row>
    <row r="54" spans="2:19" x14ac:dyDescent="0.25">
      <c r="B54" s="63"/>
      <c r="C54" s="9"/>
      <c r="D54" s="9"/>
      <c r="E54" s="9"/>
      <c r="F54" s="9"/>
      <c r="G54" s="9"/>
      <c r="H54" s="9"/>
      <c r="I54" s="9"/>
      <c r="J54" s="9"/>
      <c r="K54" s="9"/>
      <c r="L54" s="9"/>
      <c r="M54" s="9"/>
      <c r="R54" s="51"/>
      <c r="S54" s="51"/>
    </row>
    <row r="55" spans="2:19" x14ac:dyDescent="0.25">
      <c r="C55" s="40"/>
      <c r="D55" s="40"/>
      <c r="E55" s="41"/>
      <c r="F55" s="69"/>
      <c r="G55" s="69"/>
      <c r="H55" s="69"/>
      <c r="I55" s="69"/>
      <c r="J55" s="69"/>
      <c r="K55" s="69"/>
      <c r="L55" s="33"/>
      <c r="M55" s="35"/>
      <c r="N55" s="37"/>
      <c r="O55" s="37"/>
      <c r="P55" s="29"/>
      <c r="Q55" s="309" t="s">
        <v>316</v>
      </c>
      <c r="R55" s="309"/>
      <c r="S55" s="312">
        <f>S23</f>
        <v>300549.16000000003</v>
      </c>
    </row>
    <row r="56" spans="2:19" ht="15" customHeight="1" x14ac:dyDescent="0.25">
      <c r="B56" s="36"/>
      <c r="C56" s="40"/>
      <c r="D56" s="40"/>
      <c r="E56" s="41"/>
      <c r="F56" s="38"/>
      <c r="G56" s="38"/>
      <c r="H56" s="38"/>
      <c r="I56" s="38"/>
      <c r="J56" s="38"/>
      <c r="K56" s="38"/>
      <c r="L56" s="33"/>
      <c r="M56" s="31"/>
      <c r="N56" s="99"/>
      <c r="O56" s="99"/>
      <c r="P56" s="29"/>
      <c r="Q56" s="14"/>
      <c r="R56" s="14"/>
      <c r="S56" s="317"/>
    </row>
    <row r="57" spans="2:19" x14ac:dyDescent="0.25">
      <c r="B57" s="36"/>
      <c r="C57" s="40"/>
      <c r="D57" s="40"/>
      <c r="E57" s="41"/>
      <c r="F57" s="38"/>
      <c r="G57" s="38"/>
      <c r="H57" s="38"/>
      <c r="I57" s="38"/>
      <c r="J57" s="38"/>
      <c r="K57" s="38"/>
      <c r="L57" s="33"/>
      <c r="M57" s="31"/>
      <c r="N57" s="99"/>
      <c r="O57" s="99"/>
      <c r="P57" s="29"/>
    </row>
    <row r="58" spans="2:19" x14ac:dyDescent="0.25">
      <c r="B58" s="36"/>
      <c r="C58" s="40"/>
      <c r="D58" s="40"/>
      <c r="E58" s="41"/>
      <c r="F58" s="38"/>
      <c r="G58" s="38"/>
      <c r="H58" s="38"/>
      <c r="I58" s="38"/>
      <c r="J58" s="38"/>
      <c r="K58" s="38"/>
      <c r="L58" s="33"/>
      <c r="M58" s="31"/>
      <c r="N58" s="99"/>
      <c r="O58" s="99"/>
      <c r="P58" s="29"/>
    </row>
    <row r="59" spans="2:19" ht="16.5" customHeight="1" x14ac:dyDescent="0.25">
      <c r="B59" s="36"/>
      <c r="C59" s="40"/>
      <c r="D59" s="40"/>
      <c r="E59" s="41"/>
      <c r="F59" s="38"/>
      <c r="G59" s="38"/>
      <c r="H59" s="38"/>
      <c r="I59" s="38"/>
      <c r="J59" s="38"/>
      <c r="K59" s="38"/>
      <c r="L59" s="39"/>
      <c r="M59" s="20"/>
      <c r="N59" s="99"/>
      <c r="O59" s="99"/>
      <c r="P59" s="29"/>
    </row>
    <row r="60" spans="2:19" ht="15" hidden="1" customHeight="1" x14ac:dyDescent="0.25"/>
    <row r="61" spans="2:19" ht="15" customHeight="1" x14ac:dyDescent="0.25">
      <c r="E61" s="21"/>
      <c r="F61" s="102"/>
      <c r="G61" s="102"/>
      <c r="H61" s="102"/>
      <c r="I61" s="102"/>
      <c r="J61" s="102"/>
      <c r="K61" s="102"/>
    </row>
    <row r="64" spans="2:19" ht="15" customHeight="1" x14ac:dyDescent="0.25"/>
  </sheetData>
  <mergeCells count="7">
    <mergeCell ref="B43:H43"/>
    <mergeCell ref="B31:F31"/>
    <mergeCell ref="Q1:S1"/>
    <mergeCell ref="Q2:S2"/>
    <mergeCell ref="B30:F30"/>
    <mergeCell ref="B26:F26"/>
    <mergeCell ref="B28:F28"/>
  </mergeCells>
  <hyperlinks>
    <hyperlink ref="B31" r:id="rId1"/>
  </hyperlinks>
  <printOptions horizontalCentered="1" gridLines="1"/>
  <pageMargins left="0" right="0" top="0.75" bottom="0.75" header="0.3" footer="0.3"/>
  <pageSetup scale="52" orientation="landscape" horizontalDpi="1200" verticalDpi="1200"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5"/>
  <sheetViews>
    <sheetView topLeftCell="B7" zoomScale="90" zoomScaleNormal="90" workbookViewId="0">
      <selection activeCell="C7" sqref="C7"/>
    </sheetView>
  </sheetViews>
  <sheetFormatPr defaultColWidth="9.140625" defaultRowHeight="15" x14ac:dyDescent="0.25"/>
  <cols>
    <col min="1" max="1" width="9.140625" style="2" hidden="1" customWidth="1"/>
    <col min="2" max="2" width="58.5703125" style="2" customWidth="1"/>
    <col min="3" max="3" width="26" style="2" customWidth="1"/>
    <col min="4" max="4" width="13.7109375" style="2" customWidth="1"/>
    <col min="5" max="5" width="17" style="2" bestFit="1" customWidth="1"/>
    <col min="6" max="6" width="21.5703125" style="2" customWidth="1"/>
    <col min="7" max="7" width="11.42578125" style="2" customWidth="1"/>
    <col min="8" max="8" width="14" style="2" customWidth="1"/>
    <col min="9" max="9" width="13.28515625" style="2" customWidth="1"/>
    <col min="10" max="10" width="15.140625" style="2" customWidth="1"/>
    <col min="11" max="11" width="8" style="2" customWidth="1"/>
    <col min="12" max="12" width="18" style="2" customWidth="1"/>
    <col min="13" max="13" width="14"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6.7109375" style="2" customWidth="1"/>
    <col min="20" max="16384" width="9.140625" style="2"/>
  </cols>
  <sheetData>
    <row r="1" spans="1:20" ht="14.45" customHeight="1" x14ac:dyDescent="0.25">
      <c r="B1" s="8" t="s">
        <v>205</v>
      </c>
      <c r="Q1" s="338" t="s">
        <v>296</v>
      </c>
      <c r="R1" s="338"/>
      <c r="S1" s="338"/>
    </row>
    <row r="2" spans="1:20" x14ac:dyDescent="0.25">
      <c r="B2" s="88" t="s">
        <v>148</v>
      </c>
      <c r="C2" s="182">
        <v>44742</v>
      </c>
      <c r="M2" s="71"/>
      <c r="N2" s="71"/>
      <c r="P2" s="29"/>
      <c r="Q2" s="337" t="s">
        <v>375</v>
      </c>
      <c r="R2" s="337"/>
      <c r="S2" s="337"/>
    </row>
    <row r="3" spans="1:20" ht="15.75" thickBot="1" x14ac:dyDescent="0.3">
      <c r="A3" s="2" t="s">
        <v>16</v>
      </c>
      <c r="B3" s="44" t="s">
        <v>98</v>
      </c>
      <c r="C3" s="8"/>
      <c r="D3" s="8"/>
      <c r="E3" s="8"/>
      <c r="P3" s="29"/>
      <c r="Q3" s="45"/>
      <c r="R3" s="30"/>
    </row>
    <row r="4" spans="1:20" x14ac:dyDescent="0.25">
      <c r="B4" s="8" t="s">
        <v>174</v>
      </c>
      <c r="M4" s="85" t="s">
        <v>28</v>
      </c>
      <c r="N4" s="85" t="s">
        <v>28</v>
      </c>
      <c r="O4" s="85" t="s">
        <v>28</v>
      </c>
      <c r="P4" s="9"/>
      <c r="Q4" s="89" t="s">
        <v>29</v>
      </c>
      <c r="R4" s="89" t="s">
        <v>31</v>
      </c>
      <c r="S4" s="89" t="s">
        <v>23</v>
      </c>
      <c r="T4" s="7"/>
    </row>
    <row r="5" spans="1:20" ht="15.75" thickBot="1" x14ac:dyDescent="0.3">
      <c r="G5" s="183" t="s">
        <v>295</v>
      </c>
      <c r="H5" s="183" t="s">
        <v>295</v>
      </c>
      <c r="M5" s="86" t="s">
        <v>27</v>
      </c>
      <c r="N5" s="86" t="s">
        <v>26</v>
      </c>
      <c r="O5" s="86" t="s">
        <v>25</v>
      </c>
      <c r="P5" s="9"/>
      <c r="Q5" s="90" t="s">
        <v>30</v>
      </c>
      <c r="R5" s="90" t="s">
        <v>30</v>
      </c>
      <c r="S5" s="90" t="s">
        <v>30</v>
      </c>
      <c r="T5" s="7"/>
    </row>
    <row r="6" spans="1:20" ht="85.5" customHeight="1" thickBot="1" x14ac:dyDescent="0.3">
      <c r="B6" s="84" t="s">
        <v>1</v>
      </c>
      <c r="C6" s="84" t="s">
        <v>389</v>
      </c>
      <c r="D6" s="84" t="s">
        <v>107</v>
      </c>
      <c r="E6" s="84" t="s">
        <v>3</v>
      </c>
      <c r="F6" s="84" t="s">
        <v>4</v>
      </c>
      <c r="G6" s="107" t="s">
        <v>136</v>
      </c>
      <c r="H6" s="107" t="s">
        <v>137</v>
      </c>
      <c r="I6" s="107" t="s">
        <v>133</v>
      </c>
      <c r="J6" s="107" t="s">
        <v>134</v>
      </c>
      <c r="K6" s="107" t="s">
        <v>121</v>
      </c>
      <c r="L6" s="83" t="s">
        <v>5</v>
      </c>
      <c r="M6" s="87" t="s">
        <v>6</v>
      </c>
      <c r="N6" s="87" t="s">
        <v>6</v>
      </c>
      <c r="O6" s="87" t="s">
        <v>6</v>
      </c>
      <c r="P6" s="9"/>
      <c r="Q6" s="91"/>
      <c r="R6" s="97" t="s">
        <v>32</v>
      </c>
      <c r="S6" s="98" t="s">
        <v>33</v>
      </c>
    </row>
    <row r="7" spans="1:20" ht="33.6" customHeight="1" x14ac:dyDescent="0.25">
      <c r="B7" s="2" t="s">
        <v>128</v>
      </c>
      <c r="C7" s="225" t="s">
        <v>122</v>
      </c>
      <c r="D7" s="93" t="s">
        <v>310</v>
      </c>
      <c r="E7" s="2" t="s">
        <v>309</v>
      </c>
      <c r="F7" s="2" t="s">
        <v>7</v>
      </c>
      <c r="G7" s="186">
        <v>2.63E-2</v>
      </c>
      <c r="H7" s="186">
        <v>0.1845</v>
      </c>
      <c r="I7" s="187">
        <v>44742</v>
      </c>
      <c r="J7" s="187">
        <v>44743</v>
      </c>
      <c r="K7" s="187">
        <v>44378</v>
      </c>
      <c r="L7" s="204" t="s">
        <v>297</v>
      </c>
      <c r="M7" s="6"/>
      <c r="N7" s="67"/>
      <c r="O7" s="67">
        <f>M7+N7</f>
        <v>0</v>
      </c>
      <c r="P7" s="67"/>
      <c r="Q7" s="67"/>
      <c r="R7" s="67"/>
      <c r="S7" s="68">
        <f>+Q7+R7</f>
        <v>0</v>
      </c>
    </row>
    <row r="8" spans="1:20" ht="33.6" customHeight="1" x14ac:dyDescent="0.25">
      <c r="B8" s="2" t="s">
        <v>223</v>
      </c>
      <c r="C8" s="236" t="s">
        <v>333</v>
      </c>
      <c r="D8" s="93" t="s">
        <v>224</v>
      </c>
      <c r="E8" s="2" t="s">
        <v>225</v>
      </c>
      <c r="F8" s="2" t="s">
        <v>7</v>
      </c>
      <c r="G8" s="186">
        <v>2.63E-2</v>
      </c>
      <c r="H8" s="186">
        <v>0.1845</v>
      </c>
      <c r="I8" s="187">
        <v>44834</v>
      </c>
      <c r="J8" s="187">
        <v>44849</v>
      </c>
      <c r="K8" s="187">
        <v>43614</v>
      </c>
      <c r="L8" s="188" t="s">
        <v>274</v>
      </c>
      <c r="M8" s="6">
        <v>204781.78</v>
      </c>
      <c r="N8" s="67"/>
      <c r="O8" s="67">
        <f>M8+N8</f>
        <v>204781.78</v>
      </c>
      <c r="P8" s="67"/>
      <c r="Q8" s="67">
        <v>34702</v>
      </c>
      <c r="R8" s="67"/>
      <c r="S8" s="68">
        <f>+Q8+R8</f>
        <v>34702</v>
      </c>
    </row>
    <row r="9" spans="1:20" ht="33.6" customHeight="1" x14ac:dyDescent="0.25">
      <c r="B9" s="2" t="s">
        <v>275</v>
      </c>
      <c r="C9" s="236" t="s">
        <v>333</v>
      </c>
      <c r="D9" s="93" t="s">
        <v>224</v>
      </c>
      <c r="E9" s="2" t="s">
        <v>276</v>
      </c>
      <c r="F9" s="2" t="s">
        <v>7</v>
      </c>
      <c r="G9" s="186">
        <v>2.63E-2</v>
      </c>
      <c r="H9" s="186">
        <v>0.1845</v>
      </c>
      <c r="I9" s="297">
        <v>44773</v>
      </c>
      <c r="J9" s="297">
        <v>44788</v>
      </c>
      <c r="K9" s="187">
        <v>43980</v>
      </c>
      <c r="L9" s="188" t="s">
        <v>277</v>
      </c>
      <c r="M9" s="79">
        <v>9494</v>
      </c>
      <c r="N9" s="70"/>
      <c r="O9" s="67">
        <f>M9+N9</f>
        <v>9494</v>
      </c>
      <c r="P9" s="67"/>
      <c r="Q9" s="67">
        <v>8801.75</v>
      </c>
      <c r="R9" s="67"/>
      <c r="S9" s="68">
        <f>Q9+R9</f>
        <v>8801.75</v>
      </c>
    </row>
    <row r="10" spans="1:20" ht="33.6" customHeight="1" x14ac:dyDescent="0.25">
      <c r="B10" s="2" t="s">
        <v>279</v>
      </c>
      <c r="C10" s="236" t="s">
        <v>333</v>
      </c>
      <c r="D10" s="93" t="s">
        <v>224</v>
      </c>
      <c r="E10" s="2" t="s">
        <v>280</v>
      </c>
      <c r="F10" s="2" t="s">
        <v>7</v>
      </c>
      <c r="G10" s="186">
        <v>2.63E-2</v>
      </c>
      <c r="H10" s="186">
        <v>0.1845</v>
      </c>
      <c r="I10" s="187">
        <v>44592</v>
      </c>
      <c r="J10" s="187">
        <v>44592</v>
      </c>
      <c r="K10" s="187">
        <v>43980</v>
      </c>
      <c r="L10" s="188" t="s">
        <v>332</v>
      </c>
      <c r="M10" s="79">
        <v>3000</v>
      </c>
      <c r="N10" s="67"/>
      <c r="O10" s="67">
        <f t="shared" ref="O10:O20" si="0">M10+N10</f>
        <v>3000</v>
      </c>
      <c r="P10" s="66"/>
      <c r="Q10" s="67"/>
      <c r="R10" s="67"/>
      <c r="S10" s="68">
        <f t="shared" ref="S10:S18" si="1">Q10+R10</f>
        <v>0</v>
      </c>
    </row>
    <row r="11" spans="1:20" ht="33.6" customHeight="1" x14ac:dyDescent="0.25">
      <c r="B11" s="2" t="s">
        <v>281</v>
      </c>
      <c r="C11" s="236" t="s">
        <v>334</v>
      </c>
      <c r="D11" s="93" t="s">
        <v>231</v>
      </c>
      <c r="E11" s="2" t="s">
        <v>282</v>
      </c>
      <c r="F11" s="2" t="s">
        <v>7</v>
      </c>
      <c r="G11" s="186">
        <v>2.63E-2</v>
      </c>
      <c r="H11" s="186">
        <v>0.1845</v>
      </c>
      <c r="I11" s="187">
        <v>44742</v>
      </c>
      <c r="J11" s="187">
        <v>44757</v>
      </c>
      <c r="K11" s="187">
        <v>43979</v>
      </c>
      <c r="L11" s="188" t="s">
        <v>283</v>
      </c>
      <c r="M11" s="79">
        <v>1027</v>
      </c>
      <c r="N11" s="67"/>
      <c r="O11" s="67">
        <f t="shared" si="0"/>
        <v>1027</v>
      </c>
      <c r="P11" s="66"/>
      <c r="Q11" s="67">
        <v>1026.94</v>
      </c>
      <c r="R11" s="67"/>
      <c r="S11" s="68">
        <f t="shared" si="1"/>
        <v>1026.94</v>
      </c>
    </row>
    <row r="12" spans="1:20" ht="33.6" customHeight="1" x14ac:dyDescent="0.25">
      <c r="B12" s="2" t="s">
        <v>321</v>
      </c>
      <c r="C12" s="236" t="s">
        <v>333</v>
      </c>
      <c r="D12" s="93" t="s">
        <v>288</v>
      </c>
      <c r="E12" s="2" t="s">
        <v>322</v>
      </c>
      <c r="F12" s="2" t="s">
        <v>7</v>
      </c>
      <c r="G12" s="186">
        <f>G11:H11</f>
        <v>2.63E-2</v>
      </c>
      <c r="H12" s="186">
        <f>H11</f>
        <v>0.1845</v>
      </c>
      <c r="I12" s="187">
        <v>45199</v>
      </c>
      <c r="J12" s="187">
        <v>45214</v>
      </c>
      <c r="K12" s="187">
        <v>44201</v>
      </c>
      <c r="L12" s="188" t="s">
        <v>323</v>
      </c>
      <c r="M12" s="79">
        <v>174615.08</v>
      </c>
      <c r="N12" s="67"/>
      <c r="O12" s="67">
        <f t="shared" si="0"/>
        <v>174615.08</v>
      </c>
      <c r="P12" s="66"/>
      <c r="Q12" s="67">
        <f>67467.84+72338</f>
        <v>139805.84</v>
      </c>
      <c r="R12" s="67"/>
      <c r="S12" s="68">
        <f t="shared" si="1"/>
        <v>139805.84</v>
      </c>
    </row>
    <row r="13" spans="1:20" ht="33.6" customHeight="1" x14ac:dyDescent="0.25">
      <c r="B13" s="2" t="s">
        <v>324</v>
      </c>
      <c r="C13" s="236" t="s">
        <v>333</v>
      </c>
      <c r="D13" s="93" t="s">
        <v>288</v>
      </c>
      <c r="E13" s="2" t="s">
        <v>329</v>
      </c>
      <c r="F13" s="2" t="s">
        <v>7</v>
      </c>
      <c r="G13" s="186">
        <f>G12:H12</f>
        <v>2.63E-2</v>
      </c>
      <c r="H13" s="186">
        <f>H12</f>
        <v>0.1845</v>
      </c>
      <c r="I13" s="187">
        <v>45199</v>
      </c>
      <c r="J13" s="187">
        <v>45214</v>
      </c>
      <c r="K13" s="187">
        <v>44201</v>
      </c>
      <c r="L13" s="188" t="s">
        <v>325</v>
      </c>
      <c r="M13" s="79">
        <v>101885</v>
      </c>
      <c r="N13" s="67"/>
      <c r="O13" s="67">
        <f t="shared" si="0"/>
        <v>101885</v>
      </c>
      <c r="P13" s="66"/>
      <c r="Q13" s="67"/>
      <c r="R13" s="67"/>
      <c r="S13" s="68">
        <f t="shared" si="1"/>
        <v>0</v>
      </c>
    </row>
    <row r="14" spans="1:20" ht="33.6" customHeight="1" x14ac:dyDescent="0.25">
      <c r="B14" s="2" t="s">
        <v>326</v>
      </c>
      <c r="C14" s="236" t="s">
        <v>333</v>
      </c>
      <c r="D14" s="93" t="s">
        <v>288</v>
      </c>
      <c r="E14" s="2" t="s">
        <v>330</v>
      </c>
      <c r="F14" s="2" t="s">
        <v>7</v>
      </c>
      <c r="G14" s="186">
        <f>G13:H13</f>
        <v>2.63E-2</v>
      </c>
      <c r="H14" s="186">
        <f>H13</f>
        <v>0.1845</v>
      </c>
      <c r="I14" s="187">
        <v>45199</v>
      </c>
      <c r="J14" s="187">
        <v>45214</v>
      </c>
      <c r="K14" s="187">
        <v>44201</v>
      </c>
      <c r="L14" s="188" t="s">
        <v>323</v>
      </c>
      <c r="M14" s="79">
        <v>45836.46</v>
      </c>
      <c r="N14" s="67"/>
      <c r="O14" s="67">
        <f t="shared" si="0"/>
        <v>45836.46</v>
      </c>
      <c r="P14" s="66"/>
      <c r="Q14" s="67"/>
      <c r="R14" s="67"/>
      <c r="S14" s="68">
        <f t="shared" si="1"/>
        <v>0</v>
      </c>
    </row>
    <row r="15" spans="1:20" ht="33.6" customHeight="1" x14ac:dyDescent="0.25">
      <c r="B15" s="2" t="s">
        <v>370</v>
      </c>
      <c r="C15" s="236" t="s">
        <v>333</v>
      </c>
      <c r="D15" s="93" t="s">
        <v>288</v>
      </c>
      <c r="E15" s="2" t="s">
        <v>331</v>
      </c>
      <c r="F15" s="2" t="s">
        <v>7</v>
      </c>
      <c r="G15" s="186">
        <f t="shared" ref="G15" si="2">G14:H14</f>
        <v>2.63E-2</v>
      </c>
      <c r="H15" s="186">
        <f t="shared" ref="H15" si="3">H14</f>
        <v>0.1845</v>
      </c>
      <c r="I15" s="187">
        <v>45199</v>
      </c>
      <c r="J15" s="187">
        <v>45214</v>
      </c>
      <c r="K15" s="187">
        <v>44201</v>
      </c>
      <c r="L15" s="188" t="s">
        <v>325</v>
      </c>
      <c r="M15" s="79">
        <v>216959.24</v>
      </c>
      <c r="N15" s="67"/>
      <c r="O15" s="67">
        <f t="shared" si="0"/>
        <v>216959.24</v>
      </c>
      <c r="P15" s="66"/>
      <c r="Q15" s="67"/>
      <c r="R15" s="67"/>
      <c r="S15" s="68">
        <f t="shared" si="1"/>
        <v>0</v>
      </c>
    </row>
    <row r="16" spans="1:20" ht="33.6" customHeight="1" x14ac:dyDescent="0.25">
      <c r="B16" s="2" t="s">
        <v>287</v>
      </c>
      <c r="C16" s="236" t="s">
        <v>333</v>
      </c>
      <c r="D16" s="93" t="s">
        <v>288</v>
      </c>
      <c r="E16" s="2" t="s">
        <v>289</v>
      </c>
      <c r="F16" s="2" t="s">
        <v>7</v>
      </c>
      <c r="G16" s="186">
        <v>2.63E-2</v>
      </c>
      <c r="H16" s="186">
        <v>0.1845</v>
      </c>
      <c r="I16" s="187">
        <v>45199</v>
      </c>
      <c r="J16" s="187">
        <v>45199</v>
      </c>
      <c r="K16" s="187">
        <v>44201</v>
      </c>
      <c r="L16" s="188" t="s">
        <v>320</v>
      </c>
      <c r="M16" s="79">
        <v>401614.69</v>
      </c>
      <c r="N16" s="67"/>
      <c r="O16" s="67">
        <f t="shared" si="0"/>
        <v>401614.69</v>
      </c>
      <c r="P16" s="66"/>
      <c r="Q16" s="67"/>
      <c r="R16" s="67"/>
      <c r="S16" s="68">
        <f t="shared" si="1"/>
        <v>0</v>
      </c>
    </row>
    <row r="17" spans="2:19" ht="33.6" customHeight="1" x14ac:dyDescent="0.25">
      <c r="B17" s="2" t="s">
        <v>352</v>
      </c>
      <c r="C17" s="236" t="s">
        <v>353</v>
      </c>
      <c r="D17" s="93" t="s">
        <v>354</v>
      </c>
      <c r="E17" s="2" t="s">
        <v>355</v>
      </c>
      <c r="F17" s="2" t="s">
        <v>7</v>
      </c>
      <c r="G17" s="186">
        <v>2.63E-2</v>
      </c>
      <c r="H17" s="186">
        <v>0.1845</v>
      </c>
      <c r="I17" s="187">
        <v>45565</v>
      </c>
      <c r="J17" s="187">
        <v>45580</v>
      </c>
      <c r="K17" s="187">
        <v>44279</v>
      </c>
      <c r="L17" s="188" t="s">
        <v>356</v>
      </c>
      <c r="M17" s="79">
        <v>1570259.02</v>
      </c>
      <c r="N17" s="67"/>
      <c r="O17" s="67">
        <f t="shared" si="0"/>
        <v>1570259.02</v>
      </c>
      <c r="P17" s="66"/>
      <c r="Q17" s="67"/>
      <c r="R17" s="67"/>
      <c r="S17" s="68">
        <f t="shared" si="1"/>
        <v>0</v>
      </c>
    </row>
    <row r="18" spans="2:19" ht="33.6" customHeight="1" x14ac:dyDescent="0.25">
      <c r="B18" s="2" t="s">
        <v>357</v>
      </c>
      <c r="C18" s="236" t="s">
        <v>353</v>
      </c>
      <c r="D18" s="93" t="s">
        <v>354</v>
      </c>
      <c r="E18" s="2" t="s">
        <v>358</v>
      </c>
      <c r="F18" s="2" t="s">
        <v>7</v>
      </c>
      <c r="G18" s="186">
        <v>2.63E-2</v>
      </c>
      <c r="H18" s="186">
        <v>0.1845</v>
      </c>
      <c r="I18" s="187">
        <v>45565</v>
      </c>
      <c r="J18" s="187">
        <v>45580</v>
      </c>
      <c r="K18" s="187">
        <v>44279</v>
      </c>
      <c r="L18" s="188" t="s">
        <v>356</v>
      </c>
      <c r="M18" s="79">
        <v>392564.76</v>
      </c>
      <c r="N18" s="67"/>
      <c r="O18" s="67">
        <f t="shared" si="0"/>
        <v>392564.76</v>
      </c>
      <c r="P18" s="66"/>
      <c r="Q18" s="67"/>
      <c r="R18" s="67"/>
      <c r="S18" s="68">
        <f t="shared" si="1"/>
        <v>0</v>
      </c>
    </row>
    <row r="19" spans="2:19" ht="33.6" customHeight="1" x14ac:dyDescent="0.25">
      <c r="B19" s="2" t="s">
        <v>363</v>
      </c>
      <c r="C19" s="236" t="s">
        <v>333</v>
      </c>
      <c r="D19" s="93" t="s">
        <v>288</v>
      </c>
      <c r="E19" s="2" t="s">
        <v>364</v>
      </c>
      <c r="F19" s="2" t="s">
        <v>7</v>
      </c>
      <c r="G19" s="186">
        <v>2.63E-2</v>
      </c>
      <c r="H19" s="186">
        <v>0.1845</v>
      </c>
      <c r="I19" s="187">
        <v>45199</v>
      </c>
      <c r="J19" s="187">
        <v>45214</v>
      </c>
      <c r="K19" s="187">
        <v>44201</v>
      </c>
      <c r="L19" s="188" t="s">
        <v>365</v>
      </c>
      <c r="M19" s="79">
        <v>3695.92</v>
      </c>
      <c r="N19" s="67"/>
      <c r="O19" s="67">
        <f t="shared" si="0"/>
        <v>3695.92</v>
      </c>
      <c r="P19" s="66"/>
      <c r="Q19" s="67"/>
      <c r="R19" s="67"/>
      <c r="S19" s="68"/>
    </row>
    <row r="20" spans="2:19" ht="33.6" customHeight="1" x14ac:dyDescent="0.25">
      <c r="B20" s="2" t="s">
        <v>366</v>
      </c>
      <c r="C20" s="236" t="s">
        <v>333</v>
      </c>
      <c r="D20" s="93" t="s">
        <v>367</v>
      </c>
      <c r="E20" s="2" t="s">
        <v>368</v>
      </c>
      <c r="F20" s="2" t="s">
        <v>7</v>
      </c>
      <c r="G20" s="186">
        <v>2.63E-2</v>
      </c>
      <c r="H20" s="186">
        <v>0.1845</v>
      </c>
      <c r="I20" s="187">
        <v>45199</v>
      </c>
      <c r="J20" s="187">
        <v>45214</v>
      </c>
      <c r="K20" s="187">
        <v>44201</v>
      </c>
      <c r="L20" s="188" t="s">
        <v>369</v>
      </c>
      <c r="M20" s="79">
        <v>27583.15</v>
      </c>
      <c r="N20" s="67"/>
      <c r="O20" s="67">
        <f t="shared" si="0"/>
        <v>27583.15</v>
      </c>
      <c r="P20" s="66"/>
      <c r="Q20" s="67"/>
      <c r="R20" s="67"/>
      <c r="S20" s="68"/>
    </row>
    <row r="21" spans="2:19" x14ac:dyDescent="0.25">
      <c r="G21" s="186"/>
      <c r="H21" s="186"/>
      <c r="I21" s="187"/>
      <c r="J21" s="187"/>
      <c r="K21" s="187"/>
      <c r="L21" s="188"/>
      <c r="M21" s="10"/>
      <c r="N21" s="10"/>
      <c r="O21" s="10"/>
      <c r="P21" s="29"/>
      <c r="Q21" s="10"/>
      <c r="R21" s="10"/>
      <c r="S21" s="28"/>
    </row>
    <row r="22" spans="2:19" ht="27.75" customHeight="1" x14ac:dyDescent="0.25">
      <c r="C22" s="92"/>
      <c r="D22" s="92"/>
      <c r="G22" s="123"/>
      <c r="H22" s="124"/>
      <c r="I22" s="116"/>
      <c r="J22" s="116"/>
      <c r="K22" s="116" t="s">
        <v>100</v>
      </c>
      <c r="L22" s="5" t="s">
        <v>38</v>
      </c>
      <c r="M22" s="66">
        <f>SUM(M7:M21)</f>
        <v>3153316.1</v>
      </c>
      <c r="N22" s="76">
        <f>SUM(N7:N21)</f>
        <v>0</v>
      </c>
      <c r="O22" s="66">
        <f>SUM(O7:O21)</f>
        <v>3153316.1</v>
      </c>
      <c r="Q22" s="66">
        <f>SUM(Q7:Q21)</f>
        <v>184336.53</v>
      </c>
      <c r="R22" s="66">
        <f>SUM(R7:R21)</f>
        <v>0</v>
      </c>
      <c r="S22" s="68">
        <f>SUM(S7:S21)</f>
        <v>184336.53</v>
      </c>
    </row>
    <row r="23" spans="2:19" ht="19.5" customHeight="1" x14ac:dyDescent="0.25">
      <c r="C23" s="92"/>
      <c r="D23" s="92"/>
      <c r="I23" s="116"/>
      <c r="J23" s="116"/>
      <c r="K23" s="116"/>
      <c r="S23" s="27"/>
    </row>
    <row r="24" spans="2:19" x14ac:dyDescent="0.25">
      <c r="C24" s="92"/>
      <c r="D24" s="92"/>
      <c r="L24" s="5"/>
      <c r="M24" s="66"/>
      <c r="N24" s="66"/>
      <c r="O24" s="66"/>
      <c r="Q24" s="66"/>
      <c r="R24" s="66"/>
      <c r="S24" s="68"/>
    </row>
    <row r="25" spans="2:19" x14ac:dyDescent="0.25">
      <c r="B25" s="8" t="s">
        <v>125</v>
      </c>
      <c r="C25" s="92"/>
      <c r="D25" s="92"/>
      <c r="L25" s="5"/>
      <c r="M25" s="66"/>
      <c r="N25" s="66"/>
      <c r="O25" s="66"/>
      <c r="Q25" s="66"/>
      <c r="R25" s="66"/>
      <c r="S25" s="68"/>
    </row>
    <row r="26" spans="2:19" ht="37.5" customHeight="1" x14ac:dyDescent="0.25">
      <c r="B26" s="341" t="s">
        <v>126</v>
      </c>
      <c r="C26" s="341"/>
      <c r="D26" s="341"/>
      <c r="E26" s="341"/>
      <c r="F26" s="341"/>
      <c r="L26" s="5"/>
      <c r="M26" s="66"/>
      <c r="N26" s="66"/>
      <c r="O26" s="66"/>
      <c r="Q26" s="66"/>
      <c r="R26" s="66"/>
      <c r="S26" s="68"/>
    </row>
    <row r="27" spans="2:19" x14ac:dyDescent="0.25">
      <c r="C27" s="92"/>
      <c r="D27" s="92"/>
      <c r="L27" s="5"/>
      <c r="M27" s="66"/>
      <c r="N27" s="66"/>
      <c r="O27" s="66"/>
      <c r="Q27" s="66"/>
      <c r="R27" s="66"/>
      <c r="S27" s="68"/>
    </row>
    <row r="28" spans="2:19" ht="48.75" customHeight="1" x14ac:dyDescent="0.25">
      <c r="B28" s="341" t="s">
        <v>129</v>
      </c>
      <c r="C28" s="341"/>
      <c r="D28" s="341"/>
      <c r="E28" s="341"/>
      <c r="F28" s="341"/>
      <c r="L28" s="5"/>
      <c r="M28" s="66"/>
      <c r="N28" s="66"/>
      <c r="O28" s="66"/>
      <c r="Q28" s="66"/>
      <c r="R28" s="66"/>
      <c r="S28" s="68"/>
    </row>
    <row r="29" spans="2:19" x14ac:dyDescent="0.25">
      <c r="B29" s="193"/>
      <c r="C29" s="193"/>
      <c r="D29" s="193"/>
      <c r="E29" s="193"/>
      <c r="L29" s="5"/>
      <c r="M29" s="66"/>
      <c r="N29" s="66"/>
      <c r="O29" s="66"/>
      <c r="Q29" s="66"/>
      <c r="R29" s="66"/>
      <c r="S29" s="68"/>
    </row>
    <row r="30" spans="2:19" ht="33.75" customHeight="1" x14ac:dyDescent="0.25">
      <c r="B30" s="341" t="s">
        <v>160</v>
      </c>
      <c r="C30" s="341"/>
      <c r="D30" s="341"/>
      <c r="E30" s="341"/>
      <c r="F30" s="341"/>
      <c r="L30" s="5"/>
      <c r="M30" s="66"/>
      <c r="N30" s="66"/>
      <c r="O30" s="66"/>
      <c r="Q30" s="66"/>
      <c r="R30" s="66"/>
      <c r="S30" s="68"/>
    </row>
    <row r="31" spans="2:19" ht="15" customHeight="1" x14ac:dyDescent="0.25">
      <c r="B31" s="347" t="s">
        <v>159</v>
      </c>
      <c r="C31" s="341"/>
      <c r="D31" s="341"/>
      <c r="E31" s="341"/>
      <c r="F31" s="341"/>
      <c r="L31" s="5"/>
      <c r="M31" s="66"/>
      <c r="N31" s="66"/>
      <c r="O31" s="66"/>
      <c r="Q31" s="66"/>
      <c r="R31" s="66"/>
      <c r="S31" s="68"/>
    </row>
    <row r="32" spans="2:19" ht="15" customHeight="1" x14ac:dyDescent="0.25">
      <c r="B32" s="195"/>
      <c r="C32" s="195"/>
      <c r="D32" s="195"/>
      <c r="E32" s="195"/>
      <c r="L32" s="5"/>
      <c r="M32" s="66"/>
      <c r="N32" s="66"/>
      <c r="O32" s="66"/>
      <c r="Q32" s="66"/>
      <c r="R32" s="66"/>
      <c r="S32" s="68"/>
    </row>
    <row r="33" spans="1:19" x14ac:dyDescent="0.25">
      <c r="B33" s="108"/>
      <c r="C33" s="108"/>
      <c r="D33" s="108"/>
      <c r="E33" s="108"/>
      <c r="L33" s="5"/>
      <c r="M33" s="66"/>
      <c r="N33" s="66"/>
      <c r="O33" s="66"/>
      <c r="Q33" s="66"/>
      <c r="R33" s="66"/>
      <c r="S33" s="68"/>
    </row>
    <row r="34" spans="1:19" x14ac:dyDescent="0.25">
      <c r="B34" s="7" t="s">
        <v>109</v>
      </c>
      <c r="C34" s="101" t="s">
        <v>112</v>
      </c>
      <c r="D34" s="101" t="s">
        <v>113</v>
      </c>
      <c r="E34" s="108"/>
      <c r="L34" s="5"/>
      <c r="M34" s="66"/>
      <c r="N34" s="66"/>
      <c r="O34" s="66"/>
      <c r="Q34" s="66"/>
      <c r="R34" s="66"/>
      <c r="S34" s="68"/>
    </row>
    <row r="35" spans="1:19" x14ac:dyDescent="0.25">
      <c r="B35" s="103" t="s">
        <v>111</v>
      </c>
      <c r="C35" s="92" t="s">
        <v>300</v>
      </c>
      <c r="D35" s="92" t="s">
        <v>303</v>
      </c>
      <c r="L35" s="5"/>
      <c r="M35" s="66"/>
      <c r="N35" s="66"/>
      <c r="O35" s="66"/>
      <c r="Q35" s="66"/>
      <c r="R35" s="66"/>
      <c r="S35" s="68"/>
    </row>
    <row r="36" spans="1:19" x14ac:dyDescent="0.25">
      <c r="B36" s="2" t="s">
        <v>230</v>
      </c>
      <c r="C36" s="92" t="s">
        <v>135</v>
      </c>
      <c r="D36" s="92" t="s">
        <v>147</v>
      </c>
      <c r="L36" s="5"/>
      <c r="M36" s="66"/>
      <c r="N36" s="66"/>
      <c r="O36" s="66"/>
      <c r="Q36" s="66"/>
      <c r="R36" s="66"/>
      <c r="S36" s="68"/>
    </row>
    <row r="37" spans="1:19" x14ac:dyDescent="0.25">
      <c r="B37" s="2" t="s">
        <v>275</v>
      </c>
      <c r="C37" s="92" t="s">
        <v>135</v>
      </c>
      <c r="D37" s="92" t="s">
        <v>147</v>
      </c>
      <c r="L37" s="5"/>
      <c r="M37" s="66"/>
      <c r="N37" s="66"/>
      <c r="O37" s="66"/>
      <c r="Q37" s="66"/>
      <c r="R37" s="66"/>
      <c r="S37" s="68"/>
    </row>
    <row r="38" spans="1:19" x14ac:dyDescent="0.25">
      <c r="B38" s="2" t="s">
        <v>279</v>
      </c>
      <c r="C38" s="92" t="s">
        <v>135</v>
      </c>
      <c r="D38" s="92" t="s">
        <v>147</v>
      </c>
      <c r="L38" s="5"/>
      <c r="M38" s="66"/>
      <c r="N38" s="66"/>
      <c r="O38" s="66"/>
      <c r="Q38" s="66"/>
      <c r="R38" s="66"/>
      <c r="S38" s="68"/>
    </row>
    <row r="39" spans="1:19" x14ac:dyDescent="0.25">
      <c r="B39" s="2" t="s">
        <v>281</v>
      </c>
      <c r="C39" s="92" t="s">
        <v>135</v>
      </c>
      <c r="D39" s="92" t="s">
        <v>147</v>
      </c>
      <c r="L39" s="5"/>
      <c r="M39" s="66"/>
      <c r="N39" s="66"/>
      <c r="O39" s="66"/>
      <c r="Q39" s="66"/>
      <c r="R39" s="66"/>
      <c r="S39" s="68"/>
    </row>
    <row r="40" spans="1:19" x14ac:dyDescent="0.25">
      <c r="B40" s="2" t="s">
        <v>286</v>
      </c>
      <c r="C40" s="92" t="s">
        <v>135</v>
      </c>
      <c r="D40" s="92" t="s">
        <v>147</v>
      </c>
      <c r="L40" s="5"/>
      <c r="M40" s="66"/>
      <c r="N40" s="66"/>
      <c r="O40" s="66"/>
      <c r="Q40" s="66"/>
      <c r="R40" s="66"/>
      <c r="S40" s="68"/>
    </row>
    <row r="41" spans="1:19" x14ac:dyDescent="0.25">
      <c r="C41" s="92"/>
      <c r="D41" s="92"/>
      <c r="L41" s="5"/>
      <c r="M41" s="66"/>
      <c r="N41" s="66"/>
      <c r="O41" s="66"/>
      <c r="Q41" s="66"/>
      <c r="R41" s="66"/>
      <c r="S41" s="68"/>
    </row>
    <row r="42" spans="1:19" x14ac:dyDescent="0.25">
      <c r="B42" s="259" t="s">
        <v>298</v>
      </c>
      <c r="C42" s="92"/>
      <c r="D42" s="92"/>
      <c r="L42" s="5"/>
      <c r="M42" s="66"/>
      <c r="N42" s="66"/>
      <c r="O42" s="66"/>
      <c r="Q42" s="66"/>
      <c r="R42" s="66"/>
      <c r="S42" s="68"/>
    </row>
    <row r="43" spans="1:19" x14ac:dyDescent="0.25">
      <c r="B43" s="255" t="s">
        <v>305</v>
      </c>
      <c r="C43" s="92"/>
      <c r="D43" s="92"/>
      <c r="L43" s="5"/>
      <c r="M43" s="66"/>
      <c r="N43" s="66"/>
      <c r="O43" s="66"/>
      <c r="Q43" s="66"/>
      <c r="R43" s="66"/>
      <c r="S43" s="68"/>
    </row>
    <row r="44" spans="1:19" x14ac:dyDescent="0.25">
      <c r="A44" s="10"/>
      <c r="B44" s="10"/>
      <c r="C44" s="218"/>
      <c r="D44" s="218"/>
      <c r="E44" s="10"/>
      <c r="F44" s="10"/>
      <c r="G44" s="10"/>
      <c r="H44" s="10"/>
      <c r="I44" s="10"/>
      <c r="J44" s="10"/>
      <c r="K44" s="10"/>
      <c r="L44" s="219"/>
      <c r="M44" s="25"/>
      <c r="N44" s="25"/>
      <c r="O44" s="25"/>
      <c r="P44" s="10"/>
      <c r="Q44" s="25"/>
      <c r="R44" s="25"/>
      <c r="S44" s="26"/>
    </row>
    <row r="45" spans="1:19" x14ac:dyDescent="0.25">
      <c r="P45" s="29"/>
      <c r="Q45" s="58" t="s">
        <v>90</v>
      </c>
      <c r="R45" s="51"/>
      <c r="S45" s="172"/>
    </row>
    <row r="46" spans="1:19" ht="15" customHeight="1" x14ac:dyDescent="0.25">
      <c r="B46" s="17" t="s">
        <v>39</v>
      </c>
      <c r="C46" s="96" t="s">
        <v>2</v>
      </c>
      <c r="D46" s="96"/>
      <c r="E46" s="96" t="s">
        <v>34</v>
      </c>
      <c r="F46" s="96" t="s">
        <v>35</v>
      </c>
      <c r="G46" s="120"/>
      <c r="H46" s="120"/>
      <c r="I46" s="114"/>
      <c r="J46" s="96"/>
      <c r="K46" s="96"/>
      <c r="L46" s="96" t="s">
        <v>36</v>
      </c>
      <c r="M46" s="96" t="s">
        <v>37</v>
      </c>
      <c r="N46" s="10"/>
      <c r="O46" s="10"/>
      <c r="P46" s="10"/>
      <c r="Q46" s="54" t="s">
        <v>88</v>
      </c>
      <c r="R46" s="54"/>
      <c r="S46" s="55"/>
    </row>
    <row r="47" spans="1:19" ht="15" customHeight="1" x14ac:dyDescent="0.25">
      <c r="B47" s="63"/>
      <c r="C47" s="9"/>
      <c r="D47" s="9"/>
      <c r="E47" s="9"/>
      <c r="F47" s="9"/>
      <c r="G47" s="9"/>
      <c r="H47" s="9"/>
      <c r="I47" s="9"/>
      <c r="J47" s="9"/>
      <c r="K47" s="9"/>
      <c r="L47" s="9"/>
      <c r="M47" s="9"/>
      <c r="Q47" s="58"/>
      <c r="R47" s="51"/>
      <c r="S47" s="51"/>
    </row>
    <row r="48" spans="1:19" ht="15" customHeight="1" x14ac:dyDescent="0.25">
      <c r="B48" s="63"/>
      <c r="C48" s="9"/>
      <c r="D48" s="9"/>
      <c r="E48" s="9"/>
      <c r="F48" s="9"/>
      <c r="G48" s="9"/>
      <c r="H48" s="9"/>
      <c r="I48" s="9"/>
      <c r="J48" s="9"/>
      <c r="K48" s="9"/>
      <c r="L48" s="9"/>
      <c r="M48" s="9"/>
      <c r="R48" s="51"/>
      <c r="S48" s="51"/>
    </row>
    <row r="49" spans="2:20" ht="15" customHeight="1" x14ac:dyDescent="0.25">
      <c r="B49" s="63"/>
      <c r="C49" s="148"/>
      <c r="D49" s="148"/>
      <c r="E49" s="148"/>
      <c r="F49" s="148"/>
      <c r="G49" s="148"/>
      <c r="H49" s="148"/>
      <c r="I49" s="148"/>
      <c r="J49" s="148"/>
      <c r="K49" s="148"/>
      <c r="L49" s="148"/>
      <c r="M49" s="148"/>
      <c r="R49" s="51"/>
      <c r="S49" s="51"/>
    </row>
    <row r="50" spans="2:20" ht="15" customHeight="1" x14ac:dyDescent="0.25">
      <c r="B50" s="63"/>
      <c r="C50" s="148"/>
      <c r="D50" s="148"/>
      <c r="E50" s="148"/>
      <c r="F50" s="148"/>
      <c r="G50" s="148"/>
      <c r="H50" s="148"/>
      <c r="I50" s="148"/>
      <c r="J50" s="148"/>
      <c r="K50" s="148"/>
      <c r="L50" s="148"/>
      <c r="M50" s="148"/>
      <c r="R50" s="51"/>
      <c r="S50" s="51"/>
    </row>
    <row r="51" spans="2:20" ht="15" customHeight="1" x14ac:dyDescent="0.25">
      <c r="B51" s="63"/>
      <c r="C51" s="148"/>
      <c r="D51" s="148"/>
      <c r="E51" s="148"/>
      <c r="F51" s="148"/>
      <c r="G51" s="148"/>
      <c r="H51" s="148"/>
      <c r="I51" s="148"/>
      <c r="J51" s="148"/>
      <c r="K51" s="148"/>
      <c r="L51" s="148"/>
      <c r="M51" s="148"/>
      <c r="R51" s="51"/>
      <c r="S51" s="51"/>
    </row>
    <row r="52" spans="2:20" x14ac:dyDescent="0.25">
      <c r="B52" s="11"/>
      <c r="C52" s="9"/>
      <c r="D52" s="9"/>
      <c r="E52" s="9"/>
      <c r="N52" s="45"/>
      <c r="O52" s="45"/>
      <c r="P52" s="45"/>
      <c r="Q52" s="51"/>
      <c r="R52" s="51"/>
      <c r="S52" s="51"/>
      <c r="T52" s="51"/>
    </row>
    <row r="53" spans="2:20" x14ac:dyDescent="0.25">
      <c r="B53" s="12"/>
      <c r="C53" s="13"/>
      <c r="D53" s="13"/>
      <c r="E53" s="14"/>
      <c r="F53" s="15"/>
      <c r="G53" s="15"/>
      <c r="H53" s="15"/>
      <c r="I53" s="15"/>
      <c r="J53" s="15"/>
      <c r="K53" s="15"/>
      <c r="L53" s="16"/>
      <c r="M53" s="31"/>
      <c r="N53" s="18"/>
      <c r="O53" s="18"/>
      <c r="P53" s="18"/>
      <c r="Q53" s="51"/>
      <c r="R53" s="51"/>
      <c r="S53" s="51"/>
      <c r="T53" s="51"/>
    </row>
    <row r="54" spans="2:20" x14ac:dyDescent="0.25">
      <c r="B54" s="12"/>
      <c r="C54" s="13"/>
      <c r="D54" s="13"/>
      <c r="E54" s="14"/>
      <c r="F54" s="15"/>
      <c r="G54" s="15"/>
      <c r="H54" s="15"/>
      <c r="I54" s="15"/>
      <c r="J54" s="15"/>
      <c r="K54" s="15"/>
      <c r="L54" s="16"/>
      <c r="M54" s="31"/>
      <c r="N54" s="18"/>
      <c r="O54" s="18"/>
      <c r="P54" s="18"/>
      <c r="Q54" s="51"/>
      <c r="R54" s="51"/>
      <c r="S54" s="51"/>
      <c r="T54" s="51"/>
    </row>
    <row r="55" spans="2:20" x14ac:dyDescent="0.25">
      <c r="Q55" s="309" t="s">
        <v>316</v>
      </c>
      <c r="R55" s="309"/>
      <c r="S55" s="312">
        <f>S22</f>
        <v>184336.53</v>
      </c>
    </row>
  </sheetData>
  <mergeCells count="6">
    <mergeCell ref="B31:F31"/>
    <mergeCell ref="Q1:S1"/>
    <mergeCell ref="Q2:S2"/>
    <mergeCell ref="B30:F30"/>
    <mergeCell ref="B26:F26"/>
    <mergeCell ref="B28:F28"/>
  </mergeCells>
  <hyperlinks>
    <hyperlink ref="B31" r:id="rId1"/>
  </hyperlinks>
  <printOptions horizontalCentered="1" gridLines="1"/>
  <pageMargins left="0" right="0" top="0.75" bottom="0.75" header="0.3" footer="0.3"/>
  <pageSetup scale="54" orientation="landscape" horizontalDpi="1200" verticalDpi="1200"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5"/>
  <sheetViews>
    <sheetView topLeftCell="B5" zoomScale="90" zoomScaleNormal="90" workbookViewId="0">
      <selection activeCell="Q16" sqref="Q16:Q20"/>
    </sheetView>
  </sheetViews>
  <sheetFormatPr defaultColWidth="9.140625" defaultRowHeight="15" x14ac:dyDescent="0.25"/>
  <cols>
    <col min="1" max="1" width="9.140625" style="2" hidden="1" customWidth="1"/>
    <col min="2" max="2" width="58.42578125" style="2" customWidth="1"/>
    <col min="3" max="3" width="26.42578125" style="2" customWidth="1"/>
    <col min="4" max="4" width="13.7109375" style="2" customWidth="1"/>
    <col min="5" max="5" width="17" style="2" bestFit="1" customWidth="1"/>
    <col min="6" max="6" width="21.7109375" style="2" customWidth="1"/>
    <col min="7" max="7" width="10.28515625" style="2" customWidth="1"/>
    <col min="8" max="8" width="12.85546875" style="2" customWidth="1"/>
    <col min="9" max="9" width="13.42578125" style="2" customWidth="1"/>
    <col min="10" max="10" width="15.7109375" style="2" customWidth="1"/>
    <col min="11" max="11" width="8.85546875" style="2" customWidth="1"/>
    <col min="12" max="12" width="16.7109375" style="2" customWidth="1"/>
    <col min="13" max="13" width="15" style="2" bestFit="1" customWidth="1"/>
    <col min="14" max="14" width="13.7109375" style="2" customWidth="1"/>
    <col min="15" max="15" width="14.42578125" style="2" customWidth="1"/>
    <col min="16" max="16" width="3.140625" style="2" customWidth="1"/>
    <col min="17" max="17" width="14.28515625" style="2" customWidth="1"/>
    <col min="18" max="18" width="14.140625" style="2" customWidth="1"/>
    <col min="19" max="19" width="16.7109375" style="2" customWidth="1"/>
    <col min="20" max="16384" width="9.140625" style="2"/>
  </cols>
  <sheetData>
    <row r="1" spans="1:20" ht="18" customHeight="1" x14ac:dyDescent="0.25">
      <c r="B1" s="8" t="s">
        <v>101</v>
      </c>
      <c r="Q1" s="338" t="s">
        <v>296</v>
      </c>
      <c r="R1" s="338"/>
      <c r="S1" s="338"/>
    </row>
    <row r="2" spans="1:20" ht="18" customHeight="1" x14ac:dyDescent="0.25">
      <c r="B2" s="88" t="s">
        <v>148</v>
      </c>
      <c r="C2" s="182">
        <v>44742</v>
      </c>
      <c r="M2" s="71"/>
      <c r="N2" s="71"/>
      <c r="P2" s="29"/>
      <c r="Q2" s="337" t="s">
        <v>375</v>
      </c>
      <c r="R2" s="337"/>
      <c r="S2" s="337"/>
    </row>
    <row r="3" spans="1:20" ht="18" customHeight="1" thickBot="1" x14ac:dyDescent="0.3">
      <c r="A3" s="2" t="s">
        <v>16</v>
      </c>
      <c r="B3" s="44" t="s">
        <v>102</v>
      </c>
      <c r="C3" s="8"/>
      <c r="D3" s="8"/>
      <c r="E3" s="8"/>
      <c r="P3" s="29"/>
      <c r="Q3" s="45"/>
      <c r="R3" s="30"/>
    </row>
    <row r="4" spans="1:20" ht="18.75" customHeight="1" x14ac:dyDescent="0.25">
      <c r="B4" s="8" t="s">
        <v>174</v>
      </c>
      <c r="M4" s="85" t="s">
        <v>28</v>
      </c>
      <c r="N4" s="85" t="s">
        <v>28</v>
      </c>
      <c r="O4" s="85" t="s">
        <v>28</v>
      </c>
      <c r="P4" s="9"/>
      <c r="Q4" s="89" t="s">
        <v>29</v>
      </c>
      <c r="R4" s="89" t="s">
        <v>31</v>
      </c>
      <c r="S4" s="89" t="s">
        <v>23</v>
      </c>
      <c r="T4" s="7"/>
    </row>
    <row r="5" spans="1:20" ht="15.75" thickBot="1" x14ac:dyDescent="0.3">
      <c r="G5" s="183" t="s">
        <v>295</v>
      </c>
      <c r="H5" s="183" t="s">
        <v>295</v>
      </c>
      <c r="M5" s="86" t="s">
        <v>27</v>
      </c>
      <c r="N5" s="86" t="s">
        <v>26</v>
      </c>
      <c r="O5" s="86" t="s">
        <v>25</v>
      </c>
      <c r="P5" s="9"/>
      <c r="Q5" s="90" t="s">
        <v>30</v>
      </c>
      <c r="R5" s="90" t="s">
        <v>30</v>
      </c>
      <c r="S5" s="90" t="s">
        <v>30</v>
      </c>
      <c r="T5" s="7"/>
    </row>
    <row r="6" spans="1:20" ht="85.5" customHeight="1" thickBot="1" x14ac:dyDescent="0.3">
      <c r="B6" s="84" t="s">
        <v>1</v>
      </c>
      <c r="C6" s="84" t="s">
        <v>389</v>
      </c>
      <c r="D6" s="84" t="s">
        <v>107</v>
      </c>
      <c r="E6" s="84" t="s">
        <v>3</v>
      </c>
      <c r="F6" s="84" t="s">
        <v>4</v>
      </c>
      <c r="G6" s="107" t="s">
        <v>136</v>
      </c>
      <c r="H6" s="107" t="s">
        <v>137</v>
      </c>
      <c r="I6" s="107" t="s">
        <v>133</v>
      </c>
      <c r="J6" s="107" t="s">
        <v>134</v>
      </c>
      <c r="K6" s="107" t="s">
        <v>121</v>
      </c>
      <c r="L6" s="83" t="s">
        <v>5</v>
      </c>
      <c r="M6" s="87" t="s">
        <v>6</v>
      </c>
      <c r="N6" s="87" t="s">
        <v>6</v>
      </c>
      <c r="O6" s="87" t="s">
        <v>6</v>
      </c>
      <c r="P6" s="9"/>
      <c r="Q6" s="91"/>
      <c r="R6" s="97" t="s">
        <v>32</v>
      </c>
      <c r="S6" s="98" t="s">
        <v>33</v>
      </c>
    </row>
    <row r="7" spans="1:20" ht="24.75" customHeight="1" x14ac:dyDescent="0.25">
      <c r="B7" s="2" t="s">
        <v>8</v>
      </c>
      <c r="C7" s="92" t="s">
        <v>106</v>
      </c>
      <c r="D7" s="92" t="s">
        <v>306</v>
      </c>
      <c r="E7" s="2" t="s">
        <v>307</v>
      </c>
      <c r="F7" s="2" t="s">
        <v>7</v>
      </c>
      <c r="G7" s="186">
        <v>2.63E-2</v>
      </c>
      <c r="H7" s="186">
        <v>0.1845</v>
      </c>
      <c r="I7" s="187">
        <v>44742</v>
      </c>
      <c r="J7" s="187">
        <v>44743</v>
      </c>
      <c r="K7" s="187">
        <v>44378</v>
      </c>
      <c r="L7" s="188" t="s">
        <v>297</v>
      </c>
      <c r="M7" s="78">
        <v>195889.5</v>
      </c>
      <c r="N7" s="67"/>
      <c r="O7" s="67">
        <f t="shared" ref="O7:O12" si="0">M7+N7</f>
        <v>195889.5</v>
      </c>
      <c r="P7" s="148"/>
      <c r="Q7" s="67">
        <f>100932.7+35841.3</f>
        <v>136774</v>
      </c>
      <c r="R7" s="67"/>
      <c r="S7" s="68">
        <f>Q7+R7</f>
        <v>136774</v>
      </c>
    </row>
    <row r="8" spans="1:20" ht="30.6" hidden="1" customHeight="1" x14ac:dyDescent="0.25">
      <c r="B8" s="200" t="s">
        <v>128</v>
      </c>
      <c r="C8" s="225" t="s">
        <v>183</v>
      </c>
      <c r="D8" s="92" t="s">
        <v>171</v>
      </c>
      <c r="E8" s="2" t="s">
        <v>218</v>
      </c>
      <c r="F8" s="2" t="s">
        <v>7</v>
      </c>
      <c r="G8" s="186">
        <f>+G7</f>
        <v>2.63E-2</v>
      </c>
      <c r="H8" s="186">
        <f>+H7</f>
        <v>0.1845</v>
      </c>
      <c r="I8" s="187">
        <f>+I7</f>
        <v>44742</v>
      </c>
      <c r="J8" s="187">
        <f t="shared" ref="J8:L8" si="1">+J7</f>
        <v>44743</v>
      </c>
      <c r="K8" s="187">
        <f t="shared" si="1"/>
        <v>44378</v>
      </c>
      <c r="L8" s="189" t="str">
        <f t="shared" si="1"/>
        <v>07/01/21 - 06/30/22</v>
      </c>
      <c r="M8" s="78"/>
      <c r="N8" s="67"/>
      <c r="O8" s="67">
        <f t="shared" si="0"/>
        <v>0</v>
      </c>
      <c r="P8" s="67"/>
      <c r="Q8" s="67"/>
      <c r="R8" s="67"/>
      <c r="S8" s="68">
        <f>Q8+R8</f>
        <v>0</v>
      </c>
    </row>
    <row r="9" spans="1:20" ht="30.6" customHeight="1" x14ac:dyDescent="0.25">
      <c r="B9" s="2" t="s">
        <v>128</v>
      </c>
      <c r="C9" s="236" t="s">
        <v>122</v>
      </c>
      <c r="D9" s="93" t="s">
        <v>310</v>
      </c>
      <c r="E9" s="2" t="s">
        <v>309</v>
      </c>
      <c r="F9" s="2" t="s">
        <v>7</v>
      </c>
      <c r="G9" s="186">
        <v>2.63E-2</v>
      </c>
      <c r="H9" s="186">
        <v>0.1845</v>
      </c>
      <c r="I9" s="187">
        <v>44742</v>
      </c>
      <c r="J9" s="187">
        <v>44743</v>
      </c>
      <c r="K9" s="187">
        <v>44378</v>
      </c>
      <c r="L9" s="204" t="s">
        <v>297</v>
      </c>
      <c r="M9" s="6">
        <v>8559.4599999999991</v>
      </c>
      <c r="N9" s="67"/>
      <c r="O9" s="67">
        <f>M9+N9</f>
        <v>8559.4599999999991</v>
      </c>
      <c r="P9" s="67"/>
      <c r="Q9" s="67">
        <v>8559.4599999999991</v>
      </c>
      <c r="R9" s="67"/>
      <c r="S9" s="68">
        <f>+Q9+R9</f>
        <v>8559.4599999999991</v>
      </c>
    </row>
    <row r="10" spans="1:20" ht="30.6" customHeight="1" x14ac:dyDescent="0.25">
      <c r="B10" s="2" t="s">
        <v>223</v>
      </c>
      <c r="C10" s="236" t="s">
        <v>333</v>
      </c>
      <c r="D10" s="93" t="s">
        <v>224</v>
      </c>
      <c r="E10" s="2" t="s">
        <v>225</v>
      </c>
      <c r="F10" s="2" t="s">
        <v>7</v>
      </c>
      <c r="G10" s="186">
        <v>2.63E-2</v>
      </c>
      <c r="H10" s="186">
        <v>0.1845</v>
      </c>
      <c r="I10" s="187">
        <v>44834</v>
      </c>
      <c r="J10" s="187">
        <v>44849</v>
      </c>
      <c r="K10" s="187">
        <v>43614</v>
      </c>
      <c r="L10" s="188" t="s">
        <v>274</v>
      </c>
      <c r="M10" s="78">
        <v>62421.15</v>
      </c>
      <c r="N10" s="67"/>
      <c r="O10" s="67">
        <f t="shared" si="0"/>
        <v>62421.15</v>
      </c>
      <c r="P10" s="67"/>
      <c r="Q10" s="67">
        <v>62421.15</v>
      </c>
      <c r="R10" s="67"/>
      <c r="S10" s="68">
        <f>Q10+R10</f>
        <v>62421.15</v>
      </c>
    </row>
    <row r="11" spans="1:20" ht="30.6" customHeight="1" x14ac:dyDescent="0.25">
      <c r="B11" s="2" t="s">
        <v>241</v>
      </c>
      <c r="C11" s="236" t="s">
        <v>242</v>
      </c>
      <c r="D11" s="93" t="s">
        <v>164</v>
      </c>
      <c r="E11" s="2" t="s">
        <v>250</v>
      </c>
      <c r="F11" s="2" t="s">
        <v>7</v>
      </c>
      <c r="G11" s="186">
        <v>2.63E-2</v>
      </c>
      <c r="H11" s="186">
        <v>0.1845</v>
      </c>
      <c r="I11" s="187">
        <v>44393</v>
      </c>
      <c r="J11" s="187">
        <v>44408</v>
      </c>
      <c r="K11" s="187">
        <v>42644</v>
      </c>
      <c r="L11" s="188" t="s">
        <v>273</v>
      </c>
      <c r="M11" s="79">
        <v>190199</v>
      </c>
      <c r="N11" s="67"/>
      <c r="O11" s="67">
        <f t="shared" si="0"/>
        <v>190199</v>
      </c>
      <c r="P11" s="67"/>
      <c r="Q11" s="67">
        <v>0</v>
      </c>
      <c r="R11" s="67"/>
      <c r="S11" s="68">
        <f t="shared" ref="S11:S12" si="2">Q11+R11</f>
        <v>0</v>
      </c>
    </row>
    <row r="12" spans="1:20" ht="30.6" customHeight="1" x14ac:dyDescent="0.25">
      <c r="B12" s="2" t="s">
        <v>268</v>
      </c>
      <c r="C12" s="236" t="s">
        <v>269</v>
      </c>
      <c r="D12" s="93" t="s">
        <v>270</v>
      </c>
      <c r="E12" s="2" t="s">
        <v>271</v>
      </c>
      <c r="F12" s="2" t="s">
        <v>7</v>
      </c>
      <c r="G12" s="186">
        <v>2.63E-2</v>
      </c>
      <c r="H12" s="186">
        <v>0.1845</v>
      </c>
      <c r="I12" s="187">
        <v>44408</v>
      </c>
      <c r="J12" s="187">
        <v>44423</v>
      </c>
      <c r="K12" s="187">
        <v>42186</v>
      </c>
      <c r="L12" s="188" t="s">
        <v>272</v>
      </c>
      <c r="M12" s="79">
        <v>18100</v>
      </c>
      <c r="N12" s="67"/>
      <c r="O12" s="67">
        <f t="shared" si="0"/>
        <v>18100</v>
      </c>
      <c r="P12" s="67"/>
      <c r="Q12" s="67"/>
      <c r="R12" s="67"/>
      <c r="S12" s="68">
        <f t="shared" si="2"/>
        <v>0</v>
      </c>
    </row>
    <row r="13" spans="1:20" ht="30.6" customHeight="1" x14ac:dyDescent="0.25">
      <c r="B13" s="2" t="s">
        <v>275</v>
      </c>
      <c r="C13" s="236" t="s">
        <v>333</v>
      </c>
      <c r="D13" s="93" t="s">
        <v>224</v>
      </c>
      <c r="E13" s="2" t="s">
        <v>276</v>
      </c>
      <c r="F13" s="2" t="s">
        <v>7</v>
      </c>
      <c r="G13" s="186">
        <v>2.63E-2</v>
      </c>
      <c r="H13" s="186">
        <v>0.1845</v>
      </c>
      <c r="I13" s="297">
        <v>44773</v>
      </c>
      <c r="J13" s="297">
        <v>44788</v>
      </c>
      <c r="K13" s="187">
        <v>43980</v>
      </c>
      <c r="L13" s="188" t="s">
        <v>277</v>
      </c>
      <c r="M13" s="79">
        <v>5006.1099999999997</v>
      </c>
      <c r="N13" s="70"/>
      <c r="O13" s="67">
        <f>M13+N13</f>
        <v>5006.1099999999997</v>
      </c>
      <c r="P13" s="67"/>
      <c r="Q13" s="67"/>
      <c r="R13" s="67"/>
      <c r="S13" s="68">
        <f>Q13+R13</f>
        <v>0</v>
      </c>
    </row>
    <row r="14" spans="1:20" ht="30.6" customHeight="1" x14ac:dyDescent="0.25">
      <c r="B14" s="2" t="s">
        <v>279</v>
      </c>
      <c r="C14" s="236" t="s">
        <v>333</v>
      </c>
      <c r="D14" s="93" t="s">
        <v>224</v>
      </c>
      <c r="E14" s="2" t="s">
        <v>280</v>
      </c>
      <c r="F14" s="2" t="s">
        <v>7</v>
      </c>
      <c r="G14" s="186">
        <v>2.63E-2</v>
      </c>
      <c r="H14" s="186">
        <v>0.1845</v>
      </c>
      <c r="I14" s="187">
        <v>44592</v>
      </c>
      <c r="J14" s="187">
        <v>44592</v>
      </c>
      <c r="K14" s="187">
        <v>43980</v>
      </c>
      <c r="L14" s="188" t="s">
        <v>332</v>
      </c>
      <c r="M14" s="79">
        <v>3000</v>
      </c>
      <c r="N14" s="67"/>
      <c r="O14" s="67">
        <f t="shared" ref="O14:O22" si="3">M14+N14</f>
        <v>3000</v>
      </c>
      <c r="P14" s="66"/>
      <c r="Q14" s="67"/>
      <c r="R14" s="67"/>
      <c r="S14" s="68">
        <f t="shared" ref="S14:S22" si="4">Q14+R14</f>
        <v>0</v>
      </c>
    </row>
    <row r="15" spans="1:20" ht="30.6" customHeight="1" x14ac:dyDescent="0.25">
      <c r="B15" s="2" t="s">
        <v>281</v>
      </c>
      <c r="C15" s="236" t="s">
        <v>334</v>
      </c>
      <c r="D15" s="93" t="s">
        <v>231</v>
      </c>
      <c r="E15" s="2" t="s">
        <v>282</v>
      </c>
      <c r="F15" s="2" t="s">
        <v>7</v>
      </c>
      <c r="G15" s="186">
        <v>2.63E-2</v>
      </c>
      <c r="H15" s="186">
        <v>0.1845</v>
      </c>
      <c r="I15" s="187">
        <v>44742</v>
      </c>
      <c r="J15" s="187">
        <v>44757</v>
      </c>
      <c r="K15" s="187">
        <v>43979</v>
      </c>
      <c r="L15" s="188" t="s">
        <v>283</v>
      </c>
      <c r="M15" s="79">
        <v>1027</v>
      </c>
      <c r="N15" s="67"/>
      <c r="O15" s="67">
        <f t="shared" si="3"/>
        <v>1027</v>
      </c>
      <c r="P15" s="66"/>
      <c r="Q15" s="67"/>
      <c r="R15" s="67"/>
      <c r="S15" s="68">
        <f t="shared" si="4"/>
        <v>0</v>
      </c>
    </row>
    <row r="16" spans="1:20" ht="30.6" customHeight="1" x14ac:dyDescent="0.25">
      <c r="B16" s="2" t="s">
        <v>321</v>
      </c>
      <c r="C16" s="236" t="s">
        <v>333</v>
      </c>
      <c r="D16" s="93" t="s">
        <v>288</v>
      </c>
      <c r="E16" s="2" t="s">
        <v>322</v>
      </c>
      <c r="F16" s="2" t="s">
        <v>7</v>
      </c>
      <c r="G16" s="186">
        <f>G15:H15</f>
        <v>2.63E-2</v>
      </c>
      <c r="H16" s="186">
        <f>H15</f>
        <v>0.1845</v>
      </c>
      <c r="I16" s="187">
        <v>45199</v>
      </c>
      <c r="J16" s="187">
        <v>45214</v>
      </c>
      <c r="K16" s="187">
        <v>44201</v>
      </c>
      <c r="L16" s="188" t="s">
        <v>323</v>
      </c>
      <c r="M16" s="79">
        <v>60451.83</v>
      </c>
      <c r="N16" s="67"/>
      <c r="O16" s="67">
        <f t="shared" si="3"/>
        <v>60451.83</v>
      </c>
      <c r="P16" s="66"/>
      <c r="Q16" s="67">
        <v>39146.47</v>
      </c>
      <c r="R16" s="67"/>
      <c r="S16" s="68">
        <f t="shared" si="4"/>
        <v>39146.47</v>
      </c>
    </row>
    <row r="17" spans="2:19" ht="30.6" customHeight="1" x14ac:dyDescent="0.25">
      <c r="B17" s="2" t="s">
        <v>324</v>
      </c>
      <c r="C17" s="236" t="s">
        <v>333</v>
      </c>
      <c r="D17" s="93" t="s">
        <v>288</v>
      </c>
      <c r="E17" s="2" t="s">
        <v>329</v>
      </c>
      <c r="F17" s="2" t="s">
        <v>7</v>
      </c>
      <c r="G17" s="186">
        <f>G16:H16</f>
        <v>2.63E-2</v>
      </c>
      <c r="H17" s="186">
        <f>H16</f>
        <v>0.1845</v>
      </c>
      <c r="I17" s="187">
        <v>45199</v>
      </c>
      <c r="J17" s="187">
        <v>45214</v>
      </c>
      <c r="K17" s="187">
        <v>44201</v>
      </c>
      <c r="L17" s="188" t="s">
        <v>325</v>
      </c>
      <c r="M17" s="79">
        <v>14555</v>
      </c>
      <c r="N17" s="67"/>
      <c r="O17" s="67">
        <f t="shared" si="3"/>
        <v>14555</v>
      </c>
      <c r="P17" s="66"/>
      <c r="Q17" s="67"/>
      <c r="R17" s="67"/>
      <c r="S17" s="68">
        <f t="shared" si="4"/>
        <v>0</v>
      </c>
    </row>
    <row r="18" spans="2:19" ht="30.6" customHeight="1" x14ac:dyDescent="0.25">
      <c r="B18" s="2" t="s">
        <v>326</v>
      </c>
      <c r="C18" s="236" t="s">
        <v>333</v>
      </c>
      <c r="D18" s="93" t="s">
        <v>288</v>
      </c>
      <c r="E18" s="2" t="s">
        <v>330</v>
      </c>
      <c r="F18" s="2" t="s">
        <v>7</v>
      </c>
      <c r="G18" s="186">
        <f>G17:H17</f>
        <v>2.63E-2</v>
      </c>
      <c r="H18" s="186">
        <f>H17</f>
        <v>0.1845</v>
      </c>
      <c r="I18" s="187">
        <v>45199</v>
      </c>
      <c r="J18" s="187">
        <v>45214</v>
      </c>
      <c r="K18" s="187">
        <v>44201</v>
      </c>
      <c r="L18" s="188" t="s">
        <v>323</v>
      </c>
      <c r="M18" s="79">
        <v>15868.61</v>
      </c>
      <c r="N18" s="67"/>
      <c r="O18" s="67">
        <f t="shared" si="3"/>
        <v>15868.61</v>
      </c>
      <c r="P18" s="66"/>
      <c r="Q18" s="67"/>
      <c r="R18" s="67"/>
      <c r="S18" s="68">
        <f t="shared" si="4"/>
        <v>0</v>
      </c>
    </row>
    <row r="19" spans="2:19" ht="30.6" customHeight="1" x14ac:dyDescent="0.25">
      <c r="B19" s="2" t="s">
        <v>370</v>
      </c>
      <c r="C19" s="236" t="s">
        <v>333</v>
      </c>
      <c r="D19" s="93" t="s">
        <v>288</v>
      </c>
      <c r="E19" s="2" t="s">
        <v>331</v>
      </c>
      <c r="F19" s="2" t="s">
        <v>7</v>
      </c>
      <c r="G19" s="186">
        <f t="shared" ref="G19" si="5">G18:H18</f>
        <v>2.63E-2</v>
      </c>
      <c r="H19" s="186">
        <f t="shared" ref="H19" si="6">H18</f>
        <v>0.1845</v>
      </c>
      <c r="I19" s="187">
        <v>45199</v>
      </c>
      <c r="J19" s="187">
        <v>45214</v>
      </c>
      <c r="K19" s="187">
        <v>44201</v>
      </c>
      <c r="L19" s="188" t="s">
        <v>325</v>
      </c>
      <c r="M19" s="79">
        <v>75111.399999999994</v>
      </c>
      <c r="N19" s="67"/>
      <c r="O19" s="67">
        <f t="shared" si="3"/>
        <v>75111.399999999994</v>
      </c>
      <c r="P19" s="66"/>
      <c r="Q19" s="67"/>
      <c r="R19" s="67"/>
      <c r="S19" s="68">
        <f t="shared" si="4"/>
        <v>0</v>
      </c>
    </row>
    <row r="20" spans="2:19" ht="30.6" customHeight="1" x14ac:dyDescent="0.25">
      <c r="B20" s="2" t="s">
        <v>287</v>
      </c>
      <c r="C20" s="236" t="s">
        <v>333</v>
      </c>
      <c r="D20" s="93" t="s">
        <v>288</v>
      </c>
      <c r="E20" s="2" t="s">
        <v>289</v>
      </c>
      <c r="F20" s="2" t="s">
        <v>7</v>
      </c>
      <c r="G20" s="186">
        <v>2.63E-2</v>
      </c>
      <c r="H20" s="186">
        <v>0.1845</v>
      </c>
      <c r="I20" s="187">
        <v>45199</v>
      </c>
      <c r="J20" s="187">
        <v>45199</v>
      </c>
      <c r="K20" s="187">
        <v>44201</v>
      </c>
      <c r="L20" s="188" t="s">
        <v>320</v>
      </c>
      <c r="M20" s="79">
        <v>139039.21</v>
      </c>
      <c r="N20" s="67"/>
      <c r="O20" s="67">
        <f t="shared" si="3"/>
        <v>139039.21</v>
      </c>
      <c r="P20" s="66"/>
      <c r="Q20" s="67">
        <v>118877.34</v>
      </c>
      <c r="R20" s="67"/>
      <c r="S20" s="68">
        <f t="shared" si="4"/>
        <v>118877.34</v>
      </c>
    </row>
    <row r="21" spans="2:19" ht="30.6" customHeight="1" x14ac:dyDescent="0.25">
      <c r="B21" s="2" t="s">
        <v>352</v>
      </c>
      <c r="C21" s="236" t="s">
        <v>353</v>
      </c>
      <c r="D21" s="93" t="s">
        <v>354</v>
      </c>
      <c r="E21" s="2" t="s">
        <v>355</v>
      </c>
      <c r="F21" s="2" t="s">
        <v>7</v>
      </c>
      <c r="G21" s="186">
        <v>2.63E-2</v>
      </c>
      <c r="H21" s="186">
        <v>0.1845</v>
      </c>
      <c r="I21" s="187">
        <v>45565</v>
      </c>
      <c r="J21" s="187">
        <v>45580</v>
      </c>
      <c r="K21" s="187">
        <v>44279</v>
      </c>
      <c r="L21" s="188" t="s">
        <v>356</v>
      </c>
      <c r="M21" s="79">
        <v>543624.47</v>
      </c>
      <c r="N21" s="67"/>
      <c r="O21" s="67">
        <f t="shared" si="3"/>
        <v>543624.47</v>
      </c>
      <c r="P21" s="66"/>
      <c r="Q21" s="67"/>
      <c r="R21" s="67"/>
      <c r="S21" s="68">
        <f t="shared" si="4"/>
        <v>0</v>
      </c>
    </row>
    <row r="22" spans="2:19" ht="30.6" customHeight="1" x14ac:dyDescent="0.25">
      <c r="B22" s="2" t="s">
        <v>357</v>
      </c>
      <c r="C22" s="236" t="s">
        <v>353</v>
      </c>
      <c r="D22" s="93" t="s">
        <v>354</v>
      </c>
      <c r="E22" s="2" t="s">
        <v>358</v>
      </c>
      <c r="F22" s="2" t="s">
        <v>7</v>
      </c>
      <c r="G22" s="186">
        <v>2.63E-2</v>
      </c>
      <c r="H22" s="186">
        <v>0.1845</v>
      </c>
      <c r="I22" s="187">
        <v>45565</v>
      </c>
      <c r="J22" s="187">
        <v>45580</v>
      </c>
      <c r="K22" s="187">
        <v>44279</v>
      </c>
      <c r="L22" s="188" t="s">
        <v>356</v>
      </c>
      <c r="M22" s="79">
        <v>135906.12</v>
      </c>
      <c r="N22" s="67"/>
      <c r="O22" s="67">
        <f t="shared" si="3"/>
        <v>135906.12</v>
      </c>
      <c r="P22" s="66"/>
      <c r="Q22" s="67"/>
      <c r="R22" s="67"/>
      <c r="S22" s="68">
        <f t="shared" si="4"/>
        <v>0</v>
      </c>
    </row>
    <row r="23" spans="2:19" ht="15.75" customHeight="1" x14ac:dyDescent="0.25">
      <c r="C23" s="236"/>
      <c r="D23" s="92"/>
      <c r="G23" s="186"/>
      <c r="H23" s="186"/>
      <c r="I23" s="187"/>
      <c r="J23" s="187"/>
      <c r="K23" s="187"/>
      <c r="L23" s="188"/>
      <c r="M23" s="24"/>
      <c r="N23" s="25"/>
      <c r="O23" s="25"/>
      <c r="P23" s="67"/>
      <c r="Q23" s="25"/>
      <c r="R23" s="25"/>
      <c r="S23" s="26"/>
    </row>
    <row r="24" spans="2:19" ht="24" customHeight="1" x14ac:dyDescent="0.25">
      <c r="C24" s="93"/>
      <c r="D24" s="93"/>
      <c r="G24" s="123"/>
      <c r="H24" s="123"/>
      <c r="I24" s="116"/>
      <c r="J24" s="116"/>
      <c r="K24" s="116" t="s">
        <v>100</v>
      </c>
      <c r="L24" s="21" t="s">
        <v>38</v>
      </c>
      <c r="M24" s="66">
        <f>SUM(M7:M23)</f>
        <v>1468758.8599999999</v>
      </c>
      <c r="N24" s="66">
        <f>SUM(N7:N23)</f>
        <v>0</v>
      </c>
      <c r="O24" s="66">
        <f>SUM(O7:O23)</f>
        <v>1468758.8599999999</v>
      </c>
      <c r="P24" s="66"/>
      <c r="Q24" s="66">
        <f>SUM(Q7:Q23)</f>
        <v>365778.42</v>
      </c>
      <c r="R24" s="66">
        <f>SUM(R7:R23)</f>
        <v>0</v>
      </c>
      <c r="S24" s="23">
        <f>SUM(S7:S23)</f>
        <v>365778.42</v>
      </c>
    </row>
    <row r="25" spans="2:19" x14ac:dyDescent="0.25">
      <c r="B25" s="3"/>
      <c r="C25" s="93"/>
      <c r="D25" s="93"/>
      <c r="I25" s="116"/>
      <c r="J25" s="116"/>
      <c r="K25" s="116"/>
      <c r="S25" s="27"/>
    </row>
    <row r="26" spans="2:19" x14ac:dyDescent="0.25">
      <c r="C26" s="93"/>
      <c r="D26" s="93"/>
      <c r="S26" s="27"/>
    </row>
    <row r="27" spans="2:19" x14ac:dyDescent="0.25">
      <c r="B27" s="8" t="s">
        <v>125</v>
      </c>
      <c r="C27" s="92"/>
      <c r="D27" s="92"/>
      <c r="S27" s="27"/>
    </row>
    <row r="28" spans="2:19" ht="32.25" customHeight="1" x14ac:dyDescent="0.25">
      <c r="B28" s="341" t="s">
        <v>126</v>
      </c>
      <c r="C28" s="341"/>
      <c r="D28" s="341"/>
      <c r="E28" s="341"/>
      <c r="F28" s="341"/>
      <c r="S28" s="27"/>
    </row>
    <row r="29" spans="2:19" x14ac:dyDescent="0.25">
      <c r="C29" s="92"/>
      <c r="D29" s="92"/>
      <c r="S29" s="27"/>
    </row>
    <row r="30" spans="2:19" ht="49.5" customHeight="1" x14ac:dyDescent="0.25">
      <c r="B30" s="341" t="s">
        <v>129</v>
      </c>
      <c r="C30" s="341"/>
      <c r="D30" s="341"/>
      <c r="E30" s="341"/>
      <c r="F30" s="341"/>
      <c r="S30" s="27"/>
    </row>
    <row r="31" spans="2:19" x14ac:dyDescent="0.25">
      <c r="B31" s="108"/>
      <c r="C31" s="108"/>
      <c r="D31" s="108"/>
      <c r="E31" s="108"/>
      <c r="S31" s="27"/>
    </row>
    <row r="32" spans="2:19" ht="30" customHeight="1" x14ac:dyDescent="0.25">
      <c r="B32" s="341" t="s">
        <v>160</v>
      </c>
      <c r="C32" s="341"/>
      <c r="D32" s="341"/>
      <c r="E32" s="341"/>
      <c r="F32" s="341"/>
      <c r="S32" s="27"/>
    </row>
    <row r="33" spans="2:19" ht="15" customHeight="1" x14ac:dyDescent="0.25">
      <c r="B33" s="347" t="s">
        <v>159</v>
      </c>
      <c r="C33" s="341"/>
      <c r="D33" s="341"/>
      <c r="E33" s="341"/>
      <c r="F33" s="341"/>
      <c r="S33" s="27"/>
    </row>
    <row r="34" spans="2:19" ht="15" customHeight="1" x14ac:dyDescent="0.25">
      <c r="B34" s="195"/>
      <c r="C34" s="195"/>
      <c r="D34" s="195"/>
      <c r="E34" s="195"/>
      <c r="S34" s="27"/>
    </row>
    <row r="35" spans="2:19" x14ac:dyDescent="0.25">
      <c r="B35" s="7" t="s">
        <v>109</v>
      </c>
      <c r="C35" s="101" t="s">
        <v>112</v>
      </c>
      <c r="D35" s="101" t="s">
        <v>113</v>
      </c>
      <c r="E35" s="108"/>
      <c r="S35" s="27"/>
    </row>
    <row r="36" spans="2:19" x14ac:dyDescent="0.25">
      <c r="B36" s="2" t="s">
        <v>110</v>
      </c>
      <c r="C36" s="92" t="s">
        <v>327</v>
      </c>
      <c r="D36" s="92" t="s">
        <v>118</v>
      </c>
      <c r="E36" s="108"/>
      <c r="S36" s="27"/>
    </row>
    <row r="37" spans="2:19" x14ac:dyDescent="0.25">
      <c r="B37" s="2" t="s">
        <v>230</v>
      </c>
      <c r="C37" s="92" t="s">
        <v>135</v>
      </c>
      <c r="D37" s="92" t="s">
        <v>147</v>
      </c>
      <c r="E37" s="240"/>
      <c r="S37" s="27"/>
    </row>
    <row r="38" spans="2:19" x14ac:dyDescent="0.25">
      <c r="B38" s="2" t="s">
        <v>240</v>
      </c>
      <c r="C38" s="92" t="s">
        <v>135</v>
      </c>
      <c r="D38" s="92" t="s">
        <v>147</v>
      </c>
      <c r="E38" s="280"/>
      <c r="S38" s="27"/>
    </row>
    <row r="39" spans="2:19" x14ac:dyDescent="0.25">
      <c r="B39" s="2" t="s">
        <v>268</v>
      </c>
      <c r="C39" s="92" t="s">
        <v>135</v>
      </c>
      <c r="D39" s="92" t="s">
        <v>147</v>
      </c>
      <c r="E39" s="295"/>
      <c r="S39" s="27"/>
    </row>
    <row r="40" spans="2:19" x14ac:dyDescent="0.25">
      <c r="B40" s="2" t="s">
        <v>275</v>
      </c>
      <c r="C40" s="92" t="s">
        <v>135</v>
      </c>
      <c r="D40" s="92" t="s">
        <v>147</v>
      </c>
      <c r="E40" s="296"/>
      <c r="S40" s="27"/>
    </row>
    <row r="41" spans="2:19" x14ac:dyDescent="0.25">
      <c r="B41" s="2" t="s">
        <v>279</v>
      </c>
      <c r="C41" s="92" t="s">
        <v>135</v>
      </c>
      <c r="D41" s="92" t="s">
        <v>147</v>
      </c>
      <c r="E41" s="299"/>
      <c r="S41" s="27"/>
    </row>
    <row r="42" spans="2:19" x14ac:dyDescent="0.25">
      <c r="B42" s="2" t="s">
        <v>281</v>
      </c>
      <c r="C42" s="92" t="s">
        <v>135</v>
      </c>
      <c r="D42" s="92" t="s">
        <v>147</v>
      </c>
      <c r="E42" s="302"/>
      <c r="S42" s="27"/>
    </row>
    <row r="43" spans="2:19" x14ac:dyDescent="0.25">
      <c r="B43" s="2" t="s">
        <v>286</v>
      </c>
      <c r="C43" s="92" t="s">
        <v>135</v>
      </c>
      <c r="D43" s="92" t="s">
        <v>147</v>
      </c>
      <c r="E43" s="304"/>
      <c r="S43" s="27"/>
    </row>
    <row r="44" spans="2:19" x14ac:dyDescent="0.25">
      <c r="C44" s="92"/>
      <c r="D44" s="92"/>
      <c r="E44" s="268"/>
      <c r="S44" s="27"/>
    </row>
    <row r="45" spans="2:19" x14ac:dyDescent="0.25">
      <c r="B45" s="348" t="s">
        <v>298</v>
      </c>
      <c r="C45" s="336"/>
      <c r="D45" s="336"/>
      <c r="E45" s="336"/>
      <c r="F45" s="336"/>
      <c r="G45" s="336"/>
      <c r="H45" s="336"/>
      <c r="S45" s="27"/>
    </row>
    <row r="46" spans="2:19" x14ac:dyDescent="0.25">
      <c r="B46" s="242" t="s">
        <v>299</v>
      </c>
      <c r="C46" s="92"/>
      <c r="D46" s="92"/>
      <c r="S46" s="27"/>
    </row>
    <row r="47" spans="2:19" x14ac:dyDescent="0.25">
      <c r="B47" s="220"/>
      <c r="C47" s="94"/>
      <c r="D47" s="94"/>
      <c r="E47" s="10"/>
      <c r="F47" s="10"/>
      <c r="G47" s="10"/>
      <c r="H47" s="10"/>
      <c r="I47" s="10"/>
      <c r="J47" s="10"/>
      <c r="K47" s="10"/>
      <c r="L47" s="10"/>
      <c r="M47" s="10"/>
      <c r="N47" s="10"/>
      <c r="O47" s="10"/>
      <c r="P47" s="10"/>
      <c r="Q47" s="10"/>
      <c r="R47" s="10"/>
      <c r="S47" s="28"/>
    </row>
    <row r="48" spans="2:19" ht="15" customHeight="1" x14ac:dyDescent="0.25">
      <c r="Q48" s="59" t="s">
        <v>90</v>
      </c>
      <c r="R48" s="50"/>
      <c r="S48" s="165"/>
    </row>
    <row r="49" spans="2:20" ht="15" customHeight="1" x14ac:dyDescent="0.25">
      <c r="B49" s="17" t="s">
        <v>39</v>
      </c>
      <c r="C49" s="96" t="s">
        <v>2</v>
      </c>
      <c r="D49" s="96"/>
      <c r="E49" s="96" t="s">
        <v>34</v>
      </c>
      <c r="F49" s="96" t="s">
        <v>35</v>
      </c>
      <c r="G49" s="120"/>
      <c r="H49" s="120"/>
      <c r="I49" s="114"/>
      <c r="J49" s="96"/>
      <c r="K49" s="96"/>
      <c r="L49" s="96" t="s">
        <v>36</v>
      </c>
      <c r="M49" s="96" t="s">
        <v>37</v>
      </c>
      <c r="N49" s="47"/>
      <c r="O49" s="47"/>
      <c r="P49" s="47"/>
      <c r="Q49" s="54" t="s">
        <v>88</v>
      </c>
      <c r="R49" s="52"/>
      <c r="S49" s="53"/>
      <c r="T49" s="51"/>
    </row>
    <row r="50" spans="2:20" ht="15" customHeight="1" x14ac:dyDescent="0.25">
      <c r="B50" s="63"/>
      <c r="C50" s="9"/>
      <c r="D50" s="9"/>
      <c r="E50" s="9"/>
      <c r="F50" s="9"/>
      <c r="G50" s="9"/>
      <c r="H50" s="9"/>
      <c r="I50" s="9"/>
      <c r="J50" s="9"/>
      <c r="K50" s="9"/>
      <c r="L50" s="9"/>
      <c r="M50" s="9"/>
      <c r="N50" s="45"/>
      <c r="O50" s="45"/>
      <c r="P50" s="45"/>
      <c r="Q50" s="59"/>
      <c r="R50" s="50"/>
      <c r="S50" s="50"/>
      <c r="T50" s="51"/>
    </row>
    <row r="51" spans="2:20" ht="15" customHeight="1" x14ac:dyDescent="0.25">
      <c r="B51" s="63"/>
      <c r="C51" s="148"/>
      <c r="D51" s="148"/>
      <c r="E51" s="148"/>
      <c r="F51" s="148"/>
      <c r="G51" s="148"/>
      <c r="H51" s="148"/>
      <c r="I51" s="148"/>
      <c r="J51" s="148"/>
      <c r="K51" s="148"/>
      <c r="L51" s="148"/>
      <c r="M51" s="148"/>
      <c r="N51" s="45"/>
      <c r="O51" s="45"/>
      <c r="P51" s="45"/>
      <c r="Q51" s="59"/>
      <c r="R51" s="50"/>
      <c r="S51" s="50"/>
      <c r="T51" s="51"/>
    </row>
    <row r="52" spans="2:20" ht="15" customHeight="1" x14ac:dyDescent="0.25">
      <c r="B52" s="63"/>
      <c r="C52" s="148"/>
      <c r="D52" s="148"/>
      <c r="E52" s="148"/>
      <c r="F52" s="148"/>
      <c r="G52" s="148"/>
      <c r="H52" s="148"/>
      <c r="I52" s="148"/>
      <c r="J52" s="148"/>
      <c r="K52" s="148"/>
      <c r="L52" s="148"/>
      <c r="M52" s="148"/>
      <c r="N52" s="45"/>
      <c r="O52" s="45"/>
      <c r="P52" s="45"/>
      <c r="Q52" s="59"/>
      <c r="R52" s="50"/>
      <c r="S52" s="50"/>
      <c r="T52" s="51"/>
    </row>
    <row r="53" spans="2:20" ht="15" customHeight="1" x14ac:dyDescent="0.25">
      <c r="B53" s="63"/>
      <c r="C53" s="148"/>
      <c r="D53" s="148"/>
      <c r="E53" s="148"/>
      <c r="F53" s="148"/>
      <c r="G53" s="148"/>
      <c r="H53" s="148"/>
      <c r="I53" s="148"/>
      <c r="J53" s="148"/>
      <c r="K53" s="148"/>
      <c r="L53" s="148"/>
      <c r="M53" s="148"/>
      <c r="N53" s="45"/>
      <c r="O53" s="45"/>
      <c r="P53" s="45"/>
      <c r="Q53" s="59"/>
      <c r="R53" s="50"/>
      <c r="S53" s="50"/>
      <c r="T53" s="51"/>
    </row>
    <row r="54" spans="2:20" x14ac:dyDescent="0.25">
      <c r="B54" s="63"/>
      <c r="C54" s="9"/>
      <c r="D54" s="9"/>
      <c r="E54" s="9"/>
      <c r="F54" s="9"/>
      <c r="G54" s="9"/>
      <c r="H54" s="9"/>
      <c r="I54" s="9"/>
      <c r="J54" s="9"/>
      <c r="K54" s="9"/>
      <c r="L54" s="9"/>
      <c r="M54" s="9"/>
      <c r="N54" s="45"/>
      <c r="O54" s="45"/>
      <c r="P54" s="45"/>
      <c r="R54" s="51"/>
      <c r="S54" s="51"/>
      <c r="T54" s="51"/>
    </row>
    <row r="55" spans="2:20" x14ac:dyDescent="0.25">
      <c r="Q55" s="309" t="s">
        <v>316</v>
      </c>
      <c r="R55" s="309"/>
      <c r="S55" s="312">
        <f>S24</f>
        <v>365778.42</v>
      </c>
    </row>
  </sheetData>
  <mergeCells count="7">
    <mergeCell ref="B45:H45"/>
    <mergeCell ref="B33:F33"/>
    <mergeCell ref="Q1:S1"/>
    <mergeCell ref="Q2:S2"/>
    <mergeCell ref="B32:F32"/>
    <mergeCell ref="B28:F28"/>
    <mergeCell ref="B30:F30"/>
  </mergeCells>
  <hyperlinks>
    <hyperlink ref="B33" r:id="rId1"/>
  </hyperlinks>
  <printOptions horizontalCentered="1" gridLines="1"/>
  <pageMargins left="0" right="0" top="0.75" bottom="0.75" header="0.3" footer="0.3"/>
  <pageSetup scale="48" orientation="landscape" horizontalDpi="1200" verticalDpi="1200"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5"/>
  <sheetViews>
    <sheetView topLeftCell="B4" zoomScale="90" zoomScaleNormal="90" workbookViewId="0">
      <selection activeCell="Q19" sqref="Q19"/>
    </sheetView>
  </sheetViews>
  <sheetFormatPr defaultColWidth="9.140625" defaultRowHeight="15" x14ac:dyDescent="0.25"/>
  <cols>
    <col min="1" max="1" width="6.7109375" style="2" hidden="1" customWidth="1"/>
    <col min="2" max="2" width="59.42578125" style="2" customWidth="1"/>
    <col min="3" max="3" width="27.140625" style="2" customWidth="1"/>
    <col min="4" max="4" width="13.7109375" style="2" customWidth="1"/>
    <col min="5" max="5" width="18.140625" style="2" customWidth="1"/>
    <col min="6" max="6" width="21.7109375" style="2" customWidth="1"/>
    <col min="7" max="7" width="10.28515625" style="2" customWidth="1"/>
    <col min="8" max="8" width="12.85546875" style="2" customWidth="1"/>
    <col min="9" max="9" width="13.42578125" style="2" customWidth="1"/>
    <col min="10" max="10" width="15.7109375" style="2" customWidth="1"/>
    <col min="11" max="11" width="8.85546875" style="2" customWidth="1"/>
    <col min="12" max="12" width="19.140625" style="2" customWidth="1"/>
    <col min="13" max="13" width="13.28515625" style="2" bestFit="1" customWidth="1"/>
    <col min="14" max="14" width="13.7109375" style="2" customWidth="1"/>
    <col min="15" max="15" width="14.42578125" style="2" customWidth="1"/>
    <col min="16" max="16" width="3.140625" style="2" customWidth="1"/>
    <col min="17" max="17" width="12" style="2" customWidth="1"/>
    <col min="18" max="18" width="14.140625" style="2" customWidth="1"/>
    <col min="19" max="19" width="16.7109375" style="2" customWidth="1"/>
    <col min="20" max="16384" width="9.140625" style="2"/>
  </cols>
  <sheetData>
    <row r="1" spans="1:20" ht="18" customHeight="1" x14ac:dyDescent="0.25">
      <c r="B1" s="8" t="s">
        <v>103</v>
      </c>
      <c r="Q1" s="338" t="s">
        <v>296</v>
      </c>
      <c r="R1" s="338"/>
      <c r="S1" s="338"/>
    </row>
    <row r="2" spans="1:20" ht="18" customHeight="1" x14ac:dyDescent="0.25">
      <c r="B2" s="88" t="s">
        <v>148</v>
      </c>
      <c r="C2" s="182">
        <v>44742</v>
      </c>
      <c r="M2" s="71"/>
      <c r="N2" s="71"/>
      <c r="P2" s="29"/>
      <c r="Q2" s="337" t="s">
        <v>375</v>
      </c>
      <c r="R2" s="337"/>
      <c r="S2" s="337"/>
    </row>
    <row r="3" spans="1:20" ht="18" customHeight="1" thickBot="1" x14ac:dyDescent="0.3">
      <c r="A3" s="2" t="s">
        <v>16</v>
      </c>
      <c r="B3" s="44" t="s">
        <v>104</v>
      </c>
      <c r="C3" s="8"/>
      <c r="D3" s="8"/>
      <c r="E3" s="8"/>
      <c r="P3" s="29"/>
      <c r="Q3" s="45"/>
      <c r="R3" s="30"/>
    </row>
    <row r="4" spans="1:20" ht="18.75" customHeight="1" x14ac:dyDescent="0.25">
      <c r="B4" s="8" t="s">
        <v>174</v>
      </c>
      <c r="M4" s="85" t="s">
        <v>28</v>
      </c>
      <c r="N4" s="85" t="s">
        <v>28</v>
      </c>
      <c r="O4" s="85" t="s">
        <v>28</v>
      </c>
      <c r="P4" s="9"/>
      <c r="Q4" s="89" t="s">
        <v>29</v>
      </c>
      <c r="R4" s="89" t="s">
        <v>31</v>
      </c>
      <c r="S4" s="89" t="s">
        <v>23</v>
      </c>
      <c r="T4" s="7"/>
    </row>
    <row r="5" spans="1:20" ht="15.75" thickBot="1" x14ac:dyDescent="0.3">
      <c r="G5" s="183" t="s">
        <v>295</v>
      </c>
      <c r="H5" s="183" t="s">
        <v>295</v>
      </c>
      <c r="M5" s="86" t="s">
        <v>27</v>
      </c>
      <c r="N5" s="86" t="s">
        <v>26</v>
      </c>
      <c r="O5" s="86" t="s">
        <v>25</v>
      </c>
      <c r="P5" s="9"/>
      <c r="Q5" s="90" t="s">
        <v>30</v>
      </c>
      <c r="R5" s="90" t="s">
        <v>30</v>
      </c>
      <c r="S5" s="90" t="s">
        <v>30</v>
      </c>
      <c r="T5" s="7"/>
    </row>
    <row r="6" spans="1:20" ht="85.5" customHeight="1" thickBot="1" x14ac:dyDescent="0.3">
      <c r="B6" s="84" t="s">
        <v>1</v>
      </c>
      <c r="C6" s="84" t="s">
        <v>389</v>
      </c>
      <c r="D6" s="84" t="s">
        <v>107</v>
      </c>
      <c r="E6" s="84" t="s">
        <v>3</v>
      </c>
      <c r="F6" s="84" t="s">
        <v>4</v>
      </c>
      <c r="G6" s="107" t="s">
        <v>136</v>
      </c>
      <c r="H6" s="107" t="s">
        <v>137</v>
      </c>
      <c r="I6" s="107" t="s">
        <v>133</v>
      </c>
      <c r="J6" s="107" t="s">
        <v>134</v>
      </c>
      <c r="K6" s="107" t="s">
        <v>121</v>
      </c>
      <c r="L6" s="83" t="s">
        <v>5</v>
      </c>
      <c r="M6" s="87" t="s">
        <v>6</v>
      </c>
      <c r="N6" s="87" t="s">
        <v>6</v>
      </c>
      <c r="O6" s="87" t="s">
        <v>6</v>
      </c>
      <c r="P6" s="9"/>
      <c r="Q6" s="91"/>
      <c r="R6" s="97" t="s">
        <v>32</v>
      </c>
      <c r="S6" s="98" t="s">
        <v>33</v>
      </c>
    </row>
    <row r="7" spans="1:20" ht="26.25" customHeight="1" x14ac:dyDescent="0.25">
      <c r="B7" s="2" t="s">
        <v>8</v>
      </c>
      <c r="C7" s="92" t="s">
        <v>106</v>
      </c>
      <c r="D7" s="92" t="s">
        <v>306</v>
      </c>
      <c r="E7" s="2" t="s">
        <v>307</v>
      </c>
      <c r="F7" s="2" t="s">
        <v>7</v>
      </c>
      <c r="G7" s="186">
        <v>2.63E-2</v>
      </c>
      <c r="H7" s="186">
        <v>0.1845</v>
      </c>
      <c r="I7" s="187">
        <v>44742</v>
      </c>
      <c r="J7" s="187">
        <v>44743</v>
      </c>
      <c r="K7" s="187">
        <v>44378</v>
      </c>
      <c r="L7" s="188" t="s">
        <v>297</v>
      </c>
      <c r="M7" s="78"/>
      <c r="N7" s="67"/>
      <c r="O7" s="67">
        <f>M7+N7</f>
        <v>0</v>
      </c>
      <c r="P7" s="67"/>
      <c r="Q7" s="67"/>
      <c r="R7" s="67"/>
      <c r="S7" s="68">
        <f>Q7+R7</f>
        <v>0</v>
      </c>
    </row>
    <row r="8" spans="1:20" ht="30.75" customHeight="1" x14ac:dyDescent="0.25">
      <c r="B8" s="200" t="s">
        <v>128</v>
      </c>
      <c r="C8" s="225" t="s">
        <v>122</v>
      </c>
      <c r="D8" s="93" t="s">
        <v>310</v>
      </c>
      <c r="E8" s="2" t="s">
        <v>309</v>
      </c>
      <c r="F8" s="2" t="s">
        <v>7</v>
      </c>
      <c r="G8" s="186">
        <v>2.63E-2</v>
      </c>
      <c r="H8" s="186">
        <v>0.1845</v>
      </c>
      <c r="I8" s="187">
        <v>44742</v>
      </c>
      <c r="J8" s="187">
        <v>44743</v>
      </c>
      <c r="K8" s="187">
        <v>44378</v>
      </c>
      <c r="L8" s="204" t="s">
        <v>297</v>
      </c>
      <c r="M8" s="78">
        <v>1020</v>
      </c>
      <c r="N8" s="67"/>
      <c r="O8" s="67">
        <f>M8+N8</f>
        <v>1020</v>
      </c>
      <c r="P8" s="67"/>
      <c r="Q8" s="67">
        <v>1020</v>
      </c>
      <c r="R8" s="67"/>
      <c r="S8" s="68">
        <f>Q8+R8</f>
        <v>1020</v>
      </c>
    </row>
    <row r="9" spans="1:20" ht="30.75" customHeight="1" x14ac:dyDescent="0.25">
      <c r="B9" s="2" t="s">
        <v>223</v>
      </c>
      <c r="C9" s="236" t="s">
        <v>333</v>
      </c>
      <c r="D9" s="93" t="s">
        <v>224</v>
      </c>
      <c r="E9" s="2" t="s">
        <v>225</v>
      </c>
      <c r="F9" s="2" t="s">
        <v>7</v>
      </c>
      <c r="G9" s="186">
        <v>2.63E-2</v>
      </c>
      <c r="H9" s="186">
        <v>0.1845</v>
      </c>
      <c r="I9" s="187">
        <v>44834</v>
      </c>
      <c r="J9" s="187">
        <v>44849</v>
      </c>
      <c r="K9" s="187">
        <v>43614</v>
      </c>
      <c r="L9" s="188" t="s">
        <v>274</v>
      </c>
      <c r="M9" s="78">
        <v>27551.59</v>
      </c>
      <c r="N9" s="67"/>
      <c r="O9" s="67">
        <f>M9+N9</f>
        <v>27551.59</v>
      </c>
      <c r="P9" s="67"/>
      <c r="Q9" s="67">
        <v>0</v>
      </c>
      <c r="R9" s="67"/>
      <c r="S9" s="68">
        <f>Q9+R9</f>
        <v>0</v>
      </c>
    </row>
    <row r="10" spans="1:20" ht="30.75" customHeight="1" x14ac:dyDescent="0.25">
      <c r="B10" s="2" t="s">
        <v>241</v>
      </c>
      <c r="C10" s="236" t="s">
        <v>242</v>
      </c>
      <c r="D10" s="93" t="s">
        <v>164</v>
      </c>
      <c r="E10" s="2" t="s">
        <v>253</v>
      </c>
      <c r="F10" s="2" t="s">
        <v>7</v>
      </c>
      <c r="G10" s="186">
        <v>2.63E-2</v>
      </c>
      <c r="H10" s="186">
        <v>0.1845</v>
      </c>
      <c r="I10" s="187">
        <v>44393</v>
      </c>
      <c r="J10" s="187">
        <v>44408</v>
      </c>
      <c r="K10" s="187">
        <v>42644</v>
      </c>
      <c r="L10" s="188" t="s">
        <v>273</v>
      </c>
      <c r="M10" s="79">
        <v>27050</v>
      </c>
      <c r="N10" s="67"/>
      <c r="O10" s="67">
        <f>M10+N10</f>
        <v>27050</v>
      </c>
      <c r="P10" s="67"/>
      <c r="Q10" s="67">
        <v>0</v>
      </c>
      <c r="R10" s="67"/>
      <c r="S10" s="68">
        <f>Q10+R10</f>
        <v>0</v>
      </c>
    </row>
    <row r="11" spans="1:20" ht="30.75" customHeight="1" x14ac:dyDescent="0.25">
      <c r="B11" s="2" t="s">
        <v>279</v>
      </c>
      <c r="C11" s="236" t="s">
        <v>333</v>
      </c>
      <c r="D11" s="93" t="s">
        <v>224</v>
      </c>
      <c r="E11" s="2" t="s">
        <v>280</v>
      </c>
      <c r="F11" s="2" t="s">
        <v>7</v>
      </c>
      <c r="G11" s="186">
        <v>2.63E-2</v>
      </c>
      <c r="H11" s="186">
        <v>0.1845</v>
      </c>
      <c r="I11" s="187">
        <v>44592</v>
      </c>
      <c r="J11" s="187">
        <v>44592</v>
      </c>
      <c r="K11" s="187">
        <v>43980</v>
      </c>
      <c r="L11" s="188" t="s">
        <v>332</v>
      </c>
      <c r="M11" s="79">
        <v>3000</v>
      </c>
      <c r="N11" s="67"/>
      <c r="O11" s="67">
        <f t="shared" ref="O11:O19" si="0">M11+N11</f>
        <v>3000</v>
      </c>
      <c r="P11" s="66"/>
      <c r="Q11" s="67"/>
      <c r="R11" s="67"/>
      <c r="S11" s="68">
        <f t="shared" ref="S11:S19" si="1">Q11+R11</f>
        <v>0</v>
      </c>
    </row>
    <row r="12" spans="1:20" ht="30.75" customHeight="1" x14ac:dyDescent="0.25">
      <c r="B12" s="2" t="s">
        <v>281</v>
      </c>
      <c r="C12" s="236" t="s">
        <v>334</v>
      </c>
      <c r="D12" s="93" t="s">
        <v>231</v>
      </c>
      <c r="E12" s="2" t="s">
        <v>282</v>
      </c>
      <c r="F12" s="2" t="s">
        <v>7</v>
      </c>
      <c r="G12" s="186">
        <v>2.63E-2</v>
      </c>
      <c r="H12" s="186">
        <v>0.1845</v>
      </c>
      <c r="I12" s="187">
        <v>44742</v>
      </c>
      <c r="J12" s="187">
        <v>44757</v>
      </c>
      <c r="K12" s="187">
        <v>43979</v>
      </c>
      <c r="L12" s="188" t="s">
        <v>283</v>
      </c>
      <c r="M12" s="79">
        <v>1027</v>
      </c>
      <c r="N12" s="67"/>
      <c r="O12" s="67">
        <f t="shared" si="0"/>
        <v>1027</v>
      </c>
      <c r="P12" s="66"/>
      <c r="Q12" s="67">
        <v>0</v>
      </c>
      <c r="R12" s="67"/>
      <c r="S12" s="68">
        <f t="shared" si="1"/>
        <v>0</v>
      </c>
    </row>
    <row r="13" spans="1:20" ht="30.75" customHeight="1" x14ac:dyDescent="0.25">
      <c r="B13" s="2" t="s">
        <v>321</v>
      </c>
      <c r="C13" s="236" t="s">
        <v>333</v>
      </c>
      <c r="D13" s="93" t="s">
        <v>288</v>
      </c>
      <c r="E13" s="2" t="s">
        <v>322</v>
      </c>
      <c r="F13" s="2" t="s">
        <v>7</v>
      </c>
      <c r="G13" s="186">
        <f>G12:H12</f>
        <v>2.63E-2</v>
      </c>
      <c r="H13" s="186">
        <f>H12</f>
        <v>0.1845</v>
      </c>
      <c r="I13" s="187">
        <v>45199</v>
      </c>
      <c r="J13" s="187">
        <v>45214</v>
      </c>
      <c r="K13" s="187">
        <v>44201</v>
      </c>
      <c r="L13" s="188" t="s">
        <v>323</v>
      </c>
      <c r="M13" s="79">
        <v>26594.43</v>
      </c>
      <c r="N13" s="67"/>
      <c r="O13" s="67">
        <f t="shared" si="0"/>
        <v>26594.43</v>
      </c>
      <c r="P13" s="66"/>
      <c r="Q13" s="67"/>
      <c r="R13" s="67"/>
      <c r="S13" s="68">
        <f t="shared" si="1"/>
        <v>0</v>
      </c>
    </row>
    <row r="14" spans="1:20" ht="30.75" customHeight="1" x14ac:dyDescent="0.25">
      <c r="B14" s="2" t="s">
        <v>324</v>
      </c>
      <c r="C14" s="236" t="s">
        <v>333</v>
      </c>
      <c r="D14" s="93" t="s">
        <v>288</v>
      </c>
      <c r="E14" s="2" t="s">
        <v>329</v>
      </c>
      <c r="F14" s="2" t="s">
        <v>7</v>
      </c>
      <c r="G14" s="186">
        <f>G13:H13</f>
        <v>2.63E-2</v>
      </c>
      <c r="H14" s="186">
        <f>H13</f>
        <v>0.1845</v>
      </c>
      <c r="I14" s="187">
        <v>45199</v>
      </c>
      <c r="J14" s="187">
        <v>45214</v>
      </c>
      <c r="K14" s="187">
        <v>44201</v>
      </c>
      <c r="L14" s="188" t="s">
        <v>325</v>
      </c>
      <c r="M14" s="79">
        <v>2911</v>
      </c>
      <c r="N14" s="67"/>
      <c r="O14" s="67">
        <f t="shared" si="0"/>
        <v>2911</v>
      </c>
      <c r="P14" s="66"/>
      <c r="Q14" s="67"/>
      <c r="R14" s="67"/>
      <c r="S14" s="68">
        <f t="shared" si="1"/>
        <v>0</v>
      </c>
    </row>
    <row r="15" spans="1:20" ht="30.75" customHeight="1" x14ac:dyDescent="0.25">
      <c r="B15" s="2" t="s">
        <v>326</v>
      </c>
      <c r="C15" s="236" t="s">
        <v>333</v>
      </c>
      <c r="D15" s="93" t="s">
        <v>288</v>
      </c>
      <c r="E15" s="2" t="s">
        <v>330</v>
      </c>
      <c r="F15" s="2" t="s">
        <v>7</v>
      </c>
      <c r="G15" s="186">
        <f>G14:H14</f>
        <v>2.63E-2</v>
      </c>
      <c r="H15" s="186">
        <f>H14</f>
        <v>0.1845</v>
      </c>
      <c r="I15" s="187">
        <v>45199</v>
      </c>
      <c r="J15" s="187">
        <v>45214</v>
      </c>
      <c r="K15" s="187">
        <v>44201</v>
      </c>
      <c r="L15" s="188" t="s">
        <v>323</v>
      </c>
      <c r="M15" s="79">
        <v>6981.04</v>
      </c>
      <c r="N15" s="67"/>
      <c r="O15" s="67">
        <f t="shared" si="0"/>
        <v>6981.04</v>
      </c>
      <c r="P15" s="66"/>
      <c r="Q15" s="67">
        <v>5928.18</v>
      </c>
      <c r="R15" s="67"/>
      <c r="S15" s="68">
        <f t="shared" si="1"/>
        <v>5928.18</v>
      </c>
    </row>
    <row r="16" spans="1:20" ht="30.75" customHeight="1" x14ac:dyDescent="0.25">
      <c r="B16" s="2" t="s">
        <v>370</v>
      </c>
      <c r="C16" s="236" t="s">
        <v>333</v>
      </c>
      <c r="D16" s="93" t="s">
        <v>288</v>
      </c>
      <c r="E16" s="2" t="s">
        <v>331</v>
      </c>
      <c r="F16" s="2" t="s">
        <v>7</v>
      </c>
      <c r="G16" s="186">
        <f t="shared" ref="G16" si="2">G15:H15</f>
        <v>2.63E-2</v>
      </c>
      <c r="H16" s="186">
        <f t="shared" ref="H16" si="3">H15</f>
        <v>0.1845</v>
      </c>
      <c r="I16" s="187">
        <v>45199</v>
      </c>
      <c r="J16" s="187">
        <v>45214</v>
      </c>
      <c r="K16" s="187">
        <v>44201</v>
      </c>
      <c r="L16" s="188" t="s">
        <v>325</v>
      </c>
      <c r="M16" s="79">
        <v>33043.58</v>
      </c>
      <c r="N16" s="67"/>
      <c r="O16" s="67">
        <f t="shared" si="0"/>
        <v>33043.58</v>
      </c>
      <c r="P16" s="66"/>
      <c r="Q16" s="67">
        <v>21445.58</v>
      </c>
      <c r="R16" s="67"/>
      <c r="S16" s="68">
        <f t="shared" si="1"/>
        <v>21445.58</v>
      </c>
    </row>
    <row r="17" spans="2:19" ht="30.75" customHeight="1" x14ac:dyDescent="0.25">
      <c r="B17" s="2" t="s">
        <v>287</v>
      </c>
      <c r="C17" s="236" t="s">
        <v>333</v>
      </c>
      <c r="D17" s="93" t="s">
        <v>288</v>
      </c>
      <c r="E17" s="2" t="s">
        <v>289</v>
      </c>
      <c r="F17" s="2" t="s">
        <v>7</v>
      </c>
      <c r="G17" s="186">
        <v>2.63E-2</v>
      </c>
      <c r="H17" s="186">
        <v>0.1845</v>
      </c>
      <c r="I17" s="187">
        <v>45199</v>
      </c>
      <c r="J17" s="187">
        <v>45199</v>
      </c>
      <c r="K17" s="187">
        <v>44201</v>
      </c>
      <c r="L17" s="188" t="s">
        <v>320</v>
      </c>
      <c r="M17" s="79">
        <v>61167.18</v>
      </c>
      <c r="N17" s="67"/>
      <c r="O17" s="67">
        <f t="shared" si="0"/>
        <v>61167.18</v>
      </c>
      <c r="P17" s="66"/>
      <c r="Q17" s="67">
        <v>0</v>
      </c>
      <c r="R17" s="67"/>
      <c r="S17" s="68">
        <f t="shared" si="1"/>
        <v>0</v>
      </c>
    </row>
    <row r="18" spans="2:19" ht="30.75" customHeight="1" x14ac:dyDescent="0.25">
      <c r="B18" s="2" t="s">
        <v>352</v>
      </c>
      <c r="C18" s="236" t="s">
        <v>353</v>
      </c>
      <c r="D18" s="93" t="s">
        <v>354</v>
      </c>
      <c r="E18" s="2" t="s">
        <v>355</v>
      </c>
      <c r="F18" s="2" t="s">
        <v>7</v>
      </c>
      <c r="G18" s="186">
        <v>2.63E-2</v>
      </c>
      <c r="H18" s="186">
        <v>0.1845</v>
      </c>
      <c r="I18" s="187">
        <v>45565</v>
      </c>
      <c r="J18" s="187">
        <v>45580</v>
      </c>
      <c r="K18" s="187">
        <v>44279</v>
      </c>
      <c r="L18" s="188" t="s">
        <v>356</v>
      </c>
      <c r="M18" s="79">
        <v>239155.4</v>
      </c>
      <c r="N18" s="67"/>
      <c r="O18" s="67">
        <f t="shared" si="0"/>
        <v>239155.4</v>
      </c>
      <c r="P18" s="66"/>
      <c r="Q18" s="67"/>
      <c r="R18" s="67"/>
      <c r="S18" s="68">
        <f t="shared" si="1"/>
        <v>0</v>
      </c>
    </row>
    <row r="19" spans="2:19" ht="30.75" customHeight="1" x14ac:dyDescent="0.25">
      <c r="B19" s="2" t="s">
        <v>357</v>
      </c>
      <c r="C19" s="236" t="s">
        <v>353</v>
      </c>
      <c r="D19" s="93" t="s">
        <v>354</v>
      </c>
      <c r="E19" s="2" t="s">
        <v>358</v>
      </c>
      <c r="F19" s="2" t="s">
        <v>7</v>
      </c>
      <c r="G19" s="186">
        <v>2.63E-2</v>
      </c>
      <c r="H19" s="186">
        <v>0.1845</v>
      </c>
      <c r="I19" s="187">
        <v>45565</v>
      </c>
      <c r="J19" s="187">
        <v>45580</v>
      </c>
      <c r="K19" s="187">
        <v>44279</v>
      </c>
      <c r="L19" s="188" t="s">
        <v>356</v>
      </c>
      <c r="M19" s="79">
        <v>59788.85</v>
      </c>
      <c r="N19" s="67"/>
      <c r="O19" s="67">
        <f t="shared" si="0"/>
        <v>59788.85</v>
      </c>
      <c r="P19" s="66"/>
      <c r="Q19" s="67">
        <v>12433.33</v>
      </c>
      <c r="R19" s="67"/>
      <c r="S19" s="68">
        <f t="shared" si="1"/>
        <v>12433.33</v>
      </c>
    </row>
    <row r="20" spans="2:19" x14ac:dyDescent="0.25">
      <c r="G20" s="202"/>
      <c r="H20" s="186" t="s">
        <v>100</v>
      </c>
      <c r="I20" s="187"/>
      <c r="J20" s="187"/>
      <c r="K20" s="187" t="s">
        <v>100</v>
      </c>
      <c r="L20" s="188"/>
      <c r="M20" s="24"/>
      <c r="N20" s="25"/>
      <c r="O20" s="25"/>
      <c r="P20" s="67"/>
      <c r="Q20" s="25"/>
      <c r="R20" s="25"/>
      <c r="S20" s="26"/>
    </row>
    <row r="21" spans="2:19" ht="21.75" customHeight="1" x14ac:dyDescent="0.25">
      <c r="C21" s="93"/>
      <c r="D21" s="93"/>
      <c r="G21" s="123"/>
      <c r="H21" s="123"/>
      <c r="I21" s="116"/>
      <c r="J21" s="116"/>
      <c r="K21" s="116" t="s">
        <v>100</v>
      </c>
      <c r="L21" s="21" t="s">
        <v>38</v>
      </c>
      <c r="M21" s="66">
        <f>SUM(M7:M20)</f>
        <v>489290.06999999995</v>
      </c>
      <c r="N21" s="66">
        <f>SUM(N7:N20)</f>
        <v>0</v>
      </c>
      <c r="O21" s="66">
        <f>SUM(O7:O20)</f>
        <v>489290.06999999995</v>
      </c>
      <c r="P21" s="66"/>
      <c r="Q21" s="66">
        <f>SUM(Q7:Q20)</f>
        <v>40827.090000000004</v>
      </c>
      <c r="R21" s="66">
        <f t="shared" ref="R21:S21" si="4">SUM(R7:R20)</f>
        <v>0</v>
      </c>
      <c r="S21" s="23">
        <f t="shared" si="4"/>
        <v>40827.090000000004</v>
      </c>
    </row>
    <row r="22" spans="2:19" x14ac:dyDescent="0.25">
      <c r="B22" s="3"/>
      <c r="C22" s="93"/>
      <c r="D22" s="93"/>
      <c r="I22" s="116"/>
      <c r="J22" s="116"/>
      <c r="K22" s="116"/>
      <c r="L22" s="21"/>
      <c r="M22" s="66"/>
      <c r="N22" s="66"/>
      <c r="O22" s="66"/>
      <c r="P22" s="66"/>
      <c r="Q22" s="66"/>
      <c r="R22" s="66"/>
      <c r="S22" s="68"/>
    </row>
    <row r="23" spans="2:19" x14ac:dyDescent="0.25">
      <c r="C23" s="93"/>
      <c r="D23" s="93"/>
      <c r="S23" s="27"/>
    </row>
    <row r="24" spans="2:19" x14ac:dyDescent="0.25">
      <c r="B24" s="8" t="s">
        <v>125</v>
      </c>
      <c r="C24" s="92"/>
      <c r="D24" s="92"/>
      <c r="S24" s="27"/>
    </row>
    <row r="25" spans="2:19" ht="35.25" customHeight="1" x14ac:dyDescent="0.25">
      <c r="B25" s="341" t="s">
        <v>126</v>
      </c>
      <c r="C25" s="341"/>
      <c r="D25" s="341"/>
      <c r="E25" s="341"/>
      <c r="F25" s="341"/>
      <c r="S25" s="27"/>
    </row>
    <row r="26" spans="2:19" x14ac:dyDescent="0.25">
      <c r="C26" s="92"/>
      <c r="D26" s="92"/>
      <c r="S26" s="27"/>
    </row>
    <row r="27" spans="2:19" ht="47.25" customHeight="1" x14ac:dyDescent="0.25">
      <c r="B27" s="341" t="s">
        <v>129</v>
      </c>
      <c r="C27" s="341"/>
      <c r="D27" s="341"/>
      <c r="E27" s="341"/>
      <c r="F27" s="341"/>
      <c r="S27" s="27"/>
    </row>
    <row r="28" spans="2:19" x14ac:dyDescent="0.25">
      <c r="B28" s="108"/>
      <c r="C28" s="108"/>
      <c r="D28" s="108"/>
      <c r="E28" s="108"/>
      <c r="S28" s="27"/>
    </row>
    <row r="29" spans="2:19" ht="31.5" customHeight="1" x14ac:dyDescent="0.25">
      <c r="B29" s="341" t="s">
        <v>160</v>
      </c>
      <c r="C29" s="341"/>
      <c r="D29" s="341"/>
      <c r="E29" s="341"/>
      <c r="F29" s="341"/>
      <c r="S29" s="27"/>
    </row>
    <row r="30" spans="2:19" ht="15" customHeight="1" x14ac:dyDescent="0.25">
      <c r="B30" s="347" t="s">
        <v>159</v>
      </c>
      <c r="C30" s="341"/>
      <c r="D30" s="341"/>
      <c r="E30" s="341"/>
      <c r="F30" s="341"/>
      <c r="S30" s="27"/>
    </row>
    <row r="31" spans="2:19" ht="15" customHeight="1" x14ac:dyDescent="0.25">
      <c r="B31" s="195"/>
      <c r="C31" s="195"/>
      <c r="D31" s="195"/>
      <c r="E31" s="195"/>
      <c r="S31" s="27"/>
    </row>
    <row r="32" spans="2:19" x14ac:dyDescent="0.25">
      <c r="B32" s="7" t="s">
        <v>109</v>
      </c>
      <c r="C32" s="101" t="s">
        <v>112</v>
      </c>
      <c r="D32" s="101" t="s">
        <v>113</v>
      </c>
      <c r="E32" s="108"/>
      <c r="S32" s="27"/>
    </row>
    <row r="33" spans="2:20" x14ac:dyDescent="0.25">
      <c r="B33" s="2" t="s">
        <v>110</v>
      </c>
      <c r="C33" s="92" t="s">
        <v>327</v>
      </c>
      <c r="D33" s="92" t="s">
        <v>118</v>
      </c>
      <c r="E33" s="108"/>
      <c r="S33" s="27"/>
    </row>
    <row r="34" spans="2:20" x14ac:dyDescent="0.25">
      <c r="B34" s="103" t="s">
        <v>111</v>
      </c>
      <c r="C34" s="92" t="s">
        <v>300</v>
      </c>
      <c r="D34" s="92" t="s">
        <v>303</v>
      </c>
      <c r="S34" s="27"/>
    </row>
    <row r="35" spans="2:20" x14ac:dyDescent="0.25">
      <c r="B35" s="2" t="s">
        <v>230</v>
      </c>
      <c r="C35" s="92" t="s">
        <v>135</v>
      </c>
      <c r="D35" s="92" t="s">
        <v>147</v>
      </c>
      <c r="S35" s="27"/>
    </row>
    <row r="36" spans="2:20" x14ac:dyDescent="0.25">
      <c r="B36" s="2" t="s">
        <v>240</v>
      </c>
      <c r="C36" s="92" t="s">
        <v>135</v>
      </c>
      <c r="D36" s="92" t="s">
        <v>147</v>
      </c>
      <c r="S36" s="27"/>
    </row>
    <row r="37" spans="2:20" x14ac:dyDescent="0.25">
      <c r="B37" s="2" t="s">
        <v>279</v>
      </c>
      <c r="C37" s="92" t="s">
        <v>135</v>
      </c>
      <c r="D37" s="92" t="s">
        <v>147</v>
      </c>
      <c r="S37" s="27"/>
    </row>
    <row r="38" spans="2:20" x14ac:dyDescent="0.25">
      <c r="B38" s="2" t="s">
        <v>281</v>
      </c>
      <c r="C38" s="92" t="s">
        <v>135</v>
      </c>
      <c r="D38" s="92" t="s">
        <v>147</v>
      </c>
      <c r="S38" s="27"/>
    </row>
    <row r="39" spans="2:20" x14ac:dyDescent="0.25">
      <c r="B39" s="2" t="s">
        <v>286</v>
      </c>
      <c r="C39" s="92" t="s">
        <v>135</v>
      </c>
      <c r="D39" s="92" t="s">
        <v>147</v>
      </c>
      <c r="S39" s="27"/>
    </row>
    <row r="40" spans="2:20" x14ac:dyDescent="0.25">
      <c r="C40" s="92"/>
      <c r="D40" s="92"/>
      <c r="S40" s="27"/>
    </row>
    <row r="41" spans="2:20" x14ac:dyDescent="0.25">
      <c r="B41" s="348" t="s">
        <v>298</v>
      </c>
      <c r="C41" s="336"/>
      <c r="D41" s="336"/>
      <c r="E41" s="336"/>
      <c r="F41" s="336"/>
      <c r="G41" s="336"/>
      <c r="H41" s="336"/>
      <c r="S41" s="27"/>
    </row>
    <row r="42" spans="2:20" x14ac:dyDescent="0.25">
      <c r="B42" s="242" t="s">
        <v>299</v>
      </c>
      <c r="C42" s="92"/>
      <c r="D42" s="92"/>
      <c r="S42" s="27"/>
    </row>
    <row r="43" spans="2:20" x14ac:dyDescent="0.25">
      <c r="B43" s="220"/>
      <c r="C43" s="94"/>
      <c r="D43" s="94"/>
      <c r="E43" s="10"/>
      <c r="F43" s="10"/>
      <c r="G43" s="10"/>
      <c r="H43" s="10"/>
      <c r="I43" s="10"/>
      <c r="J43" s="10"/>
      <c r="K43" s="10"/>
      <c r="L43" s="10"/>
      <c r="M43" s="10"/>
      <c r="N43" s="10"/>
      <c r="O43" s="10"/>
      <c r="P43" s="10"/>
      <c r="Q43" s="10"/>
      <c r="R43" s="10"/>
      <c r="S43" s="28"/>
    </row>
    <row r="44" spans="2:20" ht="15" customHeight="1" x14ac:dyDescent="0.25">
      <c r="C44" s="93"/>
      <c r="D44" s="93"/>
      <c r="Q44" s="59" t="s">
        <v>90</v>
      </c>
      <c r="R44" s="50"/>
      <c r="S44" s="165"/>
    </row>
    <row r="45" spans="2:20" ht="15" customHeight="1" x14ac:dyDescent="0.25">
      <c r="B45" s="17" t="s">
        <v>39</v>
      </c>
      <c r="C45" s="96" t="s">
        <v>2</v>
      </c>
      <c r="D45" s="96"/>
      <c r="E45" s="96" t="s">
        <v>34</v>
      </c>
      <c r="F45" s="96" t="s">
        <v>35</v>
      </c>
      <c r="G45" s="120"/>
      <c r="H45" s="120"/>
      <c r="I45" s="114"/>
      <c r="J45" s="96"/>
      <c r="K45" s="96"/>
      <c r="L45" s="96" t="s">
        <v>36</v>
      </c>
      <c r="M45" s="96" t="s">
        <v>37</v>
      </c>
      <c r="N45" s="47"/>
      <c r="O45" s="47"/>
      <c r="P45" s="47"/>
      <c r="Q45" s="54" t="s">
        <v>88</v>
      </c>
      <c r="R45" s="52"/>
      <c r="S45" s="53"/>
      <c r="T45" s="51"/>
    </row>
    <row r="46" spans="2:20" ht="15" customHeight="1" x14ac:dyDescent="0.25">
      <c r="B46" s="63"/>
      <c r="C46" s="9"/>
      <c r="D46" s="9"/>
      <c r="E46" s="9"/>
      <c r="F46" s="9"/>
      <c r="G46" s="9"/>
      <c r="H46" s="9"/>
      <c r="I46" s="9"/>
      <c r="J46" s="9"/>
      <c r="K46" s="9"/>
      <c r="L46" s="9"/>
      <c r="M46" s="9"/>
      <c r="N46" s="45"/>
      <c r="O46" s="45"/>
      <c r="P46" s="45"/>
      <c r="T46" s="51"/>
    </row>
    <row r="47" spans="2:20" ht="15" customHeight="1" x14ac:dyDescent="0.25">
      <c r="B47" s="63"/>
      <c r="C47" s="148"/>
      <c r="D47" s="148"/>
      <c r="E47" s="148"/>
      <c r="F47" s="148"/>
      <c r="G47" s="148"/>
      <c r="H47" s="148"/>
      <c r="I47" s="148"/>
      <c r="J47" s="148"/>
      <c r="K47" s="148"/>
      <c r="L47" s="148"/>
      <c r="M47" s="148"/>
      <c r="N47" s="45"/>
      <c r="O47" s="45"/>
      <c r="P47" s="45"/>
      <c r="T47" s="51"/>
    </row>
    <row r="48" spans="2:20" ht="15" customHeight="1" x14ac:dyDescent="0.25">
      <c r="B48" s="63"/>
      <c r="C48" s="148"/>
      <c r="D48" s="148"/>
      <c r="E48" s="148"/>
      <c r="F48" s="148"/>
      <c r="G48" s="148"/>
      <c r="H48" s="148"/>
      <c r="I48" s="148"/>
      <c r="J48" s="148"/>
      <c r="K48" s="148"/>
      <c r="L48" s="148"/>
      <c r="M48" s="148"/>
      <c r="N48" s="45"/>
      <c r="O48" s="45"/>
      <c r="P48" s="45"/>
      <c r="T48" s="51"/>
    </row>
    <row r="49" spans="2:20" ht="15" customHeight="1" x14ac:dyDescent="0.25">
      <c r="B49" s="63"/>
      <c r="C49" s="148"/>
      <c r="D49" s="148"/>
      <c r="E49" s="148"/>
      <c r="F49" s="148"/>
      <c r="G49" s="148"/>
      <c r="H49" s="148"/>
      <c r="I49" s="148"/>
      <c r="J49" s="148"/>
      <c r="K49" s="148"/>
      <c r="L49" s="148"/>
      <c r="M49" s="148"/>
      <c r="N49" s="45"/>
      <c r="O49" s="45"/>
      <c r="P49" s="45"/>
      <c r="T49" s="51"/>
    </row>
    <row r="50" spans="2:20" x14ac:dyDescent="0.25">
      <c r="B50" s="63"/>
      <c r="C50" s="9"/>
      <c r="D50" s="9"/>
      <c r="E50" s="9"/>
      <c r="F50" s="9"/>
      <c r="G50" s="9"/>
      <c r="H50" s="9"/>
      <c r="I50" s="9"/>
      <c r="J50" s="9"/>
      <c r="K50" s="9"/>
      <c r="L50" s="9"/>
      <c r="M50" s="9"/>
      <c r="N50" s="45"/>
      <c r="O50" s="45"/>
      <c r="P50" s="45"/>
      <c r="Q50" s="59"/>
      <c r="R50" s="50"/>
      <c r="S50" s="50"/>
      <c r="T50" s="51"/>
    </row>
    <row r="51" spans="2:20" x14ac:dyDescent="0.25">
      <c r="B51" s="11"/>
      <c r="C51" s="9"/>
      <c r="D51" s="9"/>
      <c r="E51" s="9"/>
      <c r="R51" s="51"/>
      <c r="S51" s="51"/>
      <c r="T51" s="51"/>
    </row>
    <row r="52" spans="2:20" x14ac:dyDescent="0.25">
      <c r="B52" s="12"/>
      <c r="C52" s="13"/>
      <c r="D52" s="13"/>
      <c r="E52" s="41"/>
      <c r="F52" s="15"/>
      <c r="G52" s="15"/>
      <c r="H52" s="15"/>
      <c r="I52" s="15"/>
      <c r="J52" s="15"/>
      <c r="K52" s="15"/>
      <c r="L52" s="16"/>
      <c r="M52" s="20"/>
      <c r="N52" s="18"/>
      <c r="O52" s="18"/>
      <c r="P52" s="18"/>
    </row>
    <row r="53" spans="2:20" x14ac:dyDescent="0.25">
      <c r="B53" s="12"/>
      <c r="C53" s="13"/>
      <c r="D53" s="13"/>
      <c r="E53" s="41"/>
      <c r="F53" s="15"/>
      <c r="G53" s="15"/>
      <c r="H53" s="15"/>
      <c r="I53" s="15"/>
      <c r="J53" s="15"/>
      <c r="K53" s="15"/>
      <c r="L53" s="16"/>
      <c r="M53" s="20"/>
      <c r="N53" s="18"/>
      <c r="O53" s="18"/>
      <c r="P53" s="18"/>
    </row>
    <row r="54" spans="2:20" x14ac:dyDescent="0.25">
      <c r="B54" s="12"/>
      <c r="C54" s="13"/>
      <c r="D54" s="13"/>
      <c r="E54" s="41"/>
      <c r="F54" s="15"/>
      <c r="G54" s="15"/>
      <c r="H54" s="15"/>
      <c r="I54" s="15"/>
      <c r="J54" s="15"/>
      <c r="K54" s="15"/>
      <c r="L54" s="16"/>
      <c r="M54" s="20"/>
      <c r="N54" s="18"/>
      <c r="O54" s="18"/>
      <c r="P54" s="18"/>
    </row>
    <row r="55" spans="2:20" x14ac:dyDescent="0.25">
      <c r="Q55" s="309" t="s">
        <v>316</v>
      </c>
      <c r="R55" s="309"/>
      <c r="S55" s="312">
        <f>S21</f>
        <v>40827.090000000004</v>
      </c>
    </row>
  </sheetData>
  <mergeCells count="7">
    <mergeCell ref="B41:H41"/>
    <mergeCell ref="B30:F30"/>
    <mergeCell ref="Q1:S1"/>
    <mergeCell ref="Q2:S2"/>
    <mergeCell ref="B29:F29"/>
    <mergeCell ref="B25:F25"/>
    <mergeCell ref="B27:F27"/>
  </mergeCells>
  <hyperlinks>
    <hyperlink ref="B30" r:id="rId1"/>
  </hyperlinks>
  <printOptions horizontalCentered="1" gridLines="1"/>
  <pageMargins left="0" right="0" top="0.75" bottom="0.75" header="0.3" footer="0.3"/>
  <pageSetup scale="54" orientation="landscape" horizontalDpi="1200" verticalDpi="1200"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5"/>
  <sheetViews>
    <sheetView topLeftCell="B5" zoomScale="90" zoomScaleNormal="90" workbookViewId="0">
      <selection activeCell="R9" sqref="R9"/>
    </sheetView>
  </sheetViews>
  <sheetFormatPr defaultColWidth="9.140625" defaultRowHeight="15" x14ac:dyDescent="0.25"/>
  <cols>
    <col min="1" max="1" width="5.28515625" style="2" hidden="1" customWidth="1"/>
    <col min="2" max="2" width="59" style="2" customWidth="1"/>
    <col min="3" max="3" width="26.140625" style="2" customWidth="1"/>
    <col min="4" max="4" width="14.85546875" style="2" customWidth="1"/>
    <col min="5" max="5" width="18" style="2" customWidth="1"/>
    <col min="6" max="6" width="21.7109375" style="2" customWidth="1"/>
    <col min="7" max="7" width="10.28515625" style="2" customWidth="1"/>
    <col min="8" max="8" width="12.85546875" style="2" customWidth="1"/>
    <col min="9" max="9" width="13.42578125" style="2" customWidth="1"/>
    <col min="10" max="10" width="15.7109375" style="2" customWidth="1"/>
    <col min="11" max="11" width="8.85546875" style="2" customWidth="1"/>
    <col min="12" max="12" width="18.42578125" style="2" customWidth="1"/>
    <col min="13" max="13" width="13.28515625" style="2" bestFit="1" customWidth="1"/>
    <col min="14" max="14" width="13.7109375" style="2" customWidth="1"/>
    <col min="15" max="15" width="14.42578125" style="2" customWidth="1"/>
    <col min="16" max="16" width="3.140625" style="2" customWidth="1"/>
    <col min="17" max="17" width="13.85546875" style="2" customWidth="1"/>
    <col min="18" max="18" width="14.140625" style="2" customWidth="1"/>
    <col min="19" max="19" width="16.7109375" style="2" customWidth="1"/>
    <col min="20" max="16384" width="9.140625" style="2"/>
  </cols>
  <sheetData>
    <row r="1" spans="1:20" ht="18" customHeight="1" x14ac:dyDescent="0.25">
      <c r="B1" s="8" t="s">
        <v>189</v>
      </c>
      <c r="Q1" s="338" t="s">
        <v>296</v>
      </c>
      <c r="R1" s="338"/>
      <c r="S1" s="338"/>
    </row>
    <row r="2" spans="1:20" ht="18" customHeight="1" x14ac:dyDescent="0.25">
      <c r="B2" s="88" t="s">
        <v>148</v>
      </c>
      <c r="C2" s="182">
        <v>44742</v>
      </c>
      <c r="M2" s="71"/>
      <c r="N2" s="71"/>
      <c r="P2" s="29"/>
      <c r="Q2" s="337" t="s">
        <v>375</v>
      </c>
      <c r="R2" s="337"/>
      <c r="S2" s="337"/>
    </row>
    <row r="3" spans="1:20" ht="18" customHeight="1" thickBot="1" x14ac:dyDescent="0.3">
      <c r="A3" s="2" t="s">
        <v>16</v>
      </c>
      <c r="B3" s="44" t="s">
        <v>142</v>
      </c>
      <c r="C3" s="8"/>
      <c r="D3" s="8"/>
      <c r="E3" s="8"/>
      <c r="P3" s="29"/>
      <c r="Q3" s="45"/>
      <c r="R3" s="30"/>
    </row>
    <row r="4" spans="1:20" ht="18.75" customHeight="1" x14ac:dyDescent="0.25">
      <c r="B4" s="8" t="s">
        <v>174</v>
      </c>
      <c r="M4" s="85" t="s">
        <v>28</v>
      </c>
      <c r="N4" s="85" t="s">
        <v>28</v>
      </c>
      <c r="O4" s="85" t="s">
        <v>28</v>
      </c>
      <c r="P4" s="148"/>
      <c r="Q4" s="89" t="s">
        <v>29</v>
      </c>
      <c r="R4" s="89" t="s">
        <v>31</v>
      </c>
      <c r="S4" s="89" t="s">
        <v>23</v>
      </c>
      <c r="T4" s="7"/>
    </row>
    <row r="5" spans="1:20" ht="15.75" thickBot="1" x14ac:dyDescent="0.3">
      <c r="G5" s="183" t="s">
        <v>295</v>
      </c>
      <c r="H5" s="183" t="s">
        <v>295</v>
      </c>
      <c r="M5" s="86" t="s">
        <v>27</v>
      </c>
      <c r="N5" s="86" t="s">
        <v>26</v>
      </c>
      <c r="O5" s="86" t="s">
        <v>25</v>
      </c>
      <c r="P5" s="148"/>
      <c r="Q5" s="90" t="s">
        <v>30</v>
      </c>
      <c r="R5" s="90" t="s">
        <v>30</v>
      </c>
      <c r="S5" s="90" t="s">
        <v>30</v>
      </c>
      <c r="T5" s="7"/>
    </row>
    <row r="6" spans="1:20" ht="85.5" customHeight="1" thickBot="1" x14ac:dyDescent="0.3">
      <c r="B6" s="84" t="s">
        <v>1</v>
      </c>
      <c r="C6" s="84" t="s">
        <v>389</v>
      </c>
      <c r="D6" s="84" t="s">
        <v>107</v>
      </c>
      <c r="E6" s="84" t="s">
        <v>3</v>
      </c>
      <c r="F6" s="84" t="s">
        <v>4</v>
      </c>
      <c r="G6" s="107" t="s">
        <v>136</v>
      </c>
      <c r="H6" s="107" t="s">
        <v>137</v>
      </c>
      <c r="I6" s="107" t="s">
        <v>133</v>
      </c>
      <c r="J6" s="107" t="s">
        <v>134</v>
      </c>
      <c r="K6" s="107" t="s">
        <v>121</v>
      </c>
      <c r="L6" s="83" t="s">
        <v>5</v>
      </c>
      <c r="M6" s="87" t="s">
        <v>6</v>
      </c>
      <c r="N6" s="87" t="s">
        <v>6</v>
      </c>
      <c r="O6" s="87" t="s">
        <v>6</v>
      </c>
      <c r="P6" s="148"/>
      <c r="Q6" s="91"/>
      <c r="R6" s="97" t="s">
        <v>32</v>
      </c>
      <c r="S6" s="98" t="s">
        <v>33</v>
      </c>
    </row>
    <row r="7" spans="1:20" ht="25.5" customHeight="1" x14ac:dyDescent="0.25">
      <c r="B7" s="2" t="s">
        <v>8</v>
      </c>
      <c r="C7" s="92" t="s">
        <v>106</v>
      </c>
      <c r="D7" s="92" t="s">
        <v>306</v>
      </c>
      <c r="E7" s="2" t="s">
        <v>307</v>
      </c>
      <c r="F7" s="2" t="s">
        <v>7</v>
      </c>
      <c r="G7" s="186">
        <v>2.63E-2</v>
      </c>
      <c r="H7" s="186">
        <v>0.1845</v>
      </c>
      <c r="I7" s="187">
        <v>44742</v>
      </c>
      <c r="J7" s="187">
        <v>44743</v>
      </c>
      <c r="K7" s="187">
        <v>44378</v>
      </c>
      <c r="L7" s="188" t="s">
        <v>297</v>
      </c>
      <c r="M7" s="78">
        <v>104760.5</v>
      </c>
      <c r="N7" s="67"/>
      <c r="O7" s="67">
        <f>M7+N7</f>
        <v>104760.5</v>
      </c>
      <c r="P7" s="67"/>
      <c r="Q7" s="67">
        <f>25428+70797.6</f>
        <v>96225.600000000006</v>
      </c>
      <c r="R7" s="67"/>
      <c r="S7" s="68">
        <f>+Q7</f>
        <v>96225.600000000006</v>
      </c>
    </row>
    <row r="8" spans="1:20" ht="32.25" customHeight="1" x14ac:dyDescent="0.25">
      <c r="B8" s="2" t="s">
        <v>312</v>
      </c>
      <c r="C8" s="110" t="s">
        <v>188</v>
      </c>
      <c r="D8" s="92" t="s">
        <v>311</v>
      </c>
      <c r="E8" s="2" t="s">
        <v>313</v>
      </c>
      <c r="F8" s="2" t="s">
        <v>7</v>
      </c>
      <c r="G8" s="186">
        <v>2.63E-2</v>
      </c>
      <c r="H8" s="186">
        <v>0.1845</v>
      </c>
      <c r="I8" s="187">
        <v>44742</v>
      </c>
      <c r="J8" s="187">
        <v>44743</v>
      </c>
      <c r="K8" s="187">
        <v>44378</v>
      </c>
      <c r="L8" s="188" t="s">
        <v>297</v>
      </c>
      <c r="M8" s="70">
        <v>3000</v>
      </c>
      <c r="N8" s="70"/>
      <c r="O8" s="67">
        <f>M8+N8</f>
        <v>3000</v>
      </c>
      <c r="P8" s="67"/>
      <c r="Q8" s="67">
        <v>3000</v>
      </c>
      <c r="R8" s="67"/>
      <c r="S8" s="68">
        <f>+Q8</f>
        <v>3000</v>
      </c>
    </row>
    <row r="9" spans="1:20" ht="35.25" customHeight="1" x14ac:dyDescent="0.25">
      <c r="B9" s="200" t="s">
        <v>128</v>
      </c>
      <c r="C9" s="225" t="s">
        <v>122</v>
      </c>
      <c r="D9" s="93" t="s">
        <v>310</v>
      </c>
      <c r="E9" s="2" t="s">
        <v>309</v>
      </c>
      <c r="F9" s="2" t="s">
        <v>7</v>
      </c>
      <c r="G9" s="186">
        <v>2.63E-2</v>
      </c>
      <c r="H9" s="186">
        <v>0.1845</v>
      </c>
      <c r="I9" s="187">
        <v>44742</v>
      </c>
      <c r="J9" s="187">
        <v>44743</v>
      </c>
      <c r="K9" s="187">
        <v>44378</v>
      </c>
      <c r="L9" s="204" t="s">
        <v>297</v>
      </c>
      <c r="M9" s="78">
        <v>15620</v>
      </c>
      <c r="N9" s="67"/>
      <c r="O9" s="67">
        <f>M9+N9</f>
        <v>15620</v>
      </c>
      <c r="P9" s="67"/>
      <c r="Q9" s="67">
        <v>15620</v>
      </c>
      <c r="R9" s="67"/>
      <c r="S9" s="68">
        <f>Q9+R9</f>
        <v>15620</v>
      </c>
    </row>
    <row r="10" spans="1:20" ht="35.25" customHeight="1" x14ac:dyDescent="0.25">
      <c r="B10" s="2" t="s">
        <v>223</v>
      </c>
      <c r="C10" s="236" t="s">
        <v>333</v>
      </c>
      <c r="D10" s="93" t="s">
        <v>224</v>
      </c>
      <c r="E10" s="2" t="s">
        <v>225</v>
      </c>
      <c r="F10" s="2" t="s">
        <v>7</v>
      </c>
      <c r="G10" s="186">
        <v>2.63E-2</v>
      </c>
      <c r="H10" s="186">
        <v>0.1845</v>
      </c>
      <c r="I10" s="187">
        <v>44834</v>
      </c>
      <c r="J10" s="187">
        <v>44849</v>
      </c>
      <c r="K10" s="187">
        <v>43614</v>
      </c>
      <c r="L10" s="188" t="s">
        <v>274</v>
      </c>
      <c r="M10" s="78">
        <v>44097.73</v>
      </c>
      <c r="N10" s="67"/>
      <c r="O10" s="67">
        <f>M10+N10</f>
        <v>44097.73</v>
      </c>
      <c r="P10" s="67"/>
      <c r="Q10" s="67">
        <v>43459.73</v>
      </c>
      <c r="R10" s="67"/>
      <c r="S10" s="68">
        <f>Q10+R10</f>
        <v>43459.73</v>
      </c>
    </row>
    <row r="11" spans="1:20" ht="35.25" customHeight="1" x14ac:dyDescent="0.25">
      <c r="B11" s="2" t="s">
        <v>279</v>
      </c>
      <c r="C11" s="236" t="s">
        <v>333</v>
      </c>
      <c r="D11" s="93" t="s">
        <v>224</v>
      </c>
      <c r="E11" s="2" t="s">
        <v>280</v>
      </c>
      <c r="F11" s="2" t="s">
        <v>7</v>
      </c>
      <c r="G11" s="186">
        <v>2.63E-2</v>
      </c>
      <c r="H11" s="186">
        <v>0.1845</v>
      </c>
      <c r="I11" s="187">
        <v>44592</v>
      </c>
      <c r="J11" s="187">
        <v>44592</v>
      </c>
      <c r="K11" s="187">
        <v>43980</v>
      </c>
      <c r="L11" s="188" t="s">
        <v>332</v>
      </c>
      <c r="M11" s="79">
        <v>3000</v>
      </c>
      <c r="N11" s="67"/>
      <c r="O11" s="67">
        <f t="shared" ref="O11:O20" si="0">M11+N11</f>
        <v>3000</v>
      </c>
      <c r="P11" s="66"/>
      <c r="Q11" s="67">
        <v>3000</v>
      </c>
      <c r="R11" s="67"/>
      <c r="S11" s="68">
        <f t="shared" ref="S11:S19" si="1">Q11+R11</f>
        <v>3000</v>
      </c>
    </row>
    <row r="12" spans="1:20" ht="35.25" customHeight="1" x14ac:dyDescent="0.25">
      <c r="B12" s="2" t="s">
        <v>281</v>
      </c>
      <c r="C12" s="236" t="s">
        <v>334</v>
      </c>
      <c r="D12" s="93" t="s">
        <v>231</v>
      </c>
      <c r="E12" s="2" t="s">
        <v>282</v>
      </c>
      <c r="F12" s="2" t="s">
        <v>7</v>
      </c>
      <c r="G12" s="186">
        <v>2.63E-2</v>
      </c>
      <c r="H12" s="186">
        <v>0.1845</v>
      </c>
      <c r="I12" s="187">
        <v>44742</v>
      </c>
      <c r="J12" s="187">
        <v>44757</v>
      </c>
      <c r="K12" s="187">
        <v>43979</v>
      </c>
      <c r="L12" s="188" t="s">
        <v>283</v>
      </c>
      <c r="M12" s="79">
        <v>1027</v>
      </c>
      <c r="N12" s="67"/>
      <c r="O12" s="67">
        <f t="shared" si="0"/>
        <v>1027</v>
      </c>
      <c r="P12" s="66"/>
      <c r="Q12" s="67"/>
      <c r="R12" s="67"/>
      <c r="S12" s="68">
        <f t="shared" si="1"/>
        <v>0</v>
      </c>
    </row>
    <row r="13" spans="1:20" ht="35.25" customHeight="1" x14ac:dyDescent="0.25">
      <c r="B13" s="2" t="s">
        <v>321</v>
      </c>
      <c r="C13" s="236" t="s">
        <v>333</v>
      </c>
      <c r="D13" s="93" t="s">
        <v>288</v>
      </c>
      <c r="E13" s="2" t="s">
        <v>322</v>
      </c>
      <c r="F13" s="2" t="s">
        <v>7</v>
      </c>
      <c r="G13" s="186">
        <f>G12:H12</f>
        <v>2.63E-2</v>
      </c>
      <c r="H13" s="186">
        <f>H12</f>
        <v>0.1845</v>
      </c>
      <c r="I13" s="187">
        <v>45199</v>
      </c>
      <c r="J13" s="187">
        <v>45214</v>
      </c>
      <c r="K13" s="187">
        <v>44201</v>
      </c>
      <c r="L13" s="188" t="s">
        <v>323</v>
      </c>
      <c r="M13" s="79">
        <v>46766.22</v>
      </c>
      <c r="N13" s="67"/>
      <c r="O13" s="67">
        <f t="shared" si="0"/>
        <v>46766.22</v>
      </c>
      <c r="P13" s="66"/>
      <c r="Q13" s="67">
        <v>40233.29</v>
      </c>
      <c r="R13" s="67"/>
      <c r="S13" s="68">
        <f t="shared" si="1"/>
        <v>40233.29</v>
      </c>
    </row>
    <row r="14" spans="1:20" ht="35.25" customHeight="1" x14ac:dyDescent="0.25">
      <c r="B14" s="2" t="s">
        <v>324</v>
      </c>
      <c r="C14" s="236" t="s">
        <v>333</v>
      </c>
      <c r="D14" s="93" t="s">
        <v>288</v>
      </c>
      <c r="E14" s="2" t="s">
        <v>329</v>
      </c>
      <c r="F14" s="2" t="s">
        <v>7</v>
      </c>
      <c r="G14" s="186">
        <f>G13:H13</f>
        <v>2.63E-2</v>
      </c>
      <c r="H14" s="186">
        <f>H13</f>
        <v>0.1845</v>
      </c>
      <c r="I14" s="187">
        <v>45199</v>
      </c>
      <c r="J14" s="187">
        <v>45214</v>
      </c>
      <c r="K14" s="187">
        <v>44201</v>
      </c>
      <c r="L14" s="188" t="s">
        <v>325</v>
      </c>
      <c r="M14" s="79">
        <v>5822</v>
      </c>
      <c r="N14" s="67"/>
      <c r="O14" s="67">
        <f t="shared" si="0"/>
        <v>5822</v>
      </c>
      <c r="P14" s="66"/>
      <c r="Q14" s="67"/>
      <c r="R14" s="67"/>
      <c r="S14" s="68">
        <f t="shared" si="1"/>
        <v>0</v>
      </c>
    </row>
    <row r="15" spans="1:20" ht="35.25" customHeight="1" x14ac:dyDescent="0.25">
      <c r="B15" s="2" t="s">
        <v>326</v>
      </c>
      <c r="C15" s="236" t="s">
        <v>333</v>
      </c>
      <c r="D15" s="93" t="s">
        <v>288</v>
      </c>
      <c r="E15" s="2" t="s">
        <v>330</v>
      </c>
      <c r="F15" s="2" t="s">
        <v>7</v>
      </c>
      <c r="G15" s="186">
        <f>G14:H14</f>
        <v>2.63E-2</v>
      </c>
      <c r="H15" s="186">
        <f>H14</f>
        <v>0.1845</v>
      </c>
      <c r="I15" s="187">
        <v>45199</v>
      </c>
      <c r="J15" s="187">
        <v>45214</v>
      </c>
      <c r="K15" s="187">
        <v>44201</v>
      </c>
      <c r="L15" s="188" t="s">
        <v>323</v>
      </c>
      <c r="M15" s="79">
        <v>12276.13</v>
      </c>
      <c r="N15" s="67"/>
      <c r="O15" s="67">
        <f t="shared" si="0"/>
        <v>12276.13</v>
      </c>
      <c r="P15" s="66"/>
      <c r="Q15" s="67">
        <v>10080</v>
      </c>
      <c r="R15" s="67"/>
      <c r="S15" s="68">
        <f t="shared" si="1"/>
        <v>10080</v>
      </c>
    </row>
    <row r="16" spans="1:20" ht="35.25" customHeight="1" x14ac:dyDescent="0.25">
      <c r="B16" s="2" t="s">
        <v>370</v>
      </c>
      <c r="C16" s="236" t="s">
        <v>333</v>
      </c>
      <c r="D16" s="93" t="s">
        <v>288</v>
      </c>
      <c r="E16" s="2" t="s">
        <v>331</v>
      </c>
      <c r="F16" s="2" t="s">
        <v>7</v>
      </c>
      <c r="G16" s="186">
        <f t="shared" ref="G16" si="2">G15:H15</f>
        <v>2.63E-2</v>
      </c>
      <c r="H16" s="186">
        <f t="shared" ref="H16" si="3">H15</f>
        <v>0.1845</v>
      </c>
      <c r="I16" s="187">
        <v>45199</v>
      </c>
      <c r="J16" s="187">
        <v>45214</v>
      </c>
      <c r="K16" s="187">
        <v>44201</v>
      </c>
      <c r="L16" s="188" t="s">
        <v>325</v>
      </c>
      <c r="M16" s="79">
        <v>58107.03</v>
      </c>
      <c r="N16" s="67"/>
      <c r="O16" s="67">
        <f t="shared" si="0"/>
        <v>58107.03</v>
      </c>
      <c r="P16" s="66"/>
      <c r="Q16" s="67"/>
      <c r="R16" s="67"/>
      <c r="S16" s="68">
        <f t="shared" si="1"/>
        <v>0</v>
      </c>
    </row>
    <row r="17" spans="2:19" ht="35.25" customHeight="1" x14ac:dyDescent="0.25">
      <c r="B17" s="2" t="s">
        <v>287</v>
      </c>
      <c r="C17" s="236" t="s">
        <v>333</v>
      </c>
      <c r="D17" s="93" t="s">
        <v>288</v>
      </c>
      <c r="E17" s="2" t="s">
        <v>289</v>
      </c>
      <c r="F17" s="2" t="s">
        <v>7</v>
      </c>
      <c r="G17" s="186">
        <v>2.63E-2</v>
      </c>
      <c r="H17" s="186">
        <v>0.1845</v>
      </c>
      <c r="I17" s="187">
        <v>45199</v>
      </c>
      <c r="J17" s="187">
        <v>45199</v>
      </c>
      <c r="K17" s="187">
        <v>44201</v>
      </c>
      <c r="L17" s="188" t="s">
        <v>320</v>
      </c>
      <c r="M17" s="79">
        <v>107562.31</v>
      </c>
      <c r="N17" s="67"/>
      <c r="O17" s="67">
        <f t="shared" si="0"/>
        <v>107562.31</v>
      </c>
      <c r="P17" s="66"/>
      <c r="Q17" s="67">
        <v>107562.31</v>
      </c>
      <c r="R17" s="67"/>
      <c r="S17" s="68">
        <f t="shared" si="1"/>
        <v>107562.31</v>
      </c>
    </row>
    <row r="18" spans="2:19" ht="35.25" customHeight="1" x14ac:dyDescent="0.25">
      <c r="B18" s="2" t="s">
        <v>352</v>
      </c>
      <c r="C18" s="236" t="s">
        <v>353</v>
      </c>
      <c r="D18" s="93" t="s">
        <v>354</v>
      </c>
      <c r="E18" s="2" t="s">
        <v>355</v>
      </c>
      <c r="F18" s="2" t="s">
        <v>7</v>
      </c>
      <c r="G18" s="186">
        <v>2.63E-2</v>
      </c>
      <c r="H18" s="186">
        <v>0.1845</v>
      </c>
      <c r="I18" s="187">
        <v>45565</v>
      </c>
      <c r="J18" s="187">
        <v>45580</v>
      </c>
      <c r="K18" s="187">
        <v>44279</v>
      </c>
      <c r="L18" s="188" t="s">
        <v>356</v>
      </c>
      <c r="M18" s="79">
        <v>420554.07</v>
      </c>
      <c r="N18" s="67"/>
      <c r="O18" s="67">
        <f t="shared" si="0"/>
        <v>420554.07</v>
      </c>
      <c r="P18" s="66"/>
      <c r="Q18" s="67"/>
      <c r="R18" s="67"/>
      <c r="S18" s="68">
        <f t="shared" si="1"/>
        <v>0</v>
      </c>
    </row>
    <row r="19" spans="2:19" ht="35.25" customHeight="1" x14ac:dyDescent="0.25">
      <c r="B19" s="2" t="s">
        <v>357</v>
      </c>
      <c r="C19" s="236" t="s">
        <v>353</v>
      </c>
      <c r="D19" s="93" t="s">
        <v>354</v>
      </c>
      <c r="E19" s="2" t="s">
        <v>358</v>
      </c>
      <c r="F19" s="2" t="s">
        <v>7</v>
      </c>
      <c r="G19" s="186">
        <v>2.63E-2</v>
      </c>
      <c r="H19" s="186">
        <v>0.1845</v>
      </c>
      <c r="I19" s="187">
        <v>45565</v>
      </c>
      <c r="J19" s="187">
        <v>45580</v>
      </c>
      <c r="K19" s="187">
        <v>44279</v>
      </c>
      <c r="L19" s="188" t="s">
        <v>356</v>
      </c>
      <c r="M19" s="79">
        <v>105138.52</v>
      </c>
      <c r="N19" s="67"/>
      <c r="O19" s="67">
        <f t="shared" si="0"/>
        <v>105138.52</v>
      </c>
      <c r="P19" s="66"/>
      <c r="Q19" s="67"/>
      <c r="R19" s="67"/>
      <c r="S19" s="68">
        <f t="shared" si="1"/>
        <v>0</v>
      </c>
    </row>
    <row r="20" spans="2:19" ht="35.25" customHeight="1" x14ac:dyDescent="0.25">
      <c r="B20" s="2" t="s">
        <v>363</v>
      </c>
      <c r="C20" s="236" t="s">
        <v>333</v>
      </c>
      <c r="D20" s="93" t="s">
        <v>288</v>
      </c>
      <c r="E20" s="2" t="s">
        <v>364</v>
      </c>
      <c r="F20" s="2" t="s">
        <v>7</v>
      </c>
      <c r="G20" s="186">
        <v>2.63E-2</v>
      </c>
      <c r="H20" s="186">
        <v>0.1845</v>
      </c>
      <c r="I20" s="187">
        <v>45199</v>
      </c>
      <c r="J20" s="187">
        <v>45214</v>
      </c>
      <c r="K20" s="187">
        <v>44201</v>
      </c>
      <c r="L20" s="188" t="s">
        <v>365</v>
      </c>
      <c r="M20" s="79">
        <v>989.86</v>
      </c>
      <c r="N20" s="67"/>
      <c r="O20" s="67">
        <f t="shared" si="0"/>
        <v>989.86</v>
      </c>
      <c r="P20" s="66"/>
      <c r="Q20" s="67"/>
      <c r="R20" s="67"/>
      <c r="S20" s="68"/>
    </row>
    <row r="21" spans="2:19" ht="15" customHeight="1" x14ac:dyDescent="0.25">
      <c r="B21" s="194"/>
      <c r="C21" s="236"/>
      <c r="D21" s="93"/>
      <c r="G21" s="124"/>
      <c r="H21" s="124"/>
      <c r="I21" s="116"/>
      <c r="J21" s="116"/>
      <c r="K21" s="116"/>
      <c r="L21" s="93"/>
      <c r="M21" s="24"/>
      <c r="N21" s="25"/>
      <c r="O21" s="25"/>
      <c r="P21" s="67"/>
      <c r="Q21" s="25"/>
      <c r="R21" s="25"/>
      <c r="S21" s="26"/>
    </row>
    <row r="22" spans="2:19" ht="24.75" customHeight="1" x14ac:dyDescent="0.25">
      <c r="C22" s="93"/>
      <c r="D22" s="93"/>
      <c r="G22" s="123"/>
      <c r="H22" s="123"/>
      <c r="I22" s="116"/>
      <c r="J22" s="116"/>
      <c r="K22" s="116" t="s">
        <v>100</v>
      </c>
      <c r="L22" s="21" t="s">
        <v>38</v>
      </c>
      <c r="M22" s="66">
        <f>SUM(M7:M21)</f>
        <v>928721.37</v>
      </c>
      <c r="N22" s="66">
        <f>SUM(N7:N21)</f>
        <v>0</v>
      </c>
      <c r="O22" s="66">
        <f>SUM(O7:O21)</f>
        <v>928721.37</v>
      </c>
      <c r="P22" s="66"/>
      <c r="Q22" s="66">
        <f>SUM(Q7:Q21)</f>
        <v>319180.93000000005</v>
      </c>
      <c r="R22" s="66">
        <f>SUM(R7:R21)</f>
        <v>0</v>
      </c>
      <c r="S22" s="23">
        <f>SUM(S7:S21)</f>
        <v>319180.93000000005</v>
      </c>
    </row>
    <row r="23" spans="2:19" x14ac:dyDescent="0.25">
      <c r="C23" s="93"/>
      <c r="D23" s="93"/>
      <c r="G23" s="123"/>
      <c r="H23" s="123"/>
      <c r="I23" s="116"/>
      <c r="J23" s="116"/>
      <c r="K23" s="116"/>
      <c r="L23" s="21"/>
      <c r="M23" s="66"/>
      <c r="N23" s="66"/>
      <c r="O23" s="66"/>
      <c r="P23" s="66"/>
      <c r="Q23" s="66"/>
      <c r="R23" s="66"/>
      <c r="S23" s="68"/>
    </row>
    <row r="24" spans="2:19" x14ac:dyDescent="0.25">
      <c r="B24" s="3"/>
      <c r="C24" s="93"/>
      <c r="D24" s="93"/>
      <c r="I24" s="116"/>
      <c r="J24" s="116"/>
      <c r="K24" s="116"/>
      <c r="L24" s="21"/>
      <c r="M24" s="66"/>
      <c r="N24" s="66"/>
      <c r="O24" s="66"/>
      <c r="P24" s="66"/>
      <c r="Q24" s="66"/>
      <c r="R24" s="66"/>
      <c r="S24" s="68"/>
    </row>
    <row r="25" spans="2:19" x14ac:dyDescent="0.25">
      <c r="B25" s="8" t="s">
        <v>125</v>
      </c>
      <c r="C25" s="92"/>
      <c r="D25" s="92"/>
      <c r="S25" s="27"/>
    </row>
    <row r="26" spans="2:19" ht="36" customHeight="1" x14ac:dyDescent="0.25">
      <c r="B26" s="341" t="s">
        <v>126</v>
      </c>
      <c r="C26" s="341"/>
      <c r="D26" s="341"/>
      <c r="E26" s="341"/>
      <c r="F26" s="341"/>
      <c r="S26" s="27"/>
    </row>
    <row r="27" spans="2:19" x14ac:dyDescent="0.25">
      <c r="C27" s="92"/>
      <c r="D27" s="92"/>
      <c r="S27" s="27"/>
    </row>
    <row r="28" spans="2:19" ht="50.25" customHeight="1" x14ac:dyDescent="0.25">
      <c r="B28" s="341" t="s">
        <v>129</v>
      </c>
      <c r="C28" s="341"/>
      <c r="D28" s="341"/>
      <c r="E28" s="341"/>
      <c r="F28" s="341"/>
      <c r="S28" s="27"/>
    </row>
    <row r="29" spans="2:19" x14ac:dyDescent="0.25">
      <c r="B29" s="193"/>
      <c r="C29" s="193"/>
      <c r="D29" s="193"/>
      <c r="E29" s="193"/>
      <c r="F29" s="193"/>
      <c r="S29" s="27"/>
    </row>
    <row r="30" spans="2:19" ht="34.5" customHeight="1" x14ac:dyDescent="0.25">
      <c r="B30" s="341" t="s">
        <v>160</v>
      </c>
      <c r="C30" s="341"/>
      <c r="D30" s="341"/>
      <c r="E30" s="341"/>
      <c r="F30" s="341"/>
      <c r="S30" s="27"/>
    </row>
    <row r="31" spans="2:19" ht="15" customHeight="1" x14ac:dyDescent="0.25">
      <c r="B31" s="347" t="s">
        <v>159</v>
      </c>
      <c r="C31" s="341"/>
      <c r="D31" s="341"/>
      <c r="E31" s="341"/>
      <c r="F31" s="341"/>
      <c r="S31" s="27"/>
    </row>
    <row r="32" spans="2:19" ht="15" customHeight="1" x14ac:dyDescent="0.25">
      <c r="B32" s="195"/>
      <c r="C32" s="195"/>
      <c r="D32" s="195"/>
      <c r="E32" s="195"/>
      <c r="S32" s="27"/>
    </row>
    <row r="33" spans="2:20" x14ac:dyDescent="0.25">
      <c r="B33" s="176"/>
      <c r="C33" s="176"/>
      <c r="D33" s="176"/>
      <c r="E33" s="176"/>
      <c r="S33" s="27"/>
    </row>
    <row r="34" spans="2:20" x14ac:dyDescent="0.25">
      <c r="B34" s="7" t="s">
        <v>109</v>
      </c>
      <c r="C34" s="101" t="s">
        <v>112</v>
      </c>
      <c r="D34" s="101" t="s">
        <v>113</v>
      </c>
      <c r="E34" s="176"/>
      <c r="S34" s="27"/>
    </row>
    <row r="35" spans="2:20" x14ac:dyDescent="0.25">
      <c r="B35" s="2" t="s">
        <v>110</v>
      </c>
      <c r="C35" s="92" t="s">
        <v>327</v>
      </c>
      <c r="D35" s="92" t="s">
        <v>118</v>
      </c>
      <c r="E35" s="176"/>
      <c r="S35" s="27"/>
    </row>
    <row r="36" spans="2:20" ht="15" customHeight="1" x14ac:dyDescent="0.25">
      <c r="B36" s="257" t="s">
        <v>111</v>
      </c>
      <c r="C36" s="92" t="s">
        <v>300</v>
      </c>
      <c r="D36" s="92" t="s">
        <v>303</v>
      </c>
      <c r="S36" s="27"/>
    </row>
    <row r="37" spans="2:20" ht="15" customHeight="1" x14ac:dyDescent="0.25">
      <c r="B37" s="2" t="s">
        <v>230</v>
      </c>
      <c r="C37" s="92" t="s">
        <v>135</v>
      </c>
      <c r="D37" s="92" t="s">
        <v>147</v>
      </c>
      <c r="S37" s="27"/>
    </row>
    <row r="38" spans="2:20" ht="15" customHeight="1" x14ac:dyDescent="0.25">
      <c r="B38" s="2" t="s">
        <v>279</v>
      </c>
      <c r="C38" s="92" t="s">
        <v>135</v>
      </c>
      <c r="D38" s="92" t="s">
        <v>147</v>
      </c>
      <c r="S38" s="27"/>
    </row>
    <row r="39" spans="2:20" ht="15" customHeight="1" x14ac:dyDescent="0.25">
      <c r="B39" s="2" t="s">
        <v>281</v>
      </c>
      <c r="C39" s="92" t="s">
        <v>135</v>
      </c>
      <c r="D39" s="92" t="s">
        <v>147</v>
      </c>
      <c r="S39" s="27"/>
    </row>
    <row r="40" spans="2:20" ht="15" customHeight="1" x14ac:dyDescent="0.25">
      <c r="B40" s="2" t="s">
        <v>286</v>
      </c>
      <c r="C40" s="92" t="s">
        <v>135</v>
      </c>
      <c r="D40" s="92" t="s">
        <v>147</v>
      </c>
      <c r="S40" s="27"/>
    </row>
    <row r="41" spans="2:20" ht="15" customHeight="1" x14ac:dyDescent="0.25">
      <c r="C41" s="92"/>
      <c r="D41" s="92"/>
      <c r="S41" s="27"/>
    </row>
    <row r="42" spans="2:20" ht="15" customHeight="1" x14ac:dyDescent="0.25">
      <c r="B42" s="348" t="s">
        <v>298</v>
      </c>
      <c r="C42" s="336"/>
      <c r="D42" s="336"/>
      <c r="E42" s="336"/>
      <c r="F42" s="336"/>
      <c r="G42" s="336"/>
      <c r="H42" s="336"/>
      <c r="S42" s="27"/>
    </row>
    <row r="43" spans="2:20" ht="15" customHeight="1" x14ac:dyDescent="0.25">
      <c r="B43" s="255" t="s">
        <v>299</v>
      </c>
      <c r="C43" s="92"/>
      <c r="D43" s="92"/>
      <c r="S43" s="27"/>
    </row>
    <row r="44" spans="2:20" ht="15" customHeight="1" x14ac:dyDescent="0.25">
      <c r="B44" s="222"/>
      <c r="C44" s="94"/>
      <c r="D44" s="94"/>
      <c r="E44" s="10"/>
      <c r="F44" s="10"/>
      <c r="G44" s="10"/>
      <c r="H44" s="10"/>
      <c r="I44" s="10"/>
      <c r="J44" s="10"/>
      <c r="K44" s="10"/>
      <c r="L44" s="10"/>
      <c r="M44" s="10"/>
      <c r="N44" s="10"/>
      <c r="O44" s="10"/>
      <c r="P44" s="10"/>
      <c r="Q44" s="10"/>
      <c r="R44" s="10"/>
      <c r="S44" s="28"/>
    </row>
    <row r="45" spans="2:20" ht="15" customHeight="1" x14ac:dyDescent="0.25">
      <c r="C45" s="93"/>
      <c r="D45" s="93"/>
      <c r="Q45" s="59" t="s">
        <v>90</v>
      </c>
      <c r="R45" s="50"/>
      <c r="S45" s="165"/>
    </row>
    <row r="46" spans="2:20" x14ac:dyDescent="0.25">
      <c r="B46" s="17" t="s">
        <v>39</v>
      </c>
      <c r="C46" s="177" t="s">
        <v>2</v>
      </c>
      <c r="D46" s="177"/>
      <c r="E46" s="177" t="s">
        <v>34</v>
      </c>
      <c r="F46" s="177" t="s">
        <v>35</v>
      </c>
      <c r="G46" s="177"/>
      <c r="H46" s="177"/>
      <c r="I46" s="177"/>
      <c r="J46" s="177"/>
      <c r="K46" s="177"/>
      <c r="L46" s="177" t="s">
        <v>36</v>
      </c>
      <c r="M46" s="177" t="s">
        <v>37</v>
      </c>
      <c r="N46" s="47"/>
      <c r="O46" s="47"/>
      <c r="P46" s="47"/>
      <c r="Q46" s="54" t="s">
        <v>88</v>
      </c>
      <c r="R46" s="52"/>
      <c r="S46" s="53"/>
      <c r="T46" s="51"/>
    </row>
    <row r="47" spans="2:20" x14ac:dyDescent="0.25">
      <c r="B47" s="63"/>
      <c r="C47" s="148"/>
      <c r="D47" s="148"/>
      <c r="E47" s="148"/>
      <c r="F47" s="148"/>
      <c r="G47" s="148"/>
      <c r="H47" s="148"/>
      <c r="I47" s="148"/>
      <c r="J47" s="148"/>
      <c r="K47" s="148"/>
      <c r="L47" s="148"/>
      <c r="M47" s="148"/>
      <c r="N47" s="45"/>
      <c r="O47" s="45"/>
      <c r="P47" s="45"/>
      <c r="T47" s="51"/>
    </row>
    <row r="48" spans="2:20" x14ac:dyDescent="0.25">
      <c r="B48" s="63"/>
      <c r="C48" s="148"/>
      <c r="D48" s="148"/>
      <c r="E48" s="148"/>
      <c r="F48" s="148"/>
      <c r="G48" s="148"/>
      <c r="H48" s="148"/>
      <c r="I48" s="148"/>
      <c r="J48" s="148"/>
      <c r="K48" s="148"/>
      <c r="L48" s="148"/>
      <c r="M48" s="148"/>
      <c r="N48" s="45"/>
      <c r="O48" s="45"/>
      <c r="P48" s="45"/>
      <c r="T48" s="51"/>
    </row>
    <row r="49" spans="2:20" x14ac:dyDescent="0.25">
      <c r="B49" s="63"/>
      <c r="C49" s="148"/>
      <c r="D49" s="148"/>
      <c r="E49" s="148"/>
      <c r="F49" s="148"/>
      <c r="G49" s="148"/>
      <c r="H49" s="148"/>
      <c r="I49" s="148"/>
      <c r="J49" s="148"/>
      <c r="K49" s="148"/>
      <c r="L49" s="148"/>
      <c r="M49" s="148"/>
      <c r="N49" s="45"/>
      <c r="O49" s="45"/>
      <c r="P49" s="45"/>
      <c r="Q49" s="59"/>
      <c r="R49" s="50"/>
      <c r="S49" s="50"/>
      <c r="T49" s="51"/>
    </row>
    <row r="50" spans="2:20" x14ac:dyDescent="0.25">
      <c r="B50" s="11"/>
      <c r="C50" s="148"/>
      <c r="D50" s="148"/>
      <c r="E50" s="148"/>
      <c r="R50" s="51"/>
      <c r="S50" s="51"/>
      <c r="T50" s="51"/>
    </row>
    <row r="51" spans="2:20" x14ac:dyDescent="0.25">
      <c r="B51" s="11"/>
      <c r="C51" s="148"/>
      <c r="D51" s="148"/>
      <c r="E51" s="148"/>
      <c r="R51" s="51"/>
      <c r="S51" s="51"/>
      <c r="T51" s="51"/>
    </row>
    <row r="52" spans="2:20" x14ac:dyDescent="0.25">
      <c r="B52" s="11"/>
      <c r="C52" s="148"/>
      <c r="D52" s="148"/>
      <c r="E52" s="148"/>
      <c r="R52" s="51"/>
      <c r="S52" s="51"/>
      <c r="T52" s="51"/>
    </row>
    <row r="53" spans="2:20" x14ac:dyDescent="0.25">
      <c r="B53" s="12"/>
      <c r="C53" s="13"/>
      <c r="D53" s="13"/>
      <c r="E53" s="41"/>
      <c r="F53" s="15"/>
      <c r="G53" s="15"/>
      <c r="H53" s="15"/>
      <c r="I53" s="15"/>
      <c r="J53" s="15"/>
      <c r="K53" s="15"/>
      <c r="L53" s="16"/>
      <c r="M53" s="20"/>
      <c r="N53" s="18"/>
      <c r="O53" s="18"/>
      <c r="P53" s="18"/>
    </row>
    <row r="54" spans="2:20" x14ac:dyDescent="0.25">
      <c r="B54" s="12"/>
      <c r="C54" s="13"/>
      <c r="D54" s="13"/>
      <c r="E54" s="41"/>
      <c r="F54" s="15"/>
      <c r="G54" s="15"/>
      <c r="H54" s="15"/>
      <c r="I54" s="15"/>
      <c r="J54" s="15"/>
      <c r="K54" s="15"/>
      <c r="L54" s="16"/>
      <c r="M54" s="20"/>
      <c r="N54" s="18"/>
      <c r="O54" s="18"/>
      <c r="P54" s="18"/>
    </row>
    <row r="55" spans="2:20" x14ac:dyDescent="0.25">
      <c r="Q55" s="309" t="s">
        <v>316</v>
      </c>
      <c r="R55" s="309"/>
      <c r="S55" s="312">
        <f>S22</f>
        <v>319180.93000000005</v>
      </c>
    </row>
  </sheetData>
  <mergeCells count="7">
    <mergeCell ref="B42:H42"/>
    <mergeCell ref="B31:F31"/>
    <mergeCell ref="Q1:S1"/>
    <mergeCell ref="Q2:S2"/>
    <mergeCell ref="B30:F30"/>
    <mergeCell ref="B26:F26"/>
    <mergeCell ref="B28:F28"/>
  </mergeCells>
  <hyperlinks>
    <hyperlink ref="B31" r:id="rId1"/>
  </hyperlinks>
  <printOptions horizontalCentered="1" gridLines="1"/>
  <pageMargins left="0" right="0" top="0.75" bottom="0.75" header="0.3" footer="0.3"/>
  <pageSetup scale="49" orientation="landscape" horizontalDpi="1200" verticalDpi="1200"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7"/>
  <sheetViews>
    <sheetView topLeftCell="B6" zoomScale="90" zoomScaleNormal="90" workbookViewId="0">
      <selection activeCell="R20" sqref="R20"/>
    </sheetView>
  </sheetViews>
  <sheetFormatPr defaultColWidth="9.140625" defaultRowHeight="15" x14ac:dyDescent="0.25"/>
  <cols>
    <col min="1" max="1" width="5.28515625" style="2" hidden="1" customWidth="1"/>
    <col min="2" max="2" width="57.5703125" style="2" customWidth="1"/>
    <col min="3" max="3" width="29.42578125" style="2" customWidth="1"/>
    <col min="4" max="4" width="13.7109375" style="2" customWidth="1"/>
    <col min="5" max="5" width="17" style="2" bestFit="1" customWidth="1"/>
    <col min="6" max="6" width="21.7109375" style="2" customWidth="1"/>
    <col min="7" max="7" width="10.28515625" style="2" customWidth="1"/>
    <col min="8" max="8" width="12.85546875" style="2" customWidth="1"/>
    <col min="9" max="9" width="13.42578125" style="2" customWidth="1"/>
    <col min="10" max="10" width="15.7109375" style="2" customWidth="1"/>
    <col min="11" max="11" width="8.85546875" style="2" customWidth="1"/>
    <col min="12" max="12" width="18.7109375" style="2" bestFit="1" customWidth="1"/>
    <col min="13" max="13" width="13.28515625" style="2" bestFit="1" customWidth="1"/>
    <col min="14" max="14" width="13.7109375" style="2" customWidth="1"/>
    <col min="15" max="15" width="14.42578125" style="2" customWidth="1"/>
    <col min="16" max="16" width="3.140625" style="2" customWidth="1"/>
    <col min="17" max="17" width="12" style="2" customWidth="1"/>
    <col min="18" max="18" width="14.140625" style="2" customWidth="1"/>
    <col min="19" max="19" width="16.7109375" style="2" customWidth="1"/>
    <col min="20" max="16384" width="9.140625" style="2"/>
  </cols>
  <sheetData>
    <row r="1" spans="1:20" ht="18" customHeight="1" x14ac:dyDescent="0.25">
      <c r="B1" s="8" t="s">
        <v>145</v>
      </c>
      <c r="Q1" s="338" t="s">
        <v>296</v>
      </c>
      <c r="R1" s="338"/>
      <c r="S1" s="338"/>
    </row>
    <row r="2" spans="1:20" ht="18" customHeight="1" x14ac:dyDescent="0.25">
      <c r="B2" s="88" t="s">
        <v>148</v>
      </c>
      <c r="C2" s="182">
        <v>44742</v>
      </c>
      <c r="M2" s="71"/>
      <c r="N2" s="71"/>
      <c r="P2" s="29"/>
      <c r="Q2" s="337" t="s">
        <v>375</v>
      </c>
      <c r="R2" s="337"/>
      <c r="S2" s="337"/>
    </row>
    <row r="3" spans="1:20" ht="18" customHeight="1" thickBot="1" x14ac:dyDescent="0.3">
      <c r="A3" s="2" t="s">
        <v>16</v>
      </c>
      <c r="B3" s="44" t="s">
        <v>144</v>
      </c>
      <c r="C3" s="8"/>
      <c r="D3" s="8"/>
      <c r="E3" s="8"/>
      <c r="P3" s="29"/>
      <c r="Q3" s="45"/>
      <c r="R3" s="30"/>
    </row>
    <row r="4" spans="1:20" ht="18.75" customHeight="1" x14ac:dyDescent="0.25">
      <c r="B4" s="8" t="s">
        <v>174</v>
      </c>
      <c r="M4" s="85" t="s">
        <v>28</v>
      </c>
      <c r="N4" s="85" t="s">
        <v>28</v>
      </c>
      <c r="O4" s="85" t="s">
        <v>28</v>
      </c>
      <c r="P4" s="148"/>
      <c r="Q4" s="89" t="s">
        <v>29</v>
      </c>
      <c r="R4" s="89" t="s">
        <v>31</v>
      </c>
      <c r="S4" s="89" t="s">
        <v>23</v>
      </c>
      <c r="T4" s="7"/>
    </row>
    <row r="5" spans="1:20" ht="15.75" thickBot="1" x14ac:dyDescent="0.3">
      <c r="G5" s="183" t="s">
        <v>295</v>
      </c>
      <c r="H5" s="183" t="s">
        <v>295</v>
      </c>
      <c r="M5" s="86" t="s">
        <v>27</v>
      </c>
      <c r="N5" s="86" t="s">
        <v>26</v>
      </c>
      <c r="O5" s="86" t="s">
        <v>25</v>
      </c>
      <c r="P5" s="148"/>
      <c r="Q5" s="90" t="s">
        <v>30</v>
      </c>
      <c r="R5" s="90" t="s">
        <v>30</v>
      </c>
      <c r="S5" s="90" t="s">
        <v>30</v>
      </c>
      <c r="T5" s="7"/>
    </row>
    <row r="6" spans="1:20" ht="85.5" customHeight="1" thickBot="1" x14ac:dyDescent="0.3">
      <c r="B6" s="84" t="s">
        <v>1</v>
      </c>
      <c r="C6" s="84" t="s">
        <v>389</v>
      </c>
      <c r="D6" s="84" t="s">
        <v>107</v>
      </c>
      <c r="E6" s="84" t="s">
        <v>3</v>
      </c>
      <c r="F6" s="84" t="s">
        <v>4</v>
      </c>
      <c r="G6" s="107" t="s">
        <v>136</v>
      </c>
      <c r="H6" s="107" t="s">
        <v>137</v>
      </c>
      <c r="I6" s="107" t="s">
        <v>133</v>
      </c>
      <c r="J6" s="107" t="s">
        <v>134</v>
      </c>
      <c r="K6" s="107" t="s">
        <v>121</v>
      </c>
      <c r="L6" s="83" t="s">
        <v>5</v>
      </c>
      <c r="M6" s="87" t="s">
        <v>6</v>
      </c>
      <c r="N6" s="87" t="s">
        <v>6</v>
      </c>
      <c r="O6" s="87" t="s">
        <v>6</v>
      </c>
      <c r="P6" s="148"/>
      <c r="Q6" s="91"/>
      <c r="R6" s="97" t="s">
        <v>32</v>
      </c>
      <c r="S6" s="98" t="s">
        <v>33</v>
      </c>
    </row>
    <row r="7" spans="1:20" ht="23.25" customHeight="1" x14ac:dyDescent="0.25">
      <c r="B7" s="2" t="s">
        <v>8</v>
      </c>
      <c r="C7" s="92" t="s">
        <v>106</v>
      </c>
      <c r="D7" s="92" t="s">
        <v>306</v>
      </c>
      <c r="E7" s="2" t="s">
        <v>307</v>
      </c>
      <c r="F7" s="2" t="s">
        <v>7</v>
      </c>
      <c r="G7" s="186">
        <v>2.63E-2</v>
      </c>
      <c r="H7" s="186">
        <v>0.1845</v>
      </c>
      <c r="I7" s="187">
        <v>44742</v>
      </c>
      <c r="J7" s="187">
        <v>44743</v>
      </c>
      <c r="K7" s="187">
        <v>44378</v>
      </c>
      <c r="L7" s="188" t="s">
        <v>297</v>
      </c>
      <c r="M7" s="78">
        <v>140296</v>
      </c>
      <c r="N7" s="207"/>
      <c r="O7" s="67">
        <f t="shared" ref="O7:O13" si="0">M7+N7</f>
        <v>140296</v>
      </c>
      <c r="P7" s="67"/>
      <c r="Q7" s="67">
        <f>8222.25+128681.34</f>
        <v>136903.59</v>
      </c>
      <c r="R7" s="67"/>
      <c r="S7" s="68">
        <f t="shared" ref="S7:S13" si="1">Q7+R7</f>
        <v>136903.59</v>
      </c>
    </row>
    <row r="8" spans="1:20" ht="24.75" customHeight="1" x14ac:dyDescent="0.25">
      <c r="B8" s="2" t="s">
        <v>312</v>
      </c>
      <c r="C8" s="110" t="s">
        <v>188</v>
      </c>
      <c r="D8" s="92" t="s">
        <v>311</v>
      </c>
      <c r="E8" s="2" t="s">
        <v>313</v>
      </c>
      <c r="F8" s="2" t="s">
        <v>7</v>
      </c>
      <c r="G8" s="186">
        <v>2.63E-2</v>
      </c>
      <c r="H8" s="186">
        <v>0.1845</v>
      </c>
      <c r="I8" s="187">
        <v>44742</v>
      </c>
      <c r="J8" s="187">
        <v>44743</v>
      </c>
      <c r="K8" s="187">
        <v>44378</v>
      </c>
      <c r="L8" s="188" t="s">
        <v>297</v>
      </c>
      <c r="M8" s="70">
        <v>9246.3799999999992</v>
      </c>
      <c r="N8" s="70"/>
      <c r="O8" s="67">
        <f>M8+N8</f>
        <v>9246.3799999999992</v>
      </c>
      <c r="P8" s="67"/>
      <c r="Q8" s="67">
        <v>9246.3799999999992</v>
      </c>
      <c r="R8" s="67"/>
      <c r="S8" s="68">
        <f t="shared" si="1"/>
        <v>9246.3799999999992</v>
      </c>
    </row>
    <row r="9" spans="1:20" ht="27.75" customHeight="1" x14ac:dyDescent="0.25">
      <c r="B9" s="2" t="s">
        <v>257</v>
      </c>
      <c r="C9" s="236" t="s">
        <v>260</v>
      </c>
      <c r="D9" s="93" t="s">
        <v>258</v>
      </c>
      <c r="E9" s="2" t="s">
        <v>259</v>
      </c>
      <c r="F9" s="2" t="s">
        <v>7</v>
      </c>
      <c r="G9" s="186">
        <v>2.63E-2</v>
      </c>
      <c r="H9" s="186">
        <v>0.1845</v>
      </c>
      <c r="I9" s="187">
        <v>44439</v>
      </c>
      <c r="J9" s="187">
        <v>44454</v>
      </c>
      <c r="K9" s="187">
        <v>44013</v>
      </c>
      <c r="L9" s="188" t="s">
        <v>290</v>
      </c>
      <c r="M9" s="65">
        <v>5328.77</v>
      </c>
      <c r="N9" s="67"/>
      <c r="O9" s="67">
        <f>M9+N9</f>
        <v>5328.77</v>
      </c>
      <c r="P9" s="67"/>
      <c r="Q9" s="67">
        <v>5328.77</v>
      </c>
      <c r="R9" s="67"/>
      <c r="S9" s="68">
        <f t="shared" si="1"/>
        <v>5328.77</v>
      </c>
    </row>
    <row r="10" spans="1:20" ht="32.25" customHeight="1" x14ac:dyDescent="0.25">
      <c r="B10" s="200" t="s">
        <v>128</v>
      </c>
      <c r="C10" s="225" t="s">
        <v>122</v>
      </c>
      <c r="D10" s="93" t="s">
        <v>310</v>
      </c>
      <c r="E10" s="2" t="s">
        <v>309</v>
      </c>
      <c r="F10" s="2" t="s">
        <v>7</v>
      </c>
      <c r="G10" s="186">
        <v>2.63E-2</v>
      </c>
      <c r="H10" s="186">
        <v>0.1845</v>
      </c>
      <c r="I10" s="187">
        <v>44742</v>
      </c>
      <c r="J10" s="187">
        <v>44743</v>
      </c>
      <c r="K10" s="187">
        <v>44378</v>
      </c>
      <c r="L10" s="204" t="s">
        <v>297</v>
      </c>
      <c r="M10" s="78">
        <v>10410.15</v>
      </c>
      <c r="N10" s="67"/>
      <c r="O10" s="67">
        <f t="shared" si="0"/>
        <v>10410.15</v>
      </c>
      <c r="P10" s="67"/>
      <c r="Q10" s="67">
        <v>10410.15</v>
      </c>
      <c r="R10" s="67"/>
      <c r="S10" s="68">
        <f t="shared" si="1"/>
        <v>10410.15</v>
      </c>
    </row>
    <row r="11" spans="1:20" ht="32.25" customHeight="1" x14ac:dyDescent="0.25">
      <c r="B11" s="2" t="s">
        <v>223</v>
      </c>
      <c r="C11" s="236" t="s">
        <v>333</v>
      </c>
      <c r="D11" s="93" t="s">
        <v>224</v>
      </c>
      <c r="E11" s="2" t="s">
        <v>225</v>
      </c>
      <c r="F11" s="2" t="s">
        <v>7</v>
      </c>
      <c r="G11" s="186">
        <v>2.63E-2</v>
      </c>
      <c r="H11" s="186">
        <v>0.1845</v>
      </c>
      <c r="I11" s="187">
        <v>44834</v>
      </c>
      <c r="J11" s="187">
        <v>44849</v>
      </c>
      <c r="K11" s="187">
        <v>43614</v>
      </c>
      <c r="L11" s="188" t="s">
        <v>274</v>
      </c>
      <c r="M11" s="78">
        <v>50861.26</v>
      </c>
      <c r="N11" s="67"/>
      <c r="O11" s="67">
        <f t="shared" si="0"/>
        <v>50861.26</v>
      </c>
      <c r="P11" s="67"/>
      <c r="Q11" s="67">
        <v>50861.26</v>
      </c>
      <c r="R11" s="67"/>
      <c r="S11" s="68">
        <f t="shared" si="1"/>
        <v>50861.26</v>
      </c>
    </row>
    <row r="12" spans="1:20" ht="32.25" customHeight="1" x14ac:dyDescent="0.25">
      <c r="B12" s="2" t="s">
        <v>241</v>
      </c>
      <c r="C12" s="236" t="s">
        <v>242</v>
      </c>
      <c r="D12" s="93" t="s">
        <v>164</v>
      </c>
      <c r="E12" s="2" t="s">
        <v>249</v>
      </c>
      <c r="F12" s="2" t="s">
        <v>7</v>
      </c>
      <c r="G12" s="186">
        <v>2.63E-2</v>
      </c>
      <c r="H12" s="186">
        <v>0.1845</v>
      </c>
      <c r="I12" s="187">
        <v>44393</v>
      </c>
      <c r="J12" s="187">
        <v>44408</v>
      </c>
      <c r="K12" s="187">
        <v>42644</v>
      </c>
      <c r="L12" s="188" t="s">
        <v>273</v>
      </c>
      <c r="M12" s="79">
        <v>138982</v>
      </c>
      <c r="N12" s="67"/>
      <c r="O12" s="67">
        <f t="shared" si="0"/>
        <v>138982</v>
      </c>
      <c r="P12" s="67"/>
      <c r="Q12" s="67">
        <v>138944.82999999999</v>
      </c>
      <c r="R12" s="67"/>
      <c r="S12" s="68">
        <f t="shared" si="1"/>
        <v>138944.82999999999</v>
      </c>
    </row>
    <row r="13" spans="1:20" ht="32.25" customHeight="1" x14ac:dyDescent="0.25">
      <c r="B13" s="2" t="s">
        <v>268</v>
      </c>
      <c r="C13" s="236" t="s">
        <v>269</v>
      </c>
      <c r="D13" s="93" t="s">
        <v>270</v>
      </c>
      <c r="E13" s="2" t="s">
        <v>271</v>
      </c>
      <c r="F13" s="2" t="s">
        <v>7</v>
      </c>
      <c r="G13" s="186">
        <v>2.63E-2</v>
      </c>
      <c r="H13" s="186">
        <v>0.1845</v>
      </c>
      <c r="I13" s="187">
        <v>44408</v>
      </c>
      <c r="J13" s="187">
        <v>44423</v>
      </c>
      <c r="K13" s="187">
        <v>42186</v>
      </c>
      <c r="L13" s="188" t="s">
        <v>272</v>
      </c>
      <c r="M13" s="79">
        <v>13450</v>
      </c>
      <c r="N13" s="67"/>
      <c r="O13" s="67">
        <f t="shared" si="0"/>
        <v>13450</v>
      </c>
      <c r="P13" s="67"/>
      <c r="Q13" s="67">
        <v>0</v>
      </c>
      <c r="R13" s="67"/>
      <c r="S13" s="68">
        <f t="shared" si="1"/>
        <v>0</v>
      </c>
    </row>
    <row r="14" spans="1:20" ht="32.25" customHeight="1" x14ac:dyDescent="0.25">
      <c r="B14" s="2" t="s">
        <v>275</v>
      </c>
      <c r="C14" s="236" t="s">
        <v>333</v>
      </c>
      <c r="D14" s="93" t="s">
        <v>224</v>
      </c>
      <c r="E14" s="2" t="s">
        <v>276</v>
      </c>
      <c r="F14" s="2" t="s">
        <v>7</v>
      </c>
      <c r="G14" s="186">
        <v>2.63E-2</v>
      </c>
      <c r="H14" s="186">
        <v>0.1845</v>
      </c>
      <c r="I14" s="297">
        <v>44773</v>
      </c>
      <c r="J14" s="297">
        <v>44788</v>
      </c>
      <c r="K14" s="187">
        <v>43980</v>
      </c>
      <c r="L14" s="188" t="s">
        <v>277</v>
      </c>
      <c r="M14" s="79">
        <v>3630.56</v>
      </c>
      <c r="N14" s="70"/>
      <c r="O14" s="67">
        <f>M14+N14</f>
        <v>3630.56</v>
      </c>
      <c r="P14" s="67"/>
      <c r="Q14" s="67">
        <v>3630.56</v>
      </c>
      <c r="R14" s="67"/>
      <c r="S14" s="68">
        <f>Q14+R14</f>
        <v>3630.56</v>
      </c>
    </row>
    <row r="15" spans="1:20" ht="32.25" customHeight="1" x14ac:dyDescent="0.25">
      <c r="B15" s="2" t="s">
        <v>279</v>
      </c>
      <c r="C15" s="236" t="s">
        <v>333</v>
      </c>
      <c r="D15" s="93" t="s">
        <v>224</v>
      </c>
      <c r="E15" s="2" t="s">
        <v>280</v>
      </c>
      <c r="F15" s="2" t="s">
        <v>7</v>
      </c>
      <c r="G15" s="186">
        <v>2.63E-2</v>
      </c>
      <c r="H15" s="186">
        <v>0.1845</v>
      </c>
      <c r="I15" s="187">
        <v>44592</v>
      </c>
      <c r="J15" s="187">
        <v>44592</v>
      </c>
      <c r="K15" s="187">
        <v>43980</v>
      </c>
      <c r="L15" s="188" t="s">
        <v>332</v>
      </c>
      <c r="M15" s="79">
        <v>3000</v>
      </c>
      <c r="N15" s="67"/>
      <c r="O15" s="67">
        <f t="shared" ref="O15:O25" si="2">M15+N15</f>
        <v>3000</v>
      </c>
      <c r="P15" s="66"/>
      <c r="Q15" s="67">
        <v>3000</v>
      </c>
      <c r="R15" s="67"/>
      <c r="S15" s="68">
        <f t="shared" ref="S15:S23" si="3">Q15+R15</f>
        <v>3000</v>
      </c>
    </row>
    <row r="16" spans="1:20" ht="32.25" customHeight="1" x14ac:dyDescent="0.25">
      <c r="B16" s="2" t="s">
        <v>281</v>
      </c>
      <c r="C16" s="236" t="s">
        <v>334</v>
      </c>
      <c r="D16" s="93" t="s">
        <v>231</v>
      </c>
      <c r="E16" s="2" t="s">
        <v>282</v>
      </c>
      <c r="F16" s="2" t="s">
        <v>7</v>
      </c>
      <c r="G16" s="186">
        <v>2.63E-2</v>
      </c>
      <c r="H16" s="186">
        <v>0.1845</v>
      </c>
      <c r="I16" s="187">
        <v>44742</v>
      </c>
      <c r="J16" s="187">
        <v>44757</v>
      </c>
      <c r="K16" s="187">
        <v>43979</v>
      </c>
      <c r="L16" s="188" t="s">
        <v>283</v>
      </c>
      <c r="M16" s="79">
        <v>1027</v>
      </c>
      <c r="N16" s="67"/>
      <c r="O16" s="67">
        <f t="shared" si="2"/>
        <v>1027</v>
      </c>
      <c r="P16" s="66"/>
      <c r="Q16" s="67"/>
      <c r="R16" s="67"/>
      <c r="S16" s="68">
        <f t="shared" si="3"/>
        <v>0</v>
      </c>
    </row>
    <row r="17" spans="2:19" ht="32.25" customHeight="1" x14ac:dyDescent="0.25">
      <c r="B17" s="2" t="s">
        <v>321</v>
      </c>
      <c r="C17" s="236" t="s">
        <v>333</v>
      </c>
      <c r="D17" s="93" t="s">
        <v>288</v>
      </c>
      <c r="E17" s="2" t="s">
        <v>322</v>
      </c>
      <c r="F17" s="2" t="s">
        <v>7</v>
      </c>
      <c r="G17" s="186">
        <f>G16:H16</f>
        <v>2.63E-2</v>
      </c>
      <c r="H17" s="186">
        <f>H16</f>
        <v>0.1845</v>
      </c>
      <c r="I17" s="187">
        <v>45199</v>
      </c>
      <c r="J17" s="187">
        <v>45214</v>
      </c>
      <c r="K17" s="187">
        <v>44201</v>
      </c>
      <c r="L17" s="188" t="s">
        <v>323</v>
      </c>
      <c r="M17" s="79">
        <v>59929.26</v>
      </c>
      <c r="N17" s="67"/>
      <c r="O17" s="67">
        <f t="shared" si="2"/>
        <v>59929.26</v>
      </c>
      <c r="P17" s="66"/>
      <c r="Q17" s="67">
        <v>57203.25</v>
      </c>
      <c r="R17" s="67"/>
      <c r="S17" s="68">
        <f t="shared" si="3"/>
        <v>57203.25</v>
      </c>
    </row>
    <row r="18" spans="2:19" ht="32.25" customHeight="1" x14ac:dyDescent="0.25">
      <c r="B18" s="2" t="s">
        <v>324</v>
      </c>
      <c r="C18" s="236" t="s">
        <v>333</v>
      </c>
      <c r="D18" s="93" t="s">
        <v>288</v>
      </c>
      <c r="E18" s="2" t="s">
        <v>329</v>
      </c>
      <c r="F18" s="2" t="s">
        <v>7</v>
      </c>
      <c r="G18" s="186">
        <f>G17:H17</f>
        <v>2.63E-2</v>
      </c>
      <c r="H18" s="186">
        <f>H17</f>
        <v>0.1845</v>
      </c>
      <c r="I18" s="187">
        <v>45199</v>
      </c>
      <c r="J18" s="187">
        <v>45214</v>
      </c>
      <c r="K18" s="187">
        <v>44201</v>
      </c>
      <c r="L18" s="188" t="s">
        <v>325</v>
      </c>
      <c r="M18" s="79">
        <v>14555</v>
      </c>
      <c r="N18" s="67"/>
      <c r="O18" s="67">
        <f t="shared" si="2"/>
        <v>14555</v>
      </c>
      <c r="P18" s="66"/>
      <c r="Q18" s="67"/>
      <c r="R18" s="67"/>
      <c r="S18" s="68">
        <f t="shared" si="3"/>
        <v>0</v>
      </c>
    </row>
    <row r="19" spans="2:19" ht="32.25" customHeight="1" x14ac:dyDescent="0.25">
      <c r="B19" s="2" t="s">
        <v>326</v>
      </c>
      <c r="C19" s="236" t="s">
        <v>333</v>
      </c>
      <c r="D19" s="93" t="s">
        <v>288</v>
      </c>
      <c r="E19" s="2" t="s">
        <v>330</v>
      </c>
      <c r="F19" s="2" t="s">
        <v>7</v>
      </c>
      <c r="G19" s="186">
        <f>G18:H18</f>
        <v>2.63E-2</v>
      </c>
      <c r="H19" s="186">
        <f>H18</f>
        <v>0.1845</v>
      </c>
      <c r="I19" s="187">
        <v>45199</v>
      </c>
      <c r="J19" s="187">
        <v>45214</v>
      </c>
      <c r="K19" s="187">
        <v>44201</v>
      </c>
      <c r="L19" s="188" t="s">
        <v>323</v>
      </c>
      <c r="M19" s="79">
        <v>15731.43</v>
      </c>
      <c r="N19" s="67"/>
      <c r="O19" s="67">
        <f t="shared" si="2"/>
        <v>15731.43</v>
      </c>
      <c r="P19" s="66"/>
      <c r="Q19" s="67">
        <v>13300</v>
      </c>
      <c r="R19" s="67"/>
      <c r="S19" s="68">
        <f t="shared" si="3"/>
        <v>13300</v>
      </c>
    </row>
    <row r="20" spans="2:19" ht="32.25" customHeight="1" x14ac:dyDescent="0.25">
      <c r="B20" s="2" t="s">
        <v>370</v>
      </c>
      <c r="C20" s="236" t="s">
        <v>333</v>
      </c>
      <c r="D20" s="93" t="s">
        <v>288</v>
      </c>
      <c r="E20" s="2" t="s">
        <v>331</v>
      </c>
      <c r="F20" s="2" t="s">
        <v>7</v>
      </c>
      <c r="G20" s="186">
        <f t="shared" ref="G20" si="4">G19:H19</f>
        <v>2.63E-2</v>
      </c>
      <c r="H20" s="186">
        <f t="shared" ref="H20" si="5">H19</f>
        <v>0.1845</v>
      </c>
      <c r="I20" s="187">
        <v>45199</v>
      </c>
      <c r="J20" s="187">
        <v>45214</v>
      </c>
      <c r="K20" s="187">
        <v>44201</v>
      </c>
      <c r="L20" s="188" t="s">
        <v>325</v>
      </c>
      <c r="M20" s="79">
        <v>74462.11</v>
      </c>
      <c r="N20" s="67"/>
      <c r="O20" s="67">
        <f t="shared" si="2"/>
        <v>74462.11</v>
      </c>
      <c r="P20" s="66"/>
      <c r="Q20" s="67"/>
      <c r="R20" s="67"/>
      <c r="S20" s="68">
        <f t="shared" si="3"/>
        <v>0</v>
      </c>
    </row>
    <row r="21" spans="2:19" ht="32.25" customHeight="1" x14ac:dyDescent="0.25">
      <c r="B21" s="2" t="s">
        <v>287</v>
      </c>
      <c r="C21" s="236" t="s">
        <v>333</v>
      </c>
      <c r="D21" s="93" t="s">
        <v>288</v>
      </c>
      <c r="E21" s="2" t="s">
        <v>289</v>
      </c>
      <c r="F21" s="2" t="s">
        <v>7</v>
      </c>
      <c r="G21" s="186">
        <v>2.63E-2</v>
      </c>
      <c r="H21" s="186">
        <v>0.1845</v>
      </c>
      <c r="I21" s="187">
        <v>45199</v>
      </c>
      <c r="J21" s="187">
        <v>45199</v>
      </c>
      <c r="K21" s="187">
        <v>44201</v>
      </c>
      <c r="L21" s="188" t="s">
        <v>320</v>
      </c>
      <c r="M21" s="79">
        <v>137837.31</v>
      </c>
      <c r="N21" s="67"/>
      <c r="O21" s="67">
        <f t="shared" si="2"/>
        <v>137837.31</v>
      </c>
      <c r="P21" s="66"/>
      <c r="Q21" s="67">
        <f>83508.09+31564.86</f>
        <v>115072.95</v>
      </c>
      <c r="R21" s="67"/>
      <c r="S21" s="68">
        <f t="shared" si="3"/>
        <v>115072.95</v>
      </c>
    </row>
    <row r="22" spans="2:19" ht="32.25" customHeight="1" x14ac:dyDescent="0.25">
      <c r="B22" s="2" t="s">
        <v>352</v>
      </c>
      <c r="C22" s="236" t="s">
        <v>353</v>
      </c>
      <c r="D22" s="93" t="s">
        <v>354</v>
      </c>
      <c r="E22" s="2" t="s">
        <v>355</v>
      </c>
      <c r="F22" s="2" t="s">
        <v>7</v>
      </c>
      <c r="G22" s="186">
        <v>2.63E-2</v>
      </c>
      <c r="H22" s="186">
        <v>0.1845</v>
      </c>
      <c r="I22" s="187">
        <v>45565</v>
      </c>
      <c r="J22" s="187">
        <v>45580</v>
      </c>
      <c r="K22" s="187">
        <v>44279</v>
      </c>
      <c r="L22" s="188" t="s">
        <v>356</v>
      </c>
      <c r="M22" s="79">
        <v>538925.18999999994</v>
      </c>
      <c r="N22" s="67"/>
      <c r="O22" s="67">
        <f t="shared" si="2"/>
        <v>538925.18999999994</v>
      </c>
      <c r="P22" s="66"/>
      <c r="Q22" s="67"/>
      <c r="R22" s="67"/>
      <c r="S22" s="68">
        <f t="shared" si="3"/>
        <v>0</v>
      </c>
    </row>
    <row r="23" spans="2:19" ht="32.25" customHeight="1" x14ac:dyDescent="0.25">
      <c r="B23" s="2" t="s">
        <v>357</v>
      </c>
      <c r="C23" s="236" t="s">
        <v>353</v>
      </c>
      <c r="D23" s="93" t="s">
        <v>354</v>
      </c>
      <c r="E23" s="2" t="s">
        <v>358</v>
      </c>
      <c r="F23" s="2" t="s">
        <v>7</v>
      </c>
      <c r="G23" s="186">
        <v>2.63E-2</v>
      </c>
      <c r="H23" s="186">
        <v>0.1845</v>
      </c>
      <c r="I23" s="187">
        <v>45565</v>
      </c>
      <c r="J23" s="187">
        <v>45580</v>
      </c>
      <c r="K23" s="187">
        <v>44279</v>
      </c>
      <c r="L23" s="188" t="s">
        <v>356</v>
      </c>
      <c r="M23" s="79">
        <v>134731.29999999999</v>
      </c>
      <c r="N23" s="67"/>
      <c r="O23" s="67">
        <f t="shared" si="2"/>
        <v>134731.29999999999</v>
      </c>
      <c r="P23" s="66"/>
      <c r="Q23" s="67"/>
      <c r="R23" s="67"/>
      <c r="S23" s="68">
        <f t="shared" si="3"/>
        <v>0</v>
      </c>
    </row>
    <row r="24" spans="2:19" ht="32.25" customHeight="1" x14ac:dyDescent="0.25">
      <c r="B24" s="2" t="s">
        <v>363</v>
      </c>
      <c r="C24" s="236" t="s">
        <v>333</v>
      </c>
      <c r="D24" s="93" t="s">
        <v>288</v>
      </c>
      <c r="E24" s="2" t="s">
        <v>364</v>
      </c>
      <c r="F24" s="2" t="s">
        <v>7</v>
      </c>
      <c r="G24" s="186">
        <v>2.63E-2</v>
      </c>
      <c r="H24" s="186">
        <v>0.1845</v>
      </c>
      <c r="I24" s="187">
        <v>45199</v>
      </c>
      <c r="J24" s="187">
        <v>45214</v>
      </c>
      <c r="K24" s="187">
        <v>44201</v>
      </c>
      <c r="L24" s="188" t="s">
        <v>365</v>
      </c>
      <c r="M24" s="79">
        <v>1268.47</v>
      </c>
      <c r="N24" s="67"/>
      <c r="O24" s="67">
        <f t="shared" si="2"/>
        <v>1268.47</v>
      </c>
      <c r="P24" s="66"/>
      <c r="Q24" s="67"/>
      <c r="R24" s="67"/>
      <c r="S24" s="68"/>
    </row>
    <row r="25" spans="2:19" ht="32.25" customHeight="1" x14ac:dyDescent="0.25">
      <c r="B25" s="2" t="s">
        <v>366</v>
      </c>
      <c r="C25" s="236" t="s">
        <v>333</v>
      </c>
      <c r="D25" s="93" t="s">
        <v>367</v>
      </c>
      <c r="E25" s="2" t="s">
        <v>368</v>
      </c>
      <c r="F25" s="2" t="s">
        <v>7</v>
      </c>
      <c r="G25" s="186">
        <v>2.63E-2</v>
      </c>
      <c r="H25" s="186">
        <v>0.1845</v>
      </c>
      <c r="I25" s="187">
        <v>45199</v>
      </c>
      <c r="J25" s="187">
        <v>45214</v>
      </c>
      <c r="K25" s="187">
        <v>44201</v>
      </c>
      <c r="L25" s="188" t="s">
        <v>369</v>
      </c>
      <c r="M25" s="79">
        <v>15498</v>
      </c>
      <c r="N25" s="67"/>
      <c r="O25" s="67">
        <f t="shared" si="2"/>
        <v>15498</v>
      </c>
      <c r="P25" s="66"/>
      <c r="Q25" s="67"/>
      <c r="R25" s="67"/>
      <c r="S25" s="68"/>
    </row>
    <row r="26" spans="2:19" x14ac:dyDescent="0.25">
      <c r="C26" s="236"/>
      <c r="G26" s="123"/>
      <c r="H26" s="123"/>
      <c r="I26" s="116"/>
      <c r="J26" s="116"/>
      <c r="K26" s="116" t="s">
        <v>100</v>
      </c>
      <c r="L26" s="93"/>
      <c r="M26" s="24"/>
      <c r="N26" s="25"/>
      <c r="O26" s="25"/>
      <c r="P26" s="67"/>
      <c r="Q26" s="25"/>
      <c r="R26" s="25"/>
      <c r="S26" s="26"/>
    </row>
    <row r="27" spans="2:19" ht="23.25" customHeight="1" x14ac:dyDescent="0.25">
      <c r="C27" s="93"/>
      <c r="D27" s="93"/>
      <c r="G27" s="123"/>
      <c r="H27" s="123"/>
      <c r="I27" s="116"/>
      <c r="J27" s="116"/>
      <c r="K27" s="116" t="s">
        <v>100</v>
      </c>
      <c r="L27" s="21" t="s">
        <v>38</v>
      </c>
      <c r="M27" s="66">
        <f>SUM(M7:M26)</f>
        <v>1369170.19</v>
      </c>
      <c r="N27" s="76">
        <f>SUM(N7:N26)</f>
        <v>0</v>
      </c>
      <c r="O27" s="66">
        <f>SUM(O7:O26)</f>
        <v>1369170.19</v>
      </c>
      <c r="P27" s="66" t="s">
        <v>100</v>
      </c>
      <c r="Q27" s="66">
        <f>SUM(Q7:Q26)</f>
        <v>543901.74</v>
      </c>
      <c r="R27" s="66">
        <f>SUM(R7:R26)</f>
        <v>0</v>
      </c>
      <c r="S27" s="23">
        <f>SUM(S7:S26)</f>
        <v>543901.74</v>
      </c>
    </row>
    <row r="28" spans="2:19" x14ac:dyDescent="0.25">
      <c r="C28" s="93"/>
      <c r="D28" s="93"/>
      <c r="G28" s="123"/>
      <c r="H28" s="123"/>
      <c r="I28" s="116"/>
      <c r="J28" s="116"/>
      <c r="K28" s="116"/>
      <c r="L28" s="21"/>
      <c r="M28" s="66"/>
      <c r="N28" s="66"/>
      <c r="O28" s="66"/>
      <c r="P28" s="66"/>
      <c r="Q28" s="66"/>
      <c r="R28" s="66"/>
      <c r="S28" s="68"/>
    </row>
    <row r="29" spans="2:19" x14ac:dyDescent="0.25">
      <c r="B29" s="8" t="s">
        <v>125</v>
      </c>
      <c r="C29" s="92"/>
      <c r="D29" s="92"/>
      <c r="S29" s="27"/>
    </row>
    <row r="30" spans="2:19" ht="30.75" customHeight="1" x14ac:dyDescent="0.25">
      <c r="B30" s="341" t="s">
        <v>126</v>
      </c>
      <c r="C30" s="341"/>
      <c r="D30" s="341"/>
      <c r="E30" s="341"/>
      <c r="F30" s="341"/>
      <c r="S30" s="27"/>
    </row>
    <row r="31" spans="2:19" x14ac:dyDescent="0.25">
      <c r="C31" s="92"/>
      <c r="D31" s="92"/>
      <c r="S31" s="27"/>
    </row>
    <row r="32" spans="2:19" ht="47.25" customHeight="1" x14ac:dyDescent="0.25">
      <c r="B32" s="341" t="s">
        <v>129</v>
      </c>
      <c r="C32" s="341"/>
      <c r="D32" s="341"/>
      <c r="E32" s="341"/>
      <c r="F32" s="341"/>
      <c r="S32" s="27"/>
    </row>
    <row r="33" spans="2:19" x14ac:dyDescent="0.25">
      <c r="B33" s="193"/>
      <c r="C33" s="193"/>
      <c r="D33" s="193"/>
      <c r="E33" s="193"/>
      <c r="F33" s="193"/>
      <c r="S33" s="27"/>
    </row>
    <row r="34" spans="2:19" ht="30.75" customHeight="1" x14ac:dyDescent="0.25">
      <c r="B34" s="341" t="s">
        <v>160</v>
      </c>
      <c r="C34" s="341"/>
      <c r="D34" s="341"/>
      <c r="E34" s="341"/>
      <c r="F34" s="341"/>
      <c r="S34" s="27"/>
    </row>
    <row r="35" spans="2:19" ht="15" customHeight="1" x14ac:dyDescent="0.25">
      <c r="B35" s="347" t="s">
        <v>159</v>
      </c>
      <c r="C35" s="341"/>
      <c r="D35" s="341"/>
      <c r="E35" s="341"/>
      <c r="F35" s="341"/>
      <c r="S35" s="27"/>
    </row>
    <row r="36" spans="2:19" ht="15" customHeight="1" x14ac:dyDescent="0.25">
      <c r="B36" s="195"/>
      <c r="C36" s="195"/>
      <c r="D36" s="195"/>
      <c r="E36" s="195"/>
      <c r="S36" s="27"/>
    </row>
    <row r="37" spans="2:19" x14ac:dyDescent="0.25">
      <c r="B37" s="7" t="s">
        <v>109</v>
      </c>
      <c r="C37" s="101" t="s">
        <v>112</v>
      </c>
      <c r="D37" s="101" t="s">
        <v>113</v>
      </c>
      <c r="E37" s="178"/>
      <c r="S37" s="27"/>
    </row>
    <row r="38" spans="2:19" x14ac:dyDescent="0.25">
      <c r="B38" s="2" t="s">
        <v>110</v>
      </c>
      <c r="C38" s="92" t="s">
        <v>327</v>
      </c>
      <c r="D38" s="92" t="s">
        <v>118</v>
      </c>
      <c r="E38" s="178"/>
      <c r="S38" s="27"/>
    </row>
    <row r="39" spans="2:19" x14ac:dyDescent="0.25">
      <c r="B39" s="2" t="s">
        <v>262</v>
      </c>
      <c r="C39" s="92" t="s">
        <v>180</v>
      </c>
      <c r="D39" s="92" t="s">
        <v>181</v>
      </c>
      <c r="E39" s="318"/>
      <c r="S39" s="27"/>
    </row>
    <row r="40" spans="2:19" x14ac:dyDescent="0.25">
      <c r="B40" s="257" t="s">
        <v>111</v>
      </c>
      <c r="C40" s="92" t="s">
        <v>300</v>
      </c>
      <c r="D40" s="92" t="s">
        <v>303</v>
      </c>
      <c r="S40" s="27"/>
    </row>
    <row r="41" spans="2:19" x14ac:dyDescent="0.25">
      <c r="B41" s="2" t="s">
        <v>230</v>
      </c>
      <c r="C41" s="92" t="s">
        <v>135</v>
      </c>
      <c r="D41" s="92" t="s">
        <v>147</v>
      </c>
      <c r="S41" s="27"/>
    </row>
    <row r="42" spans="2:19" x14ac:dyDescent="0.25">
      <c r="B42" s="2" t="s">
        <v>240</v>
      </c>
      <c r="C42" s="92" t="s">
        <v>135</v>
      </c>
      <c r="D42" s="92" t="s">
        <v>147</v>
      </c>
      <c r="S42" s="27"/>
    </row>
    <row r="43" spans="2:19" x14ac:dyDescent="0.25">
      <c r="B43" s="2" t="s">
        <v>268</v>
      </c>
      <c r="C43" s="92" t="s">
        <v>135</v>
      </c>
      <c r="D43" s="92" t="s">
        <v>147</v>
      </c>
      <c r="S43" s="27"/>
    </row>
    <row r="44" spans="2:19" x14ac:dyDescent="0.25">
      <c r="B44" s="2" t="s">
        <v>275</v>
      </c>
      <c r="C44" s="92" t="s">
        <v>135</v>
      </c>
      <c r="D44" s="92" t="s">
        <v>147</v>
      </c>
      <c r="S44" s="27"/>
    </row>
    <row r="45" spans="2:19" x14ac:dyDescent="0.25">
      <c r="B45" s="2" t="s">
        <v>279</v>
      </c>
      <c r="C45" s="92" t="s">
        <v>135</v>
      </c>
      <c r="D45" s="92" t="s">
        <v>147</v>
      </c>
      <c r="S45" s="27"/>
    </row>
    <row r="46" spans="2:19" x14ac:dyDescent="0.25">
      <c r="B46" s="2" t="s">
        <v>281</v>
      </c>
      <c r="C46" s="92" t="s">
        <v>135</v>
      </c>
      <c r="D46" s="92" t="s">
        <v>147</v>
      </c>
      <c r="S46" s="27"/>
    </row>
    <row r="47" spans="2:19" x14ac:dyDescent="0.25">
      <c r="B47" s="2" t="s">
        <v>286</v>
      </c>
      <c r="C47" s="92" t="s">
        <v>135</v>
      </c>
      <c r="D47" s="92" t="s">
        <v>147</v>
      </c>
      <c r="S47" s="27"/>
    </row>
    <row r="48" spans="2:19" x14ac:dyDescent="0.25">
      <c r="C48" s="92"/>
      <c r="D48" s="92"/>
      <c r="S48" s="27"/>
    </row>
    <row r="49" spans="2:20" ht="15" customHeight="1" x14ac:dyDescent="0.25">
      <c r="B49" s="348" t="s">
        <v>298</v>
      </c>
      <c r="C49" s="336"/>
      <c r="D49" s="336"/>
      <c r="E49" s="336"/>
      <c r="F49" s="336"/>
      <c r="G49" s="336"/>
      <c r="H49" s="336"/>
      <c r="S49" s="27"/>
    </row>
    <row r="50" spans="2:20" ht="15" customHeight="1" x14ac:dyDescent="0.25">
      <c r="B50" s="255" t="s">
        <v>299</v>
      </c>
      <c r="C50" s="92"/>
      <c r="D50" s="92"/>
      <c r="S50" s="27"/>
    </row>
    <row r="51" spans="2:20" ht="15" customHeight="1" x14ac:dyDescent="0.25">
      <c r="B51" s="222"/>
      <c r="C51" s="94"/>
      <c r="D51" s="94"/>
      <c r="E51" s="10"/>
      <c r="F51" s="10"/>
      <c r="G51" s="10"/>
      <c r="H51" s="10"/>
      <c r="I51" s="10"/>
      <c r="J51" s="10"/>
      <c r="K51" s="10"/>
      <c r="L51" s="10"/>
      <c r="M51" s="10"/>
      <c r="N51" s="10"/>
      <c r="O51" s="10"/>
      <c r="P51" s="10"/>
      <c r="Q51" s="10"/>
      <c r="R51" s="10"/>
      <c r="S51" s="28"/>
    </row>
    <row r="52" spans="2:20" x14ac:dyDescent="0.25">
      <c r="C52" s="93"/>
      <c r="D52" s="93"/>
      <c r="Q52" s="59" t="s">
        <v>90</v>
      </c>
      <c r="R52" s="50"/>
      <c r="S52" s="165"/>
    </row>
    <row r="53" spans="2:20" x14ac:dyDescent="0.25">
      <c r="B53" s="17" t="s">
        <v>39</v>
      </c>
      <c r="C53" s="179" t="s">
        <v>2</v>
      </c>
      <c r="D53" s="179"/>
      <c r="E53" s="179" t="s">
        <v>34</v>
      </c>
      <c r="F53" s="179" t="s">
        <v>35</v>
      </c>
      <c r="G53" s="179"/>
      <c r="H53" s="179"/>
      <c r="I53" s="179"/>
      <c r="J53" s="179"/>
      <c r="K53" s="179"/>
      <c r="L53" s="179" t="s">
        <v>36</v>
      </c>
      <c r="M53" s="179" t="s">
        <v>37</v>
      </c>
      <c r="N53" s="47"/>
      <c r="O53" s="47"/>
      <c r="P53" s="47"/>
      <c r="Q53" s="54" t="s">
        <v>88</v>
      </c>
      <c r="R53" s="52"/>
      <c r="S53" s="53"/>
      <c r="T53" s="51"/>
    </row>
    <row r="54" spans="2:20" x14ac:dyDescent="0.25">
      <c r="B54" s="63"/>
      <c r="C54" s="148"/>
      <c r="D54" s="148"/>
      <c r="E54" s="148"/>
      <c r="F54" s="148"/>
      <c r="G54" s="148"/>
      <c r="H54" s="148"/>
      <c r="I54" s="148"/>
      <c r="J54" s="148"/>
      <c r="K54" s="148"/>
      <c r="L54" s="148"/>
      <c r="M54" s="148"/>
      <c r="N54" s="48"/>
      <c r="O54" s="48"/>
      <c r="P54" s="48"/>
      <c r="Q54" s="56"/>
      <c r="R54" s="49"/>
      <c r="S54" s="49"/>
      <c r="T54" s="51"/>
    </row>
    <row r="55" spans="2:20" x14ac:dyDescent="0.25">
      <c r="B55" s="12"/>
      <c r="C55" s="13"/>
      <c r="D55" s="13"/>
      <c r="E55" s="41"/>
      <c r="F55" s="15"/>
      <c r="G55" s="15"/>
      <c r="H55" s="15"/>
      <c r="I55" s="15"/>
      <c r="J55" s="15"/>
      <c r="K55" s="15"/>
      <c r="L55" s="16"/>
      <c r="M55" s="20"/>
      <c r="N55" s="18"/>
      <c r="O55" s="18"/>
      <c r="P55" s="18"/>
      <c r="Q55" s="309" t="s">
        <v>316</v>
      </c>
      <c r="R55" s="309"/>
      <c r="S55" s="312">
        <f>S27</f>
        <v>543901.74</v>
      </c>
    </row>
    <row r="56" spans="2:20" x14ac:dyDescent="0.25">
      <c r="B56" s="12"/>
      <c r="C56" s="13"/>
      <c r="D56" s="13"/>
      <c r="E56" s="41"/>
      <c r="F56" s="15"/>
      <c r="G56" s="15"/>
      <c r="H56" s="15"/>
      <c r="I56" s="15"/>
      <c r="J56" s="15"/>
      <c r="K56" s="15"/>
      <c r="L56" s="16"/>
      <c r="M56" s="20"/>
      <c r="N56" s="18"/>
      <c r="O56" s="18"/>
      <c r="P56" s="18"/>
    </row>
    <row r="57" spans="2:20" x14ac:dyDescent="0.25">
      <c r="B57" s="12"/>
      <c r="C57" s="13"/>
      <c r="D57" s="13"/>
      <c r="E57" s="41"/>
      <c r="F57" s="15"/>
      <c r="G57" s="15"/>
      <c r="H57" s="15"/>
      <c r="I57" s="15"/>
      <c r="J57" s="15"/>
      <c r="K57" s="15"/>
      <c r="L57" s="16"/>
      <c r="M57" s="20"/>
      <c r="N57" s="18"/>
      <c r="O57" s="18"/>
      <c r="P57" s="18"/>
    </row>
  </sheetData>
  <mergeCells count="7">
    <mergeCell ref="B49:H49"/>
    <mergeCell ref="B35:F35"/>
    <mergeCell ref="Q1:S1"/>
    <mergeCell ref="Q2:S2"/>
    <mergeCell ref="B34:F34"/>
    <mergeCell ref="B30:F30"/>
    <mergeCell ref="B32:F32"/>
  </mergeCells>
  <hyperlinks>
    <hyperlink ref="B35" r:id="rId1"/>
  </hyperlinks>
  <printOptions horizontalCentered="1" gridLines="1"/>
  <pageMargins left="0" right="0" top="0.75" bottom="0.75" header="0.3" footer="0.3"/>
  <pageSetup scale="49" orientation="landscape" horizontalDpi="1200" verticalDpi="1200"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6"/>
  <sheetViews>
    <sheetView topLeftCell="C4" zoomScale="90" zoomScaleNormal="90" workbookViewId="0">
      <selection activeCell="Q8" sqref="Q8"/>
    </sheetView>
  </sheetViews>
  <sheetFormatPr defaultColWidth="9.140625" defaultRowHeight="15" x14ac:dyDescent="0.25"/>
  <cols>
    <col min="1" max="1" width="5.7109375" style="2" hidden="1" customWidth="1"/>
    <col min="2" max="2" width="58.5703125" style="2" customWidth="1"/>
    <col min="3" max="3" width="26.7109375" style="2" customWidth="1"/>
    <col min="4" max="4" width="13.7109375" style="2" customWidth="1"/>
    <col min="5" max="5" width="17" style="2" bestFit="1" customWidth="1"/>
    <col min="6" max="6" width="21.7109375" style="2" customWidth="1"/>
    <col min="7" max="7" width="10.28515625" style="2" customWidth="1"/>
    <col min="8" max="8" width="12.85546875" style="2" customWidth="1"/>
    <col min="9" max="9" width="13.42578125" style="2" customWidth="1"/>
    <col min="10" max="10" width="15.7109375" style="2" customWidth="1"/>
    <col min="11" max="11" width="8.85546875" style="2" customWidth="1"/>
    <col min="12" max="12" width="18.7109375" style="2" customWidth="1"/>
    <col min="13" max="13" width="13.28515625" style="2" bestFit="1" customWidth="1"/>
    <col min="14" max="14" width="13.7109375" style="2" customWidth="1"/>
    <col min="15" max="15" width="14.42578125" style="2" customWidth="1"/>
    <col min="16" max="16" width="3.140625" style="2" customWidth="1"/>
    <col min="17" max="18" width="14.140625" style="2" customWidth="1"/>
    <col min="19" max="19" width="16.7109375" style="2" customWidth="1"/>
    <col min="20" max="16384" width="9.140625" style="2"/>
  </cols>
  <sheetData>
    <row r="1" spans="1:20" ht="18" customHeight="1" x14ac:dyDescent="0.25">
      <c r="B1" s="8" t="s">
        <v>143</v>
      </c>
      <c r="Q1" s="338" t="s">
        <v>296</v>
      </c>
      <c r="R1" s="338"/>
      <c r="S1" s="338"/>
    </row>
    <row r="2" spans="1:20" ht="18" customHeight="1" x14ac:dyDescent="0.25">
      <c r="B2" s="88" t="s">
        <v>148</v>
      </c>
      <c r="C2" s="182">
        <v>44742</v>
      </c>
      <c r="M2" s="71"/>
      <c r="N2" s="71"/>
      <c r="P2" s="29"/>
      <c r="Q2" s="337" t="s">
        <v>375</v>
      </c>
      <c r="R2" s="337"/>
      <c r="S2" s="337"/>
    </row>
    <row r="3" spans="1:20" ht="18" customHeight="1" thickBot="1" x14ac:dyDescent="0.3">
      <c r="A3" s="2" t="s">
        <v>16</v>
      </c>
      <c r="B3" s="44" t="s">
        <v>141</v>
      </c>
      <c r="C3" s="8"/>
      <c r="D3" s="8"/>
      <c r="E3" s="8"/>
      <c r="P3" s="29"/>
      <c r="Q3" s="45"/>
      <c r="R3" s="30"/>
    </row>
    <row r="4" spans="1:20" ht="18.75" customHeight="1" x14ac:dyDescent="0.25">
      <c r="B4" s="8" t="s">
        <v>174</v>
      </c>
      <c r="M4" s="85" t="s">
        <v>28</v>
      </c>
      <c r="N4" s="85" t="s">
        <v>28</v>
      </c>
      <c r="O4" s="85" t="s">
        <v>28</v>
      </c>
      <c r="P4" s="148"/>
      <c r="Q4" s="89" t="s">
        <v>29</v>
      </c>
      <c r="R4" s="89" t="s">
        <v>31</v>
      </c>
      <c r="S4" s="89" t="s">
        <v>23</v>
      </c>
      <c r="T4" s="7"/>
    </row>
    <row r="5" spans="1:20" ht="15.75" thickBot="1" x14ac:dyDescent="0.3">
      <c r="G5" s="183" t="s">
        <v>295</v>
      </c>
      <c r="H5" s="183" t="s">
        <v>295</v>
      </c>
      <c r="M5" s="86" t="s">
        <v>27</v>
      </c>
      <c r="N5" s="86" t="s">
        <v>26</v>
      </c>
      <c r="O5" s="86" t="s">
        <v>25</v>
      </c>
      <c r="P5" s="148"/>
      <c r="Q5" s="90" t="s">
        <v>30</v>
      </c>
      <c r="R5" s="90" t="s">
        <v>30</v>
      </c>
      <c r="S5" s="90" t="s">
        <v>30</v>
      </c>
      <c r="T5" s="7"/>
    </row>
    <row r="6" spans="1:20" ht="85.5" customHeight="1" thickBot="1" x14ac:dyDescent="0.3">
      <c r="B6" s="84" t="s">
        <v>1</v>
      </c>
      <c r="C6" s="84" t="s">
        <v>389</v>
      </c>
      <c r="D6" s="84" t="s">
        <v>107</v>
      </c>
      <c r="E6" s="84" t="s">
        <v>3</v>
      </c>
      <c r="F6" s="84" t="s">
        <v>4</v>
      </c>
      <c r="G6" s="107" t="s">
        <v>136</v>
      </c>
      <c r="H6" s="107" t="s">
        <v>137</v>
      </c>
      <c r="I6" s="107" t="s">
        <v>133</v>
      </c>
      <c r="J6" s="107" t="s">
        <v>134</v>
      </c>
      <c r="K6" s="107" t="s">
        <v>121</v>
      </c>
      <c r="L6" s="83" t="s">
        <v>5</v>
      </c>
      <c r="M6" s="87" t="s">
        <v>6</v>
      </c>
      <c r="N6" s="87" t="s">
        <v>6</v>
      </c>
      <c r="O6" s="87" t="s">
        <v>6</v>
      </c>
      <c r="P6" s="148"/>
      <c r="Q6" s="91"/>
      <c r="R6" s="97" t="s">
        <v>32</v>
      </c>
      <c r="S6" s="98" t="s">
        <v>33</v>
      </c>
    </row>
    <row r="7" spans="1:20" ht="31.5" customHeight="1" x14ac:dyDescent="0.25">
      <c r="A7" s="122" t="s">
        <v>149</v>
      </c>
      <c r="B7" s="2" t="s">
        <v>8</v>
      </c>
      <c r="C7" s="92" t="s">
        <v>106</v>
      </c>
      <c r="D7" s="92" t="s">
        <v>306</v>
      </c>
      <c r="E7" s="2" t="s">
        <v>307</v>
      </c>
      <c r="F7" s="2" t="s">
        <v>7</v>
      </c>
      <c r="G7" s="186">
        <v>2.63E-2</v>
      </c>
      <c r="H7" s="186">
        <v>0.1845</v>
      </c>
      <c r="I7" s="187">
        <v>44742</v>
      </c>
      <c r="J7" s="187">
        <v>44743</v>
      </c>
      <c r="K7" s="187">
        <v>44378</v>
      </c>
      <c r="L7" s="188" t="s">
        <v>297</v>
      </c>
      <c r="M7" s="78">
        <v>28151.5</v>
      </c>
      <c r="N7" s="67"/>
      <c r="O7" s="67">
        <f t="shared" ref="O7:O13" si="0">M7+N7</f>
        <v>28151.5</v>
      </c>
      <c r="P7" s="67"/>
      <c r="Q7" s="67">
        <f>7483.86+17878.72</f>
        <v>25362.58</v>
      </c>
      <c r="R7" s="67"/>
      <c r="S7" s="68">
        <f t="shared" ref="S7:S13" si="1">Q7+R7</f>
        <v>25362.58</v>
      </c>
    </row>
    <row r="8" spans="1:20" ht="34.5" customHeight="1" x14ac:dyDescent="0.25">
      <c r="A8" s="122" t="s">
        <v>150</v>
      </c>
      <c r="B8" s="200" t="s">
        <v>128</v>
      </c>
      <c r="C8" s="226" t="s">
        <v>122</v>
      </c>
      <c r="D8" s="93" t="s">
        <v>310</v>
      </c>
      <c r="E8" s="2" t="s">
        <v>309</v>
      </c>
      <c r="F8" s="2" t="s">
        <v>7</v>
      </c>
      <c r="G8" s="186">
        <v>2.63E-2</v>
      </c>
      <c r="H8" s="186">
        <v>0.1845</v>
      </c>
      <c r="I8" s="187">
        <v>44742</v>
      </c>
      <c r="J8" s="187">
        <v>44743</v>
      </c>
      <c r="K8" s="187">
        <v>44378</v>
      </c>
      <c r="L8" s="204" t="s">
        <v>297</v>
      </c>
      <c r="M8" s="78">
        <v>91830.62</v>
      </c>
      <c r="N8" s="67">
        <f>92002.83+52129.95</f>
        <v>144132.78</v>
      </c>
      <c r="O8" s="67">
        <f t="shared" si="0"/>
        <v>235963.4</v>
      </c>
      <c r="P8" s="67"/>
      <c r="Q8" s="67">
        <f>91830.62+92002.83+52129.95</f>
        <v>235963.40000000002</v>
      </c>
      <c r="R8" s="67"/>
      <c r="S8" s="68">
        <f t="shared" si="1"/>
        <v>235963.40000000002</v>
      </c>
    </row>
    <row r="9" spans="1:20" ht="32.25" customHeight="1" x14ac:dyDescent="0.25">
      <c r="A9" s="122" t="s">
        <v>151</v>
      </c>
      <c r="B9" s="2" t="s">
        <v>130</v>
      </c>
      <c r="C9" s="95" t="s">
        <v>131</v>
      </c>
      <c r="D9" s="93" t="s">
        <v>310</v>
      </c>
      <c r="E9" s="2" t="s">
        <v>314</v>
      </c>
      <c r="F9" s="2" t="s">
        <v>7</v>
      </c>
      <c r="G9" s="186">
        <v>2.63E-2</v>
      </c>
      <c r="H9" s="186">
        <v>0.1845</v>
      </c>
      <c r="I9" s="187">
        <f t="shared" ref="I9:L9" si="2">+I7</f>
        <v>44742</v>
      </c>
      <c r="J9" s="187">
        <f t="shared" si="2"/>
        <v>44743</v>
      </c>
      <c r="K9" s="187">
        <f t="shared" si="2"/>
        <v>44378</v>
      </c>
      <c r="L9" s="188" t="str">
        <f t="shared" si="2"/>
        <v>07/01/21 - 06/30/22</v>
      </c>
      <c r="M9" s="78">
        <v>4135.7700000000004</v>
      </c>
      <c r="N9" s="67"/>
      <c r="O9" s="67">
        <f t="shared" si="0"/>
        <v>4135.7700000000004</v>
      </c>
      <c r="P9" s="67"/>
      <c r="Q9" s="67">
        <v>4135.7700000000004</v>
      </c>
      <c r="R9" s="67"/>
      <c r="S9" s="68">
        <f t="shared" si="1"/>
        <v>4135.7700000000004</v>
      </c>
    </row>
    <row r="10" spans="1:20" ht="32.25" customHeight="1" x14ac:dyDescent="0.25">
      <c r="A10" s="122"/>
      <c r="B10" s="334" t="s">
        <v>387</v>
      </c>
      <c r="C10" s="327" t="s">
        <v>373</v>
      </c>
      <c r="D10" s="328" t="s">
        <v>372</v>
      </c>
      <c r="E10" s="29" t="s">
        <v>374</v>
      </c>
      <c r="F10" s="2" t="s">
        <v>7</v>
      </c>
      <c r="G10" s="186">
        <v>2.63E-2</v>
      </c>
      <c r="H10" s="186">
        <v>0.1845</v>
      </c>
      <c r="I10" s="187">
        <v>45199</v>
      </c>
      <c r="J10" s="187">
        <v>45214</v>
      </c>
      <c r="K10" s="187">
        <v>44378</v>
      </c>
      <c r="L10" s="188" t="s">
        <v>325</v>
      </c>
      <c r="M10" s="70">
        <v>250691.76</v>
      </c>
      <c r="N10" s="70"/>
      <c r="O10" s="67">
        <f t="shared" si="0"/>
        <v>250691.76</v>
      </c>
      <c r="P10" s="67"/>
      <c r="Q10" s="67">
        <v>70636.899999999994</v>
      </c>
      <c r="R10" s="67"/>
      <c r="S10" s="68">
        <f t="shared" si="1"/>
        <v>70636.899999999994</v>
      </c>
    </row>
    <row r="11" spans="1:20" ht="32.25" customHeight="1" x14ac:dyDescent="0.25">
      <c r="A11" s="122"/>
      <c r="B11" s="334" t="s">
        <v>386</v>
      </c>
      <c r="C11" s="327" t="s">
        <v>388</v>
      </c>
      <c r="D11" s="328" t="s">
        <v>384</v>
      </c>
      <c r="E11" s="29" t="s">
        <v>385</v>
      </c>
      <c r="F11" s="2" t="s">
        <v>7</v>
      </c>
      <c r="G11" s="186">
        <v>2.63E-2</v>
      </c>
      <c r="H11" s="186">
        <v>0.1845</v>
      </c>
      <c r="I11" s="187">
        <v>45199</v>
      </c>
      <c r="J11" s="187">
        <v>45214</v>
      </c>
      <c r="K11" s="187">
        <v>44378</v>
      </c>
      <c r="L11" s="188" t="s">
        <v>325</v>
      </c>
      <c r="M11" s="70">
        <v>10703.62</v>
      </c>
      <c r="N11" s="70"/>
      <c r="O11" s="67">
        <f t="shared" si="0"/>
        <v>10703.62</v>
      </c>
      <c r="P11" s="67"/>
      <c r="Q11" s="67">
        <v>2536.9</v>
      </c>
      <c r="R11" s="67"/>
      <c r="S11" s="68">
        <f t="shared" si="1"/>
        <v>2536.9</v>
      </c>
    </row>
    <row r="12" spans="1:20" ht="32.25" customHeight="1" x14ac:dyDescent="0.25">
      <c r="A12" s="122"/>
      <c r="B12" s="2" t="s">
        <v>223</v>
      </c>
      <c r="C12" s="236" t="s">
        <v>333</v>
      </c>
      <c r="D12" s="93" t="s">
        <v>224</v>
      </c>
      <c r="E12" s="2" t="s">
        <v>225</v>
      </c>
      <c r="F12" s="2" t="s">
        <v>7</v>
      </c>
      <c r="G12" s="186">
        <v>2.63E-2</v>
      </c>
      <c r="H12" s="186">
        <v>0.1845</v>
      </c>
      <c r="I12" s="187">
        <v>44834</v>
      </c>
      <c r="J12" s="187">
        <v>44849</v>
      </c>
      <c r="K12" s="187">
        <v>43614</v>
      </c>
      <c r="L12" s="188" t="s">
        <v>274</v>
      </c>
      <c r="M12" s="78">
        <v>14810.64</v>
      </c>
      <c r="N12" s="67"/>
      <c r="O12" s="67">
        <f t="shared" si="0"/>
        <v>14810.64</v>
      </c>
      <c r="P12" s="67"/>
      <c r="Q12" s="67">
        <v>0</v>
      </c>
      <c r="R12" s="67"/>
      <c r="S12" s="68">
        <f t="shared" si="1"/>
        <v>0</v>
      </c>
    </row>
    <row r="13" spans="1:20" ht="32.25" customHeight="1" x14ac:dyDescent="0.25">
      <c r="A13" s="122"/>
      <c r="B13" s="2" t="s">
        <v>241</v>
      </c>
      <c r="C13" s="236" t="s">
        <v>242</v>
      </c>
      <c r="D13" s="93" t="s">
        <v>164</v>
      </c>
      <c r="E13" s="2" t="s">
        <v>252</v>
      </c>
      <c r="F13" s="2" t="s">
        <v>7</v>
      </c>
      <c r="G13" s="186">
        <v>2.63E-2</v>
      </c>
      <c r="H13" s="186">
        <v>0.1845</v>
      </c>
      <c r="I13" s="187">
        <v>44393</v>
      </c>
      <c r="J13" s="187">
        <v>44408</v>
      </c>
      <c r="K13" s="187">
        <v>42644</v>
      </c>
      <c r="L13" s="188" t="s">
        <v>273</v>
      </c>
      <c r="M13" s="79">
        <v>44582</v>
      </c>
      <c r="N13" s="67"/>
      <c r="O13" s="67">
        <f t="shared" si="0"/>
        <v>44582</v>
      </c>
      <c r="P13" s="67"/>
      <c r="Q13" s="67">
        <v>0</v>
      </c>
      <c r="R13" s="67"/>
      <c r="S13" s="68">
        <f t="shared" si="1"/>
        <v>0</v>
      </c>
    </row>
    <row r="14" spans="1:20" ht="32.25" customHeight="1" x14ac:dyDescent="0.25">
      <c r="A14" s="122"/>
      <c r="B14" s="2" t="s">
        <v>275</v>
      </c>
      <c r="C14" s="236" t="s">
        <v>333</v>
      </c>
      <c r="D14" s="93" t="s">
        <v>224</v>
      </c>
      <c r="E14" s="2" t="s">
        <v>276</v>
      </c>
      <c r="F14" s="2" t="s">
        <v>7</v>
      </c>
      <c r="G14" s="186">
        <v>2.63E-2</v>
      </c>
      <c r="H14" s="186">
        <v>0.1845</v>
      </c>
      <c r="I14" s="297">
        <v>44773</v>
      </c>
      <c r="J14" s="297">
        <v>44788</v>
      </c>
      <c r="K14" s="187">
        <v>43980</v>
      </c>
      <c r="L14" s="188" t="s">
        <v>277</v>
      </c>
      <c r="M14" s="79">
        <v>895.57</v>
      </c>
      <c r="N14" s="70"/>
      <c r="O14" s="67">
        <f>M14+N14</f>
        <v>895.57</v>
      </c>
      <c r="P14" s="67"/>
      <c r="Q14" s="67"/>
      <c r="R14" s="67"/>
      <c r="S14" s="68">
        <f>Q14+R14</f>
        <v>0</v>
      </c>
    </row>
    <row r="15" spans="1:20" ht="32.25" customHeight="1" x14ac:dyDescent="0.25">
      <c r="A15" s="122"/>
      <c r="B15" s="2" t="s">
        <v>279</v>
      </c>
      <c r="C15" s="236" t="s">
        <v>333</v>
      </c>
      <c r="D15" s="93" t="s">
        <v>224</v>
      </c>
      <c r="E15" s="2" t="s">
        <v>280</v>
      </c>
      <c r="F15" s="2" t="s">
        <v>7</v>
      </c>
      <c r="G15" s="186">
        <v>2.63E-2</v>
      </c>
      <c r="H15" s="186">
        <v>0.1845</v>
      </c>
      <c r="I15" s="187">
        <v>44592</v>
      </c>
      <c r="J15" s="187">
        <v>44592</v>
      </c>
      <c r="K15" s="187">
        <v>43980</v>
      </c>
      <c r="L15" s="188" t="s">
        <v>332</v>
      </c>
      <c r="M15" s="79">
        <v>3000</v>
      </c>
      <c r="N15" s="67"/>
      <c r="O15" s="67">
        <f t="shared" ref="O15:O22" si="3">M15+N15</f>
        <v>3000</v>
      </c>
      <c r="P15" s="66"/>
      <c r="Q15" s="67">
        <v>3000</v>
      </c>
      <c r="R15" s="67"/>
      <c r="S15" s="68">
        <f t="shared" ref="S15:S22" si="4">Q15+R15</f>
        <v>3000</v>
      </c>
    </row>
    <row r="16" spans="1:20" ht="32.25" customHeight="1" x14ac:dyDescent="0.25">
      <c r="A16" s="122"/>
      <c r="B16" s="2" t="s">
        <v>281</v>
      </c>
      <c r="C16" s="236" t="s">
        <v>334</v>
      </c>
      <c r="D16" s="93" t="s">
        <v>231</v>
      </c>
      <c r="E16" s="2" t="s">
        <v>282</v>
      </c>
      <c r="F16" s="2" t="s">
        <v>7</v>
      </c>
      <c r="G16" s="186">
        <v>2.63E-2</v>
      </c>
      <c r="H16" s="186">
        <v>0.1845</v>
      </c>
      <c r="I16" s="187">
        <v>44742</v>
      </c>
      <c r="J16" s="187">
        <v>44757</v>
      </c>
      <c r="K16" s="187">
        <v>43979</v>
      </c>
      <c r="L16" s="188" t="s">
        <v>283</v>
      </c>
      <c r="M16" s="79">
        <v>1027</v>
      </c>
      <c r="N16" s="67"/>
      <c r="O16" s="67">
        <f t="shared" si="3"/>
        <v>1027</v>
      </c>
      <c r="P16" s="66"/>
      <c r="Q16" s="67"/>
      <c r="R16" s="67"/>
      <c r="S16" s="68">
        <f t="shared" si="4"/>
        <v>0</v>
      </c>
    </row>
    <row r="17" spans="1:19" ht="32.25" customHeight="1" x14ac:dyDescent="0.25">
      <c r="A17" s="122"/>
      <c r="B17" s="2" t="s">
        <v>321</v>
      </c>
      <c r="C17" s="236" t="s">
        <v>333</v>
      </c>
      <c r="D17" s="93" t="s">
        <v>288</v>
      </c>
      <c r="E17" s="2" t="s">
        <v>322</v>
      </c>
      <c r="F17" s="2" t="s">
        <v>7</v>
      </c>
      <c r="G17" s="186">
        <f>G16:H16</f>
        <v>2.63E-2</v>
      </c>
      <c r="H17" s="186">
        <f>H16</f>
        <v>0.1845</v>
      </c>
      <c r="I17" s="187">
        <v>45199</v>
      </c>
      <c r="J17" s="187">
        <v>45214</v>
      </c>
      <c r="K17" s="187">
        <v>44201</v>
      </c>
      <c r="L17" s="188" t="s">
        <v>323</v>
      </c>
      <c r="M17" s="79">
        <v>13770.25</v>
      </c>
      <c r="N17" s="67"/>
      <c r="O17" s="67">
        <f t="shared" si="3"/>
        <v>13770.25</v>
      </c>
      <c r="P17" s="66"/>
      <c r="Q17" s="67">
        <v>13570.31</v>
      </c>
      <c r="R17" s="67"/>
      <c r="S17" s="68">
        <f t="shared" si="4"/>
        <v>13570.31</v>
      </c>
    </row>
    <row r="18" spans="1:19" ht="32.25" customHeight="1" x14ac:dyDescent="0.25">
      <c r="A18" s="122"/>
      <c r="B18" s="2" t="s">
        <v>326</v>
      </c>
      <c r="C18" s="236" t="s">
        <v>333</v>
      </c>
      <c r="D18" s="93" t="s">
        <v>288</v>
      </c>
      <c r="E18" s="2" t="s">
        <v>330</v>
      </c>
      <c r="F18" s="2" t="s">
        <v>7</v>
      </c>
      <c r="G18" s="186">
        <f t="shared" ref="G18:G19" si="5">G17:H17</f>
        <v>2.63E-2</v>
      </c>
      <c r="H18" s="186">
        <f t="shared" ref="H18:H19" si="6">H17</f>
        <v>0.1845</v>
      </c>
      <c r="I18" s="187">
        <v>45199</v>
      </c>
      <c r="J18" s="187">
        <v>45214</v>
      </c>
      <c r="K18" s="187">
        <v>44201</v>
      </c>
      <c r="L18" s="188" t="s">
        <v>323</v>
      </c>
      <c r="M18" s="79">
        <v>3614.72</v>
      </c>
      <c r="N18" s="67"/>
      <c r="O18" s="67">
        <f t="shared" si="3"/>
        <v>3614.72</v>
      </c>
      <c r="P18" s="66"/>
      <c r="Q18" s="67"/>
      <c r="R18" s="67"/>
      <c r="S18" s="68">
        <f t="shared" si="4"/>
        <v>0</v>
      </c>
    </row>
    <row r="19" spans="1:19" ht="32.25" customHeight="1" x14ac:dyDescent="0.25">
      <c r="A19" s="122"/>
      <c r="B19" s="2" t="s">
        <v>370</v>
      </c>
      <c r="C19" s="236" t="s">
        <v>333</v>
      </c>
      <c r="D19" s="93" t="s">
        <v>288</v>
      </c>
      <c r="E19" s="2" t="s">
        <v>331</v>
      </c>
      <c r="F19" s="2" t="s">
        <v>7</v>
      </c>
      <c r="G19" s="186">
        <f t="shared" si="5"/>
        <v>2.63E-2</v>
      </c>
      <c r="H19" s="186">
        <f t="shared" si="6"/>
        <v>0.1845</v>
      </c>
      <c r="I19" s="187">
        <v>45199</v>
      </c>
      <c r="J19" s="187">
        <v>45214</v>
      </c>
      <c r="K19" s="187">
        <v>44201</v>
      </c>
      <c r="L19" s="188" t="s">
        <v>325</v>
      </c>
      <c r="M19" s="79">
        <v>17109.66</v>
      </c>
      <c r="N19" s="67"/>
      <c r="O19" s="67">
        <f t="shared" si="3"/>
        <v>17109.66</v>
      </c>
      <c r="P19" s="66"/>
      <c r="Q19" s="67">
        <v>17109.66</v>
      </c>
      <c r="R19" s="67"/>
      <c r="S19" s="68">
        <f t="shared" si="4"/>
        <v>17109.66</v>
      </c>
    </row>
    <row r="20" spans="1:19" ht="32.25" customHeight="1" x14ac:dyDescent="0.25">
      <c r="A20" s="122"/>
      <c r="B20" s="2" t="s">
        <v>287</v>
      </c>
      <c r="C20" s="236" t="s">
        <v>333</v>
      </c>
      <c r="D20" s="93" t="s">
        <v>288</v>
      </c>
      <c r="E20" s="2" t="s">
        <v>289</v>
      </c>
      <c r="F20" s="2" t="s">
        <v>7</v>
      </c>
      <c r="G20" s="186">
        <v>2.63E-2</v>
      </c>
      <c r="H20" s="186">
        <v>0.1845</v>
      </c>
      <c r="I20" s="187">
        <v>45199</v>
      </c>
      <c r="J20" s="187">
        <v>45199</v>
      </c>
      <c r="K20" s="187">
        <v>44201</v>
      </c>
      <c r="L20" s="188" t="s">
        <v>320</v>
      </c>
      <c r="M20" s="79">
        <v>31671.8</v>
      </c>
      <c r="N20" s="67"/>
      <c r="O20" s="67">
        <f t="shared" si="3"/>
        <v>31671.8</v>
      </c>
      <c r="P20" s="66"/>
      <c r="Q20" s="67">
        <v>0</v>
      </c>
      <c r="R20" s="67"/>
      <c r="S20" s="68">
        <f t="shared" si="4"/>
        <v>0</v>
      </c>
    </row>
    <row r="21" spans="1:19" ht="32.25" customHeight="1" x14ac:dyDescent="0.25">
      <c r="A21" s="122"/>
      <c r="B21" s="2" t="s">
        <v>352</v>
      </c>
      <c r="C21" s="236" t="s">
        <v>353</v>
      </c>
      <c r="D21" s="93" t="s">
        <v>354</v>
      </c>
      <c r="E21" s="2" t="s">
        <v>355</v>
      </c>
      <c r="F21" s="2" t="s">
        <v>7</v>
      </c>
      <c r="G21" s="186">
        <v>2.63E-2</v>
      </c>
      <c r="H21" s="186">
        <v>0.1845</v>
      </c>
      <c r="I21" s="187">
        <v>45565</v>
      </c>
      <c r="J21" s="187">
        <v>45580</v>
      </c>
      <c r="K21" s="187">
        <v>44279</v>
      </c>
      <c r="L21" s="188" t="s">
        <v>356</v>
      </c>
      <c r="M21" s="79">
        <v>123832.45</v>
      </c>
      <c r="N21" s="67"/>
      <c r="O21" s="67">
        <f t="shared" si="3"/>
        <v>123832.45</v>
      </c>
      <c r="P21" s="66"/>
      <c r="Q21" s="67">
        <f>113475.18+10357.27</f>
        <v>123832.45</v>
      </c>
      <c r="R21" s="67"/>
      <c r="S21" s="68">
        <f t="shared" si="4"/>
        <v>123832.45</v>
      </c>
    </row>
    <row r="22" spans="1:19" ht="32.25" customHeight="1" x14ac:dyDescent="0.25">
      <c r="A22" s="122"/>
      <c r="B22" s="2" t="s">
        <v>357</v>
      </c>
      <c r="C22" s="236" t="s">
        <v>353</v>
      </c>
      <c r="D22" s="93" t="s">
        <v>354</v>
      </c>
      <c r="E22" s="2" t="s">
        <v>358</v>
      </c>
      <c r="F22" s="2" t="s">
        <v>7</v>
      </c>
      <c r="G22" s="186">
        <v>2.63E-2</v>
      </c>
      <c r="H22" s="186">
        <v>0.1845</v>
      </c>
      <c r="I22" s="187">
        <v>45565</v>
      </c>
      <c r="J22" s="187">
        <v>45580</v>
      </c>
      <c r="K22" s="187">
        <v>44279</v>
      </c>
      <c r="L22" s="188" t="s">
        <v>356</v>
      </c>
      <c r="M22" s="79">
        <v>30958.11</v>
      </c>
      <c r="N22" s="67"/>
      <c r="O22" s="67">
        <f t="shared" si="3"/>
        <v>30958.11</v>
      </c>
      <c r="P22" s="66"/>
      <c r="Q22" s="67">
        <v>12745.17</v>
      </c>
      <c r="R22" s="67"/>
      <c r="S22" s="68">
        <f t="shared" si="4"/>
        <v>12745.17</v>
      </c>
    </row>
    <row r="23" spans="1:19" x14ac:dyDescent="0.25">
      <c r="G23" s="123"/>
      <c r="H23" s="123"/>
      <c r="I23" s="116"/>
      <c r="J23" s="116"/>
      <c r="K23" s="116" t="s">
        <v>100</v>
      </c>
      <c r="M23" s="24"/>
      <c r="N23" s="25"/>
      <c r="O23" s="25"/>
      <c r="P23" s="67"/>
      <c r="Q23" s="25"/>
      <c r="R23" s="25"/>
      <c r="S23" s="26"/>
    </row>
    <row r="24" spans="1:19" ht="23.25" customHeight="1" x14ac:dyDescent="0.25">
      <c r="C24" s="93"/>
      <c r="D24" s="93"/>
      <c r="G24" s="123"/>
      <c r="H24" s="123"/>
      <c r="I24" s="116"/>
      <c r="J24" s="116"/>
      <c r="K24" s="116" t="s">
        <v>100</v>
      </c>
      <c r="L24" s="21" t="s">
        <v>38</v>
      </c>
      <c r="M24" s="66">
        <f>SUM(M7:M23)</f>
        <v>670785.47</v>
      </c>
      <c r="N24" s="66">
        <f>SUM(N7:N23)</f>
        <v>144132.78</v>
      </c>
      <c r="O24" s="66">
        <f>SUM(O7:O23)</f>
        <v>814918.25</v>
      </c>
      <c r="P24" s="66"/>
      <c r="Q24" s="66">
        <f>SUM(Q7:Q23)</f>
        <v>508893.14</v>
      </c>
      <c r="R24" s="66">
        <f>SUM(R7:R23)</f>
        <v>0</v>
      </c>
      <c r="S24" s="23">
        <f>SUM(S7:S23)</f>
        <v>508893.14</v>
      </c>
    </row>
    <row r="25" spans="1:19" x14ac:dyDescent="0.25">
      <c r="C25" s="93"/>
      <c r="D25" s="93"/>
      <c r="G25" s="123"/>
      <c r="H25" s="123"/>
      <c r="I25" s="116"/>
      <c r="J25" s="116"/>
      <c r="K25" s="116"/>
      <c r="L25" s="21"/>
      <c r="M25" s="66"/>
      <c r="N25" s="66"/>
      <c r="O25" s="66"/>
      <c r="P25" s="66"/>
      <c r="Q25" s="66"/>
      <c r="R25" s="66"/>
      <c r="S25" s="68"/>
    </row>
    <row r="26" spans="1:19" x14ac:dyDescent="0.25">
      <c r="C26" s="93"/>
      <c r="D26" s="93"/>
      <c r="G26" s="123"/>
      <c r="H26" s="123"/>
      <c r="I26" s="116"/>
      <c r="J26" s="116"/>
      <c r="K26" s="116"/>
      <c r="L26" s="21"/>
      <c r="M26" s="66"/>
      <c r="N26" s="66"/>
      <c r="O26" s="66"/>
      <c r="P26" s="66"/>
      <c r="Q26" s="66"/>
      <c r="R26" s="66"/>
      <c r="S26" s="68"/>
    </row>
    <row r="27" spans="1:19" x14ac:dyDescent="0.25">
      <c r="B27" s="8" t="s">
        <v>125</v>
      </c>
      <c r="C27" s="92"/>
      <c r="D27" s="92"/>
      <c r="S27" s="27"/>
    </row>
    <row r="28" spans="1:19" ht="33.75" customHeight="1" x14ac:dyDescent="0.25">
      <c r="B28" s="341" t="s">
        <v>126</v>
      </c>
      <c r="C28" s="341"/>
      <c r="D28" s="341"/>
      <c r="E28" s="341"/>
      <c r="F28" s="341"/>
      <c r="S28" s="27"/>
    </row>
    <row r="29" spans="1:19" x14ac:dyDescent="0.25">
      <c r="C29" s="92"/>
      <c r="D29" s="92"/>
      <c r="S29" s="27"/>
    </row>
    <row r="30" spans="1:19" ht="50.25" customHeight="1" x14ac:dyDescent="0.25">
      <c r="B30" s="341" t="s">
        <v>129</v>
      </c>
      <c r="C30" s="341"/>
      <c r="D30" s="341"/>
      <c r="E30" s="341"/>
      <c r="F30" s="341"/>
      <c r="S30" s="27"/>
    </row>
    <row r="31" spans="1:19" x14ac:dyDescent="0.25">
      <c r="B31" s="193"/>
      <c r="C31" s="193"/>
      <c r="D31" s="193"/>
      <c r="E31" s="193"/>
      <c r="F31" s="193"/>
      <c r="S31" s="27"/>
    </row>
    <row r="32" spans="1:19" ht="36.75" customHeight="1" x14ac:dyDescent="0.25">
      <c r="B32" s="341" t="s">
        <v>160</v>
      </c>
      <c r="C32" s="341"/>
      <c r="D32" s="341"/>
      <c r="E32" s="341"/>
      <c r="F32" s="341"/>
      <c r="S32" s="27"/>
    </row>
    <row r="33" spans="2:19" ht="15" customHeight="1" x14ac:dyDescent="0.25">
      <c r="B33" s="347" t="s">
        <v>159</v>
      </c>
      <c r="C33" s="341"/>
      <c r="D33" s="341"/>
      <c r="E33" s="341"/>
      <c r="F33" s="341"/>
      <c r="S33" s="27"/>
    </row>
    <row r="34" spans="2:19" ht="15" customHeight="1" x14ac:dyDescent="0.25">
      <c r="B34" s="195"/>
      <c r="C34" s="195"/>
      <c r="D34" s="195"/>
      <c r="E34" s="195"/>
      <c r="S34" s="27"/>
    </row>
    <row r="35" spans="2:19" x14ac:dyDescent="0.25">
      <c r="B35" s="176"/>
      <c r="C35" s="176"/>
      <c r="D35" s="176"/>
      <c r="E35" s="176"/>
      <c r="S35" s="27"/>
    </row>
    <row r="36" spans="2:19" x14ac:dyDescent="0.25">
      <c r="B36" s="7" t="s">
        <v>109</v>
      </c>
      <c r="C36" s="101" t="s">
        <v>112</v>
      </c>
      <c r="D36" s="101" t="s">
        <v>113</v>
      </c>
      <c r="E36" s="176"/>
      <c r="S36" s="27"/>
    </row>
    <row r="37" spans="2:19" x14ac:dyDescent="0.25">
      <c r="B37" s="2" t="s">
        <v>110</v>
      </c>
      <c r="C37" s="92" t="s">
        <v>327</v>
      </c>
      <c r="D37" s="92" t="s">
        <v>118</v>
      </c>
      <c r="E37" s="176"/>
      <c r="S37" s="27"/>
    </row>
    <row r="38" spans="2:19" x14ac:dyDescent="0.25">
      <c r="B38" s="2" t="s">
        <v>111</v>
      </c>
      <c r="C38" s="92" t="s">
        <v>300</v>
      </c>
      <c r="D38" s="92" t="s">
        <v>303</v>
      </c>
      <c r="S38" s="27"/>
    </row>
    <row r="39" spans="2:19" x14ac:dyDescent="0.25">
      <c r="B39" s="2" t="s">
        <v>230</v>
      </c>
      <c r="C39" s="92" t="s">
        <v>135</v>
      </c>
      <c r="D39" s="92" t="s">
        <v>147</v>
      </c>
      <c r="S39" s="27"/>
    </row>
    <row r="40" spans="2:19" x14ac:dyDescent="0.25">
      <c r="B40" s="2" t="s">
        <v>240</v>
      </c>
      <c r="C40" s="92" t="s">
        <v>135</v>
      </c>
      <c r="D40" s="92" t="s">
        <v>147</v>
      </c>
      <c r="S40" s="27"/>
    </row>
    <row r="41" spans="2:19" x14ac:dyDescent="0.25">
      <c r="B41" s="2" t="s">
        <v>275</v>
      </c>
      <c r="C41" s="92" t="s">
        <v>135</v>
      </c>
      <c r="D41" s="92" t="s">
        <v>147</v>
      </c>
      <c r="S41" s="27"/>
    </row>
    <row r="42" spans="2:19" x14ac:dyDescent="0.25">
      <c r="B42" s="2" t="s">
        <v>279</v>
      </c>
      <c r="C42" s="92" t="s">
        <v>135</v>
      </c>
      <c r="D42" s="92" t="s">
        <v>147</v>
      </c>
      <c r="S42" s="27"/>
    </row>
    <row r="43" spans="2:19" x14ac:dyDescent="0.25">
      <c r="B43" s="2" t="s">
        <v>281</v>
      </c>
      <c r="C43" s="92" t="s">
        <v>135</v>
      </c>
      <c r="D43" s="92" t="s">
        <v>147</v>
      </c>
      <c r="S43" s="27"/>
    </row>
    <row r="44" spans="2:19" x14ac:dyDescent="0.25">
      <c r="B44" s="2" t="s">
        <v>286</v>
      </c>
      <c r="C44" s="92" t="s">
        <v>135</v>
      </c>
      <c r="D44" s="92" t="s">
        <v>147</v>
      </c>
      <c r="S44" s="27"/>
    </row>
    <row r="45" spans="2:19" x14ac:dyDescent="0.25">
      <c r="C45" s="92"/>
      <c r="D45" s="92"/>
      <c r="S45" s="27"/>
    </row>
    <row r="46" spans="2:19" x14ac:dyDescent="0.25">
      <c r="B46" s="348" t="s">
        <v>298</v>
      </c>
      <c r="C46" s="336"/>
      <c r="D46" s="336"/>
      <c r="E46" s="336"/>
      <c r="F46" s="336"/>
      <c r="G46" s="336"/>
      <c r="H46" s="336"/>
      <c r="S46" s="27"/>
    </row>
    <row r="47" spans="2:19" ht="15" customHeight="1" x14ac:dyDescent="0.25">
      <c r="B47" s="255" t="s">
        <v>299</v>
      </c>
      <c r="C47" s="92"/>
      <c r="D47" s="92"/>
      <c r="S47" s="27"/>
    </row>
    <row r="48" spans="2:19" ht="15" customHeight="1" x14ac:dyDescent="0.25">
      <c r="B48" s="222"/>
      <c r="C48" s="94"/>
      <c r="D48" s="94"/>
      <c r="E48" s="10"/>
      <c r="F48" s="10"/>
      <c r="G48" s="10"/>
      <c r="H48" s="10"/>
      <c r="I48" s="10"/>
      <c r="J48" s="10"/>
      <c r="K48" s="10"/>
      <c r="L48" s="10"/>
      <c r="M48" s="10"/>
      <c r="N48" s="10"/>
      <c r="O48" s="10"/>
      <c r="P48" s="10"/>
      <c r="Q48" s="10"/>
      <c r="R48" s="10"/>
      <c r="S48" s="28"/>
    </row>
    <row r="49" spans="2:20" ht="15" customHeight="1" x14ac:dyDescent="0.25">
      <c r="C49" s="93"/>
      <c r="D49" s="93"/>
      <c r="Q49" s="59" t="s">
        <v>90</v>
      </c>
      <c r="R49" s="50"/>
      <c r="S49" s="165"/>
    </row>
    <row r="50" spans="2:20" x14ac:dyDescent="0.25">
      <c r="B50" s="17" t="s">
        <v>39</v>
      </c>
      <c r="C50" s="177" t="s">
        <v>2</v>
      </c>
      <c r="D50" s="177"/>
      <c r="E50" s="177" t="s">
        <v>34</v>
      </c>
      <c r="F50" s="177" t="s">
        <v>35</v>
      </c>
      <c r="G50" s="177"/>
      <c r="H50" s="177"/>
      <c r="I50" s="177"/>
      <c r="J50" s="177"/>
      <c r="K50" s="177"/>
      <c r="L50" s="177" t="s">
        <v>36</v>
      </c>
      <c r="M50" s="177" t="s">
        <v>37</v>
      </c>
      <c r="N50" s="47"/>
      <c r="O50" s="47"/>
      <c r="P50" s="47"/>
      <c r="Q50" s="54" t="s">
        <v>88</v>
      </c>
      <c r="R50" s="52"/>
      <c r="S50" s="53"/>
      <c r="T50" s="51"/>
    </row>
    <row r="51" spans="2:20" x14ac:dyDescent="0.25">
      <c r="B51" s="63"/>
      <c r="C51" s="148"/>
      <c r="D51" s="148"/>
      <c r="E51" s="148"/>
      <c r="F51" s="148"/>
      <c r="G51" s="148"/>
      <c r="H51" s="148"/>
      <c r="I51" s="148"/>
      <c r="J51" s="148"/>
      <c r="K51" s="148"/>
      <c r="L51" s="148"/>
      <c r="M51" s="148"/>
      <c r="N51" s="45"/>
      <c r="O51" s="45"/>
      <c r="P51" s="45"/>
      <c r="T51" s="51"/>
    </row>
    <row r="52" spans="2:20" x14ac:dyDescent="0.25">
      <c r="B52" s="63"/>
      <c r="C52" s="148"/>
      <c r="D52" s="148"/>
      <c r="E52" s="148"/>
      <c r="F52" s="148"/>
      <c r="G52" s="148"/>
      <c r="H52" s="148"/>
      <c r="I52" s="148"/>
      <c r="J52" s="148"/>
      <c r="K52" s="148"/>
      <c r="L52" s="148"/>
      <c r="M52" s="148"/>
      <c r="N52" s="45"/>
      <c r="O52" s="45"/>
      <c r="P52" s="45"/>
      <c r="T52" s="51"/>
    </row>
    <row r="53" spans="2:20" x14ac:dyDescent="0.25">
      <c r="B53" s="63"/>
      <c r="C53" s="148"/>
      <c r="D53" s="148"/>
      <c r="E53" s="148"/>
      <c r="F53" s="148"/>
      <c r="G53" s="148"/>
      <c r="H53" s="148"/>
      <c r="I53" s="148"/>
      <c r="J53" s="148"/>
      <c r="K53" s="148"/>
      <c r="L53" s="148"/>
      <c r="M53" s="148"/>
      <c r="N53" s="45"/>
      <c r="O53" s="45"/>
      <c r="P53" s="45"/>
      <c r="T53" s="51"/>
    </row>
    <row r="54" spans="2:20" x14ac:dyDescent="0.25">
      <c r="B54" s="63"/>
      <c r="C54" s="148"/>
      <c r="D54" s="148"/>
      <c r="E54" s="148"/>
      <c r="F54" s="148"/>
      <c r="G54" s="148"/>
      <c r="H54" s="148"/>
      <c r="I54" s="148"/>
      <c r="J54" s="148"/>
      <c r="K54" s="148"/>
      <c r="L54" s="148"/>
      <c r="M54" s="148"/>
      <c r="N54" s="45"/>
      <c r="O54" s="45"/>
      <c r="P54" s="45"/>
      <c r="T54" s="51"/>
    </row>
    <row r="55" spans="2:20" x14ac:dyDescent="0.25">
      <c r="B55" s="12"/>
      <c r="C55" s="13"/>
      <c r="D55" s="13"/>
      <c r="E55" s="41"/>
      <c r="F55" s="15"/>
      <c r="G55" s="15"/>
      <c r="H55" s="15"/>
      <c r="I55" s="15"/>
      <c r="J55" s="15"/>
      <c r="K55" s="15"/>
      <c r="L55" s="16"/>
      <c r="M55" s="20"/>
      <c r="N55" s="18"/>
      <c r="O55" s="18"/>
      <c r="P55" s="18"/>
      <c r="Q55" s="309" t="s">
        <v>316</v>
      </c>
      <c r="R55" s="309"/>
      <c r="S55" s="312">
        <f>S24</f>
        <v>508893.14</v>
      </c>
    </row>
    <row r="56" spans="2:20" x14ac:dyDescent="0.25">
      <c r="B56" s="12"/>
      <c r="C56" s="13"/>
      <c r="D56" s="13"/>
      <c r="E56" s="41"/>
      <c r="F56" s="15"/>
      <c r="G56" s="15"/>
      <c r="H56" s="15"/>
      <c r="I56" s="15"/>
      <c r="J56" s="15"/>
      <c r="K56" s="15"/>
      <c r="L56" s="16"/>
      <c r="M56" s="20"/>
      <c r="N56" s="18"/>
      <c r="O56" s="18"/>
      <c r="P56" s="18"/>
    </row>
  </sheetData>
  <mergeCells count="7">
    <mergeCell ref="B46:H46"/>
    <mergeCell ref="B33:F33"/>
    <mergeCell ref="Q1:S1"/>
    <mergeCell ref="Q2:S2"/>
    <mergeCell ref="B32:F32"/>
    <mergeCell ref="B28:F28"/>
    <mergeCell ref="B30:F30"/>
  </mergeCells>
  <hyperlinks>
    <hyperlink ref="B33" r:id="rId1"/>
  </hyperlinks>
  <printOptions horizontalCentered="1" gridLines="1"/>
  <pageMargins left="0" right="0" top="0.75" bottom="0.75" header="0.3" footer="0.3"/>
  <pageSetup scale="49" orientation="landscape" horizontalDpi="1200" verticalDpi="120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5"/>
  <sheetViews>
    <sheetView topLeftCell="C1" zoomScale="90" zoomScaleNormal="90" workbookViewId="0">
      <selection activeCell="C7" sqref="C7"/>
    </sheetView>
  </sheetViews>
  <sheetFormatPr defaultColWidth="9.140625" defaultRowHeight="15" x14ac:dyDescent="0.25"/>
  <cols>
    <col min="1" max="1" width="9.140625" style="2" hidden="1" customWidth="1"/>
    <col min="2" max="2" width="58.42578125" style="2" customWidth="1"/>
    <col min="3" max="3" width="30.85546875" style="2" customWidth="1"/>
    <col min="4" max="4" width="13.7109375" style="2" customWidth="1"/>
    <col min="5" max="5" width="16.85546875" style="2" customWidth="1"/>
    <col min="6" max="6" width="21.5703125" style="2" customWidth="1"/>
    <col min="7" max="7" width="8.5703125" style="2" customWidth="1"/>
    <col min="8" max="8" width="11.5703125" style="2" customWidth="1"/>
    <col min="9" max="9" width="10.85546875" style="2" customWidth="1"/>
    <col min="10" max="10" width="10" style="2" customWidth="1"/>
    <col min="11" max="11" width="8" style="2" customWidth="1"/>
    <col min="12" max="12" width="18.710937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4.5703125" style="2" customWidth="1"/>
    <col min="20" max="16384" width="9.140625" style="2"/>
  </cols>
  <sheetData>
    <row r="1" spans="1:20" ht="15.6" customHeight="1" x14ac:dyDescent="0.25">
      <c r="B1" s="1" t="s">
        <v>256</v>
      </c>
      <c r="Q1" s="338" t="s">
        <v>296</v>
      </c>
      <c r="R1" s="338"/>
      <c r="S1" s="338"/>
    </row>
    <row r="2" spans="1:20" x14ac:dyDescent="0.25">
      <c r="B2" s="88" t="s">
        <v>148</v>
      </c>
      <c r="C2" s="182">
        <v>44742</v>
      </c>
      <c r="M2" s="71"/>
      <c r="N2" s="71"/>
      <c r="P2" s="29"/>
      <c r="Q2" s="337" t="s">
        <v>375</v>
      </c>
      <c r="R2" s="337"/>
      <c r="S2" s="337"/>
    </row>
    <row r="3" spans="1:20" ht="15.75" thickBot="1" x14ac:dyDescent="0.3">
      <c r="A3" s="2" t="s">
        <v>16</v>
      </c>
      <c r="B3" s="44" t="s">
        <v>74</v>
      </c>
      <c r="C3" s="8"/>
      <c r="D3" s="8"/>
      <c r="E3" s="8"/>
      <c r="P3" s="29"/>
      <c r="Q3" s="45"/>
      <c r="R3" s="30"/>
    </row>
    <row r="4" spans="1:20" x14ac:dyDescent="0.25">
      <c r="B4" s="223"/>
      <c r="M4" s="85" t="s">
        <v>28</v>
      </c>
      <c r="N4" s="85" t="s">
        <v>28</v>
      </c>
      <c r="O4" s="85" t="s">
        <v>28</v>
      </c>
      <c r="P4" s="148"/>
      <c r="Q4" s="89" t="s">
        <v>29</v>
      </c>
      <c r="R4" s="89" t="s">
        <v>31</v>
      </c>
      <c r="S4" s="89" t="s">
        <v>23</v>
      </c>
      <c r="T4" s="7"/>
    </row>
    <row r="5" spans="1:20" ht="15.75" thickBot="1" x14ac:dyDescent="0.3">
      <c r="G5" s="183" t="s">
        <v>295</v>
      </c>
      <c r="H5" s="183" t="s">
        <v>295</v>
      </c>
      <c r="M5" s="86" t="s">
        <v>27</v>
      </c>
      <c r="N5" s="86" t="s">
        <v>26</v>
      </c>
      <c r="O5" s="86" t="s">
        <v>25</v>
      </c>
      <c r="P5" s="148"/>
      <c r="Q5" s="90" t="s">
        <v>30</v>
      </c>
      <c r="R5" s="90" t="s">
        <v>30</v>
      </c>
      <c r="S5" s="90" t="s">
        <v>30</v>
      </c>
      <c r="T5" s="7"/>
    </row>
    <row r="6" spans="1:20" ht="85.5" customHeight="1" thickBot="1" x14ac:dyDescent="0.3">
      <c r="B6" s="84" t="s">
        <v>1</v>
      </c>
      <c r="C6" s="84" t="s">
        <v>389</v>
      </c>
      <c r="D6" s="84" t="s">
        <v>107</v>
      </c>
      <c r="E6" s="84" t="s">
        <v>3</v>
      </c>
      <c r="F6" s="84" t="s">
        <v>4</v>
      </c>
      <c r="G6" s="107" t="s">
        <v>136</v>
      </c>
      <c r="H6" s="107" t="s">
        <v>137</v>
      </c>
      <c r="I6" s="107" t="s">
        <v>133</v>
      </c>
      <c r="J6" s="107" t="s">
        <v>134</v>
      </c>
      <c r="K6" s="107" t="s">
        <v>121</v>
      </c>
      <c r="L6" s="83" t="s">
        <v>5</v>
      </c>
      <c r="M6" s="87" t="s">
        <v>6</v>
      </c>
      <c r="N6" s="87" t="s">
        <v>6</v>
      </c>
      <c r="O6" s="87" t="s">
        <v>6</v>
      </c>
      <c r="P6" s="148"/>
      <c r="Q6" s="91"/>
      <c r="R6" s="97" t="s">
        <v>32</v>
      </c>
      <c r="S6" s="98" t="s">
        <v>33</v>
      </c>
    </row>
    <row r="7" spans="1:20" hidden="1" x14ac:dyDescent="0.25">
      <c r="B7" s="2" t="s">
        <v>8</v>
      </c>
      <c r="C7" s="92" t="s">
        <v>106</v>
      </c>
      <c r="D7" s="92" t="s">
        <v>108</v>
      </c>
      <c r="E7" s="2" t="s">
        <v>155</v>
      </c>
      <c r="F7" s="2" t="s">
        <v>7</v>
      </c>
      <c r="G7" s="186">
        <v>2.7699999999999999E-2</v>
      </c>
      <c r="H7" s="186">
        <v>0.15060000000000001</v>
      </c>
      <c r="I7" s="187">
        <v>43646</v>
      </c>
      <c r="J7" s="187">
        <v>43647</v>
      </c>
      <c r="K7" s="187">
        <v>43282</v>
      </c>
      <c r="L7" s="188" t="s">
        <v>157</v>
      </c>
      <c r="M7" s="70">
        <v>0</v>
      </c>
      <c r="N7" s="70">
        <v>0</v>
      </c>
      <c r="O7" s="67">
        <f>M7+N7</f>
        <v>0</v>
      </c>
      <c r="P7" s="42"/>
      <c r="Q7" s="43">
        <v>0</v>
      </c>
      <c r="R7" s="67"/>
      <c r="S7" s="68">
        <f>Q7+R7</f>
        <v>0</v>
      </c>
    </row>
    <row r="8" spans="1:20" ht="30" hidden="1" customHeight="1" x14ac:dyDescent="0.25">
      <c r="B8" s="2" t="s">
        <v>128</v>
      </c>
      <c r="C8" s="236" t="s">
        <v>122</v>
      </c>
      <c r="D8" s="93" t="s">
        <v>123</v>
      </c>
      <c r="E8" s="2" t="s">
        <v>156</v>
      </c>
      <c r="F8" s="2" t="s">
        <v>7</v>
      </c>
      <c r="G8" s="186">
        <v>3.1399999999999997E-2</v>
      </c>
      <c r="H8" s="186">
        <v>0.16209999999999999</v>
      </c>
      <c r="I8" s="187">
        <v>42916</v>
      </c>
      <c r="J8" s="187">
        <v>42917</v>
      </c>
      <c r="K8" s="187">
        <v>42552</v>
      </c>
      <c r="L8" s="188" t="s">
        <v>139</v>
      </c>
      <c r="M8" s="70">
        <v>0</v>
      </c>
      <c r="N8" s="70"/>
      <c r="O8" s="67">
        <f>M8+N8</f>
        <v>0</v>
      </c>
      <c r="P8" s="42"/>
      <c r="Q8" s="43">
        <v>0</v>
      </c>
      <c r="R8" s="67"/>
      <c r="S8" s="68">
        <f>Q8+R8</f>
        <v>0</v>
      </c>
    </row>
    <row r="9" spans="1:20" ht="35.25" customHeight="1" x14ac:dyDescent="0.25">
      <c r="B9" s="2" t="s">
        <v>22</v>
      </c>
      <c r="C9" s="236" t="s">
        <v>132</v>
      </c>
      <c r="D9" s="92" t="s">
        <v>229</v>
      </c>
      <c r="E9" s="2" t="s">
        <v>222</v>
      </c>
      <c r="F9" s="2" t="s">
        <v>7</v>
      </c>
      <c r="G9" s="186">
        <v>2.63E-2</v>
      </c>
      <c r="H9" s="186">
        <v>0.1845</v>
      </c>
      <c r="I9" s="187">
        <v>44439</v>
      </c>
      <c r="J9" s="187">
        <v>44438</v>
      </c>
      <c r="K9" s="275">
        <v>44013</v>
      </c>
      <c r="L9" s="189" t="s">
        <v>301</v>
      </c>
      <c r="M9" s="70">
        <v>1991</v>
      </c>
      <c r="N9" s="70">
        <v>0</v>
      </c>
      <c r="O9" s="67">
        <f>M9+N9</f>
        <v>1991</v>
      </c>
      <c r="P9" s="42"/>
      <c r="Q9" s="43">
        <v>0</v>
      </c>
      <c r="R9" s="67">
        <v>0</v>
      </c>
      <c r="S9" s="68">
        <f>Q9+R9</f>
        <v>0</v>
      </c>
    </row>
    <row r="10" spans="1:20" ht="36.75" customHeight="1" x14ac:dyDescent="0.25">
      <c r="B10" s="2" t="s">
        <v>22</v>
      </c>
      <c r="C10" s="236" t="s">
        <v>132</v>
      </c>
      <c r="D10" s="92" t="s">
        <v>377</v>
      </c>
      <c r="E10" s="2" t="s">
        <v>376</v>
      </c>
      <c r="F10" s="2" t="s">
        <v>7</v>
      </c>
      <c r="G10" s="186">
        <v>2.63E-2</v>
      </c>
      <c r="H10" s="186">
        <v>0.1845</v>
      </c>
      <c r="I10" s="187">
        <v>44742</v>
      </c>
      <c r="J10" s="187">
        <v>44743</v>
      </c>
      <c r="K10" s="187">
        <v>44013</v>
      </c>
      <c r="L10" s="188" t="s">
        <v>297</v>
      </c>
      <c r="M10" s="70">
        <v>10755.43</v>
      </c>
      <c r="N10" s="70">
        <v>1041.68</v>
      </c>
      <c r="O10" s="67">
        <f>M10+N10</f>
        <v>11797.11</v>
      </c>
      <c r="P10" s="42"/>
      <c r="Q10" s="43">
        <f>10755.43+1041.68</f>
        <v>11797.11</v>
      </c>
      <c r="R10" s="67">
        <v>0</v>
      </c>
      <c r="S10" s="68">
        <f>Q10+R10</f>
        <v>11797.11</v>
      </c>
    </row>
    <row r="11" spans="1:20" ht="36.75" customHeight="1" x14ac:dyDescent="0.25">
      <c r="C11" s="236"/>
      <c r="D11" s="92"/>
      <c r="G11" s="186"/>
      <c r="H11" s="186"/>
      <c r="I11" s="187"/>
      <c r="J11" s="187"/>
      <c r="K11" s="187"/>
      <c r="L11" s="188"/>
      <c r="M11" s="70"/>
      <c r="N11" s="70"/>
      <c r="O11" s="67"/>
      <c r="P11" s="42"/>
      <c r="Q11" s="43"/>
      <c r="R11" s="67"/>
      <c r="S11" s="68"/>
    </row>
    <row r="12" spans="1:20" ht="36.75" customHeight="1" x14ac:dyDescent="0.25">
      <c r="C12" s="236"/>
      <c r="D12" s="92"/>
      <c r="G12" s="186"/>
      <c r="H12" s="186"/>
      <c r="I12" s="187"/>
      <c r="J12" s="187"/>
      <c r="K12" s="187"/>
      <c r="L12" s="188"/>
      <c r="M12" s="70"/>
      <c r="N12" s="70"/>
      <c r="O12" s="67"/>
      <c r="P12" s="42"/>
      <c r="Q12" s="43"/>
      <c r="R12" s="67"/>
      <c r="S12" s="68"/>
    </row>
    <row r="13" spans="1:20" ht="13.5" customHeight="1" x14ac:dyDescent="0.25">
      <c r="C13" s="236"/>
      <c r="D13" s="93"/>
      <c r="G13" s="186"/>
      <c r="H13" s="186"/>
      <c r="I13" s="187"/>
      <c r="J13" s="187"/>
      <c r="K13" s="187"/>
      <c r="L13" s="188"/>
      <c r="M13" s="79"/>
      <c r="N13" s="67"/>
      <c r="O13" s="67"/>
      <c r="P13" s="42"/>
      <c r="Q13" s="43"/>
      <c r="R13" s="67"/>
      <c r="S13" s="68"/>
    </row>
    <row r="14" spans="1:20" ht="21" customHeight="1" x14ac:dyDescent="0.25">
      <c r="B14" s="29"/>
      <c r="C14" s="92"/>
      <c r="D14" s="92"/>
      <c r="L14" s="5" t="s">
        <v>38</v>
      </c>
      <c r="M14" s="273">
        <f>SUM(M7:M10)</f>
        <v>12746.43</v>
      </c>
      <c r="N14" s="273">
        <f>SUM(N7:N10)</f>
        <v>1041.68</v>
      </c>
      <c r="O14" s="273">
        <f>SUM(O7:O10)</f>
        <v>13788.11</v>
      </c>
      <c r="P14" s="273"/>
      <c r="Q14" s="273">
        <f>SUM(Q7:Q10)</f>
        <v>11797.11</v>
      </c>
      <c r="R14" s="273">
        <f>SUM(R7:R10)</f>
        <v>0</v>
      </c>
      <c r="S14" s="23">
        <f>SUM(S7:S10)</f>
        <v>11797.11</v>
      </c>
    </row>
    <row r="15" spans="1:20" x14ac:dyDescent="0.25">
      <c r="B15" s="29"/>
      <c r="C15" s="92"/>
      <c r="D15" s="92"/>
      <c r="L15" s="5"/>
      <c r="M15" s="66"/>
      <c r="N15" s="66"/>
      <c r="O15" s="66"/>
      <c r="P15" s="29"/>
      <c r="Q15" s="66"/>
      <c r="R15" s="66"/>
      <c r="S15" s="68"/>
    </row>
    <row r="16" spans="1:20" x14ac:dyDescent="0.25">
      <c r="B16" s="8" t="s">
        <v>125</v>
      </c>
      <c r="C16" s="92"/>
      <c r="D16" s="92"/>
      <c r="L16" s="5"/>
      <c r="M16" s="66"/>
      <c r="N16" s="66"/>
      <c r="O16" s="66"/>
      <c r="P16" s="29"/>
      <c r="Q16" s="66"/>
      <c r="R16" s="66"/>
      <c r="S16" s="68"/>
    </row>
    <row r="17" spans="2:20" ht="31.5" customHeight="1" x14ac:dyDescent="0.25">
      <c r="B17" s="346" t="s">
        <v>126</v>
      </c>
      <c r="C17" s="346"/>
      <c r="D17" s="346"/>
      <c r="E17" s="346"/>
      <c r="F17" s="346"/>
      <c r="G17" s="289"/>
      <c r="H17" s="289"/>
      <c r="I17" s="289"/>
      <c r="L17" s="5"/>
      <c r="S17" s="27"/>
    </row>
    <row r="18" spans="2:20" x14ac:dyDescent="0.25">
      <c r="C18" s="92"/>
      <c r="D18" s="92"/>
      <c r="L18" s="5"/>
      <c r="M18" s="66"/>
      <c r="N18" s="66"/>
      <c r="O18" s="66"/>
      <c r="Q18" s="66"/>
      <c r="R18" s="66"/>
      <c r="S18" s="68"/>
    </row>
    <row r="19" spans="2:20" ht="44.25" customHeight="1" x14ac:dyDescent="0.25">
      <c r="B19" s="341" t="s">
        <v>129</v>
      </c>
      <c r="C19" s="341"/>
      <c r="D19" s="341"/>
      <c r="E19" s="341"/>
      <c r="F19" s="341"/>
      <c r="G19" s="286"/>
      <c r="H19" s="286"/>
      <c r="I19" s="286"/>
      <c r="L19" s="5"/>
      <c r="M19" s="66"/>
      <c r="N19" s="66"/>
      <c r="O19" s="66"/>
      <c r="Q19" s="66"/>
      <c r="R19" s="66"/>
      <c r="S19" s="68"/>
    </row>
    <row r="20" spans="2:20" x14ac:dyDescent="0.25">
      <c r="B20" s="286"/>
      <c r="C20" s="286"/>
      <c r="D20" s="286"/>
      <c r="E20" s="286"/>
      <c r="F20" s="286"/>
      <c r="G20" s="286"/>
      <c r="H20" s="286"/>
      <c r="I20" s="286"/>
      <c r="L20" s="5"/>
      <c r="M20" s="66"/>
      <c r="N20" s="66"/>
      <c r="O20" s="66"/>
      <c r="Q20" s="66"/>
      <c r="R20" s="66"/>
      <c r="S20" s="68"/>
    </row>
    <row r="21" spans="2:20" ht="30" customHeight="1" x14ac:dyDescent="0.25">
      <c r="B21" s="341" t="s">
        <v>160</v>
      </c>
      <c r="C21" s="341"/>
      <c r="D21" s="341"/>
      <c r="E21" s="341"/>
      <c r="F21" s="341"/>
      <c r="G21" s="286"/>
      <c r="H21" s="286"/>
      <c r="I21" s="286"/>
      <c r="L21" s="5"/>
      <c r="M21" s="66"/>
      <c r="N21" s="66"/>
      <c r="O21" s="66"/>
      <c r="Q21" s="66"/>
      <c r="R21" s="66"/>
      <c r="S21" s="68"/>
    </row>
    <row r="22" spans="2:20" ht="19.5" customHeight="1" x14ac:dyDescent="0.25">
      <c r="B22" s="347" t="s">
        <v>159</v>
      </c>
      <c r="C22" s="347"/>
      <c r="D22" s="347"/>
      <c r="E22" s="347"/>
      <c r="F22" s="347"/>
      <c r="G22" s="286"/>
      <c r="H22" s="286"/>
      <c r="I22" s="286"/>
      <c r="L22" s="5"/>
      <c r="M22" s="66"/>
      <c r="N22" s="66"/>
      <c r="O22" s="66"/>
      <c r="Q22" s="66"/>
      <c r="R22" s="66"/>
      <c r="S22" s="68"/>
    </row>
    <row r="23" spans="2:20" x14ac:dyDescent="0.25">
      <c r="B23" s="286"/>
      <c r="C23" s="286"/>
      <c r="D23" s="286"/>
      <c r="E23" s="286"/>
      <c r="F23" s="286"/>
      <c r="G23" s="286"/>
      <c r="H23" s="286"/>
      <c r="I23" s="286"/>
      <c r="L23" s="5"/>
      <c r="M23" s="66"/>
      <c r="N23" s="66"/>
      <c r="O23" s="66"/>
      <c r="Q23" s="66"/>
      <c r="R23" s="66"/>
      <c r="S23" s="68"/>
    </row>
    <row r="24" spans="2:20" x14ac:dyDescent="0.25">
      <c r="B24" s="7" t="s">
        <v>109</v>
      </c>
      <c r="C24" s="101" t="s">
        <v>112</v>
      </c>
      <c r="D24" s="101" t="s">
        <v>113</v>
      </c>
      <c r="E24" s="286"/>
      <c r="F24" s="286"/>
      <c r="G24" s="286"/>
      <c r="H24" s="286"/>
      <c r="I24" s="286"/>
      <c r="L24" s="5"/>
      <c r="M24" s="66"/>
      <c r="N24" s="66"/>
      <c r="O24" s="66"/>
      <c r="Q24" s="66"/>
      <c r="R24" s="66"/>
      <c r="S24" s="68"/>
    </row>
    <row r="25" spans="2:20" x14ac:dyDescent="0.25">
      <c r="B25" s="2" t="s">
        <v>115</v>
      </c>
      <c r="C25" s="92" t="s">
        <v>378</v>
      </c>
      <c r="D25" s="92" t="s">
        <v>178</v>
      </c>
      <c r="E25" s="299"/>
      <c r="F25" s="299"/>
      <c r="G25" s="299"/>
      <c r="H25" s="299"/>
      <c r="I25" s="299"/>
      <c r="L25" s="5"/>
      <c r="M25" s="66"/>
      <c r="N25" s="66"/>
      <c r="O25" s="66"/>
      <c r="Q25" s="66"/>
      <c r="R25" s="66"/>
      <c r="S25" s="68"/>
    </row>
    <row r="26" spans="2:20" x14ac:dyDescent="0.25">
      <c r="C26" s="92"/>
      <c r="D26" s="92"/>
      <c r="L26" s="5"/>
      <c r="M26" s="66"/>
      <c r="N26" s="66"/>
      <c r="O26" s="66"/>
      <c r="Q26" s="66"/>
      <c r="R26" s="66"/>
      <c r="S26" s="68"/>
    </row>
    <row r="27" spans="2:20" x14ac:dyDescent="0.25">
      <c r="B27" s="290" t="s">
        <v>298</v>
      </c>
      <c r="C27" s="92"/>
      <c r="D27" s="92"/>
      <c r="L27" s="5"/>
      <c r="M27" s="66"/>
      <c r="N27" s="66"/>
      <c r="O27" s="66"/>
      <c r="Q27" s="66"/>
      <c r="R27" s="66"/>
      <c r="S27" s="68"/>
    </row>
    <row r="28" spans="2:20" x14ac:dyDescent="0.25">
      <c r="B28" s="285" t="s">
        <v>299</v>
      </c>
      <c r="C28" s="42"/>
      <c r="D28" s="42"/>
      <c r="E28" s="29"/>
      <c r="F28" s="29"/>
      <c r="G28" s="29"/>
      <c r="H28" s="29"/>
      <c r="L28" s="5"/>
      <c r="M28" s="66"/>
      <c r="N28" s="66"/>
      <c r="O28" s="66"/>
      <c r="Q28" s="66"/>
      <c r="R28" s="66"/>
      <c r="S28" s="68"/>
    </row>
    <row r="29" spans="2:20" x14ac:dyDescent="0.25">
      <c r="C29" s="92"/>
      <c r="D29" s="92"/>
      <c r="L29" s="5"/>
      <c r="M29" s="66"/>
      <c r="N29" s="66"/>
      <c r="O29" s="66"/>
      <c r="Q29" s="66"/>
      <c r="R29" s="66"/>
      <c r="S29" s="68"/>
    </row>
    <row r="30" spans="2:20" x14ac:dyDescent="0.25">
      <c r="B30" s="10"/>
      <c r="C30" s="10"/>
      <c r="D30" s="10"/>
      <c r="E30" s="10"/>
      <c r="F30" s="10"/>
      <c r="G30" s="10"/>
      <c r="H30" s="10"/>
      <c r="I30" s="10"/>
      <c r="J30" s="10"/>
      <c r="K30" s="29"/>
      <c r="L30" s="29"/>
      <c r="M30" s="10"/>
      <c r="N30" s="10"/>
      <c r="O30" s="29"/>
      <c r="P30" s="29"/>
      <c r="Q30" s="56"/>
      <c r="R30" s="56"/>
      <c r="S30" s="167"/>
      <c r="T30" s="51"/>
    </row>
    <row r="31" spans="2:20" x14ac:dyDescent="0.25">
      <c r="K31" s="109"/>
      <c r="L31" s="109"/>
      <c r="O31" s="109"/>
      <c r="P31" s="109"/>
      <c r="Q31" s="166" t="s">
        <v>90</v>
      </c>
      <c r="R31" s="168"/>
      <c r="S31" s="169"/>
    </row>
    <row r="32" spans="2:20" ht="13.9" customHeight="1" x14ac:dyDescent="0.25">
      <c r="B32" s="17" t="s">
        <v>39</v>
      </c>
      <c r="C32" s="288" t="s">
        <v>2</v>
      </c>
      <c r="D32" s="288" t="s">
        <v>34</v>
      </c>
      <c r="E32" s="128" t="s">
        <v>35</v>
      </c>
      <c r="F32" s="288"/>
      <c r="G32" s="343"/>
      <c r="H32" s="343"/>
      <c r="I32" s="343"/>
      <c r="J32" s="288"/>
      <c r="K32" s="288"/>
      <c r="L32" s="288" t="s">
        <v>36</v>
      </c>
      <c r="M32" s="288" t="s">
        <v>37</v>
      </c>
      <c r="N32" s="10"/>
      <c r="O32" s="10"/>
      <c r="P32" s="10"/>
      <c r="Q32" s="54" t="s">
        <v>88</v>
      </c>
      <c r="R32" s="54"/>
      <c r="S32" s="55"/>
    </row>
    <row r="33" spans="1:16" ht="15" customHeight="1" x14ac:dyDescent="0.25">
      <c r="A33" s="29"/>
      <c r="C33" s="132"/>
      <c r="D33" s="153"/>
      <c r="E33" s="133"/>
      <c r="F33" s="136"/>
      <c r="G33" s="345"/>
      <c r="H33" s="345"/>
      <c r="I33" s="345"/>
      <c r="J33" s="345"/>
      <c r="K33" s="137"/>
      <c r="L33" s="138"/>
      <c r="M33" s="139"/>
      <c r="N33" s="139"/>
      <c r="O33" s="18"/>
      <c r="P33" s="18"/>
    </row>
    <row r="34" spans="1:16" x14ac:dyDescent="0.25">
      <c r="B34" s="36"/>
      <c r="C34" s="152"/>
      <c r="D34" s="154"/>
      <c r="E34" s="134"/>
      <c r="F34" s="15"/>
      <c r="G34" s="38"/>
      <c r="H34" s="38"/>
      <c r="I34" s="38"/>
      <c r="J34" s="38"/>
      <c r="K34" s="38"/>
      <c r="L34" s="33"/>
      <c r="M34" s="31"/>
      <c r="N34" s="99"/>
    </row>
    <row r="35" spans="1:16" ht="16.5" customHeight="1" x14ac:dyDescent="0.25">
      <c r="C35" s="151"/>
      <c r="D35" s="154"/>
      <c r="E35" s="134"/>
      <c r="F35" s="155"/>
      <c r="G35" s="38"/>
      <c r="H35" s="38"/>
      <c r="I35" s="38"/>
      <c r="J35" s="38"/>
      <c r="K35" s="38"/>
      <c r="L35" s="39"/>
      <c r="M35" s="20"/>
      <c r="N35" s="99"/>
      <c r="O35" s="99"/>
      <c r="P35" s="29"/>
    </row>
    <row r="36" spans="1:16" ht="15" hidden="1" customHeight="1" x14ac:dyDescent="0.25">
      <c r="D36" s="45"/>
      <c r="E36" s="129"/>
      <c r="F36" s="93"/>
    </row>
    <row r="37" spans="1:16" ht="15" customHeight="1" x14ac:dyDescent="0.25">
      <c r="D37" s="45"/>
      <c r="E37" s="135"/>
      <c r="F37" s="82"/>
      <c r="G37" s="102"/>
      <c r="H37" s="102"/>
      <c r="I37" s="102"/>
      <c r="J37" s="102"/>
      <c r="K37" s="102"/>
    </row>
    <row r="38" spans="1:16" x14ac:dyDescent="0.25">
      <c r="C38" s="151"/>
      <c r="D38" s="45"/>
      <c r="E38" s="129"/>
      <c r="F38" s="150"/>
    </row>
    <row r="39" spans="1:16" x14ac:dyDescent="0.25">
      <c r="D39" s="45"/>
      <c r="E39" s="129"/>
      <c r="F39" s="93"/>
    </row>
    <row r="40" spans="1:16" ht="15" customHeight="1" x14ac:dyDescent="0.25">
      <c r="D40" s="45"/>
      <c r="E40" s="129"/>
      <c r="F40" s="93"/>
    </row>
    <row r="41" spans="1:16" x14ac:dyDescent="0.25">
      <c r="E41" s="156">
        <f>SUM(E33:E40)</f>
        <v>0</v>
      </c>
    </row>
    <row r="42" spans="1:16" x14ac:dyDescent="0.25">
      <c r="E42" s="287"/>
      <c r="F42" s="287"/>
      <c r="G42" s="287"/>
      <c r="H42" s="287"/>
      <c r="I42" s="287"/>
      <c r="J42" s="287"/>
      <c r="K42" s="287"/>
      <c r="L42" s="287"/>
      <c r="M42" s="287"/>
      <c r="N42" s="287"/>
      <c r="O42" s="287"/>
    </row>
    <row r="43" spans="1:16" x14ac:dyDescent="0.25">
      <c r="E43" s="287"/>
      <c r="F43" s="287"/>
      <c r="G43" s="287"/>
      <c r="H43" s="287"/>
      <c r="I43" s="287"/>
      <c r="J43" s="287"/>
      <c r="K43" s="287"/>
      <c r="L43" s="287"/>
      <c r="M43" s="287"/>
      <c r="N43" s="287"/>
      <c r="O43" s="287"/>
    </row>
    <row r="55" spans="17:19" x14ac:dyDescent="0.25">
      <c r="Q55" s="309" t="s">
        <v>316</v>
      </c>
      <c r="R55" s="309"/>
      <c r="S55" s="310">
        <f>S14</f>
        <v>11797.11</v>
      </c>
    </row>
  </sheetData>
  <mergeCells count="8">
    <mergeCell ref="G32:I32"/>
    <mergeCell ref="G33:J33"/>
    <mergeCell ref="Q1:S1"/>
    <mergeCell ref="Q2:S2"/>
    <mergeCell ref="B17:F17"/>
    <mergeCell ref="B19:F19"/>
    <mergeCell ref="B21:F21"/>
    <mergeCell ref="B22:F22"/>
  </mergeCells>
  <hyperlinks>
    <hyperlink ref="B22" r:id="rId1"/>
  </hyperlinks>
  <printOptions horizontalCentered="1" gridLines="1"/>
  <pageMargins left="0" right="0" top="0.75" bottom="0.75" header="0.3" footer="0.3"/>
  <pageSetup scale="45" orientation="landscape" horizontalDpi="1200" verticalDpi="1200"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5"/>
  <sheetViews>
    <sheetView topLeftCell="B2" zoomScale="90" zoomScaleNormal="90" workbookViewId="0">
      <selection activeCell="C7" sqref="C7"/>
    </sheetView>
  </sheetViews>
  <sheetFormatPr defaultColWidth="9.140625" defaultRowHeight="15" x14ac:dyDescent="0.25"/>
  <cols>
    <col min="1" max="1" width="5.7109375" style="2" hidden="1" customWidth="1"/>
    <col min="2" max="2" width="64" style="2" customWidth="1"/>
    <col min="3" max="3" width="25.5703125" style="2" customWidth="1"/>
    <col min="4" max="4" width="13.7109375" style="2" customWidth="1"/>
    <col min="5" max="5" width="17" style="2" bestFit="1" customWidth="1"/>
    <col min="6" max="6" width="21.7109375" style="2" customWidth="1"/>
    <col min="7" max="7" width="10.28515625" style="2" customWidth="1"/>
    <col min="8" max="8" width="12.85546875" style="2" customWidth="1"/>
    <col min="9" max="9" width="13.42578125" style="2" customWidth="1"/>
    <col min="10" max="10" width="15.7109375" style="2" customWidth="1"/>
    <col min="11" max="11" width="9.85546875" style="2" customWidth="1"/>
    <col min="12" max="12" width="18.7109375" style="2" customWidth="1"/>
    <col min="13" max="13" width="13.28515625" style="2" bestFit="1" customWidth="1"/>
    <col min="14" max="14" width="13.7109375" style="2" customWidth="1"/>
    <col min="15" max="15" width="14.42578125" style="2" customWidth="1"/>
    <col min="16" max="16" width="3.140625" style="2" customWidth="1"/>
    <col min="17" max="17" width="12" style="2" customWidth="1"/>
    <col min="18" max="18" width="14.140625" style="2" customWidth="1"/>
    <col min="19" max="19" width="16.7109375" style="2" customWidth="1"/>
    <col min="20" max="16384" width="9.140625" style="2"/>
  </cols>
  <sheetData>
    <row r="1" spans="1:20" ht="18" customHeight="1" x14ac:dyDescent="0.25">
      <c r="B1" s="8" t="s">
        <v>152</v>
      </c>
      <c r="Q1" s="338" t="s">
        <v>296</v>
      </c>
      <c r="R1" s="338"/>
      <c r="S1" s="338"/>
    </row>
    <row r="2" spans="1:20" ht="18" customHeight="1" x14ac:dyDescent="0.25">
      <c r="B2" s="88" t="s">
        <v>148</v>
      </c>
      <c r="C2" s="182">
        <v>44742</v>
      </c>
      <c r="M2" s="71"/>
      <c r="N2" s="71"/>
      <c r="P2" s="29"/>
      <c r="Q2" s="337" t="s">
        <v>375</v>
      </c>
      <c r="R2" s="337"/>
      <c r="S2" s="337"/>
    </row>
    <row r="3" spans="1:20" ht="18" customHeight="1" thickBot="1" x14ac:dyDescent="0.3">
      <c r="A3" s="2" t="s">
        <v>16</v>
      </c>
      <c r="B3" s="44" t="s">
        <v>153</v>
      </c>
      <c r="C3" s="8"/>
      <c r="D3" s="8"/>
      <c r="E3" s="8"/>
      <c r="P3" s="29"/>
      <c r="Q3" s="45"/>
      <c r="R3" s="30"/>
    </row>
    <row r="4" spans="1:20" ht="18.75" customHeight="1" x14ac:dyDescent="0.25">
      <c r="B4" s="8" t="s">
        <v>174</v>
      </c>
      <c r="M4" s="85" t="s">
        <v>28</v>
      </c>
      <c r="N4" s="85" t="s">
        <v>28</v>
      </c>
      <c r="O4" s="85" t="s">
        <v>28</v>
      </c>
      <c r="P4" s="148"/>
      <c r="Q4" s="89" t="s">
        <v>29</v>
      </c>
      <c r="R4" s="89" t="s">
        <v>31</v>
      </c>
      <c r="S4" s="89" t="s">
        <v>23</v>
      </c>
      <c r="T4" s="7"/>
    </row>
    <row r="5" spans="1:20" ht="15.75" thickBot="1" x14ac:dyDescent="0.3">
      <c r="G5" s="183" t="s">
        <v>295</v>
      </c>
      <c r="H5" s="183" t="s">
        <v>295</v>
      </c>
      <c r="M5" s="86" t="s">
        <v>27</v>
      </c>
      <c r="N5" s="86" t="s">
        <v>26</v>
      </c>
      <c r="O5" s="86" t="s">
        <v>25</v>
      </c>
      <c r="P5" s="148"/>
      <c r="Q5" s="90" t="s">
        <v>30</v>
      </c>
      <c r="R5" s="90" t="s">
        <v>30</v>
      </c>
      <c r="S5" s="90" t="s">
        <v>30</v>
      </c>
      <c r="T5" s="7"/>
    </row>
    <row r="6" spans="1:20" ht="85.5" customHeight="1" thickBot="1" x14ac:dyDescent="0.3">
      <c r="B6" s="84" t="s">
        <v>1</v>
      </c>
      <c r="C6" s="84" t="s">
        <v>389</v>
      </c>
      <c r="D6" s="84" t="s">
        <v>107</v>
      </c>
      <c r="E6" s="84" t="s">
        <v>3</v>
      </c>
      <c r="F6" s="84" t="s">
        <v>4</v>
      </c>
      <c r="G6" s="107" t="s">
        <v>136</v>
      </c>
      <c r="H6" s="107" t="s">
        <v>137</v>
      </c>
      <c r="I6" s="107" t="s">
        <v>133</v>
      </c>
      <c r="J6" s="107" t="s">
        <v>134</v>
      </c>
      <c r="K6" s="107" t="s">
        <v>121</v>
      </c>
      <c r="L6" s="83" t="s">
        <v>5</v>
      </c>
      <c r="M6" s="87" t="s">
        <v>6</v>
      </c>
      <c r="N6" s="87" t="s">
        <v>6</v>
      </c>
      <c r="O6" s="87" t="s">
        <v>6</v>
      </c>
      <c r="P6" s="148"/>
      <c r="Q6" s="91"/>
      <c r="R6" s="97" t="s">
        <v>32</v>
      </c>
      <c r="S6" s="98" t="s">
        <v>33</v>
      </c>
    </row>
    <row r="7" spans="1:20" hidden="1" x14ac:dyDescent="0.25">
      <c r="B7" s="200"/>
      <c r="C7" s="110"/>
      <c r="D7" s="92" t="s">
        <v>212</v>
      </c>
      <c r="E7" s="2" t="s">
        <v>217</v>
      </c>
      <c r="F7" s="2" t="s">
        <v>7</v>
      </c>
      <c r="G7" s="186">
        <v>2.9600000000000001E-2</v>
      </c>
      <c r="H7" s="186">
        <v>0.1744</v>
      </c>
      <c r="I7" s="187">
        <v>44377</v>
      </c>
      <c r="J7" s="187">
        <v>44378</v>
      </c>
      <c r="K7" s="187">
        <v>44013</v>
      </c>
      <c r="L7" s="188" t="s">
        <v>219</v>
      </c>
      <c r="M7" s="78"/>
      <c r="N7" s="67"/>
      <c r="O7" s="67"/>
      <c r="P7" s="67"/>
      <c r="Q7" s="67"/>
      <c r="R7" s="67"/>
      <c r="S7" s="68"/>
    </row>
    <row r="8" spans="1:20" ht="31.5" customHeight="1" x14ac:dyDescent="0.25">
      <c r="B8" s="2" t="s">
        <v>223</v>
      </c>
      <c r="C8" s="236" t="s">
        <v>333</v>
      </c>
      <c r="D8" s="93" t="s">
        <v>224</v>
      </c>
      <c r="E8" s="2" t="s">
        <v>225</v>
      </c>
      <c r="F8" s="2" t="s">
        <v>7</v>
      </c>
      <c r="G8" s="186">
        <v>2.63E-2</v>
      </c>
      <c r="H8" s="186">
        <v>0.1845</v>
      </c>
      <c r="I8" s="187">
        <v>44834</v>
      </c>
      <c r="J8" s="187">
        <v>44849</v>
      </c>
      <c r="K8" s="187">
        <v>43614</v>
      </c>
      <c r="L8" s="188" t="s">
        <v>274</v>
      </c>
      <c r="M8" s="78">
        <v>64680.72</v>
      </c>
      <c r="N8" s="67"/>
      <c r="O8" s="67">
        <f>M8+N8</f>
        <v>64680.72</v>
      </c>
      <c r="P8" s="67"/>
      <c r="Q8" s="67">
        <v>31622.19</v>
      </c>
      <c r="R8" s="67"/>
      <c r="S8" s="68">
        <f>Q8</f>
        <v>31622.19</v>
      </c>
    </row>
    <row r="9" spans="1:20" ht="31.5" customHeight="1" x14ac:dyDescent="0.25">
      <c r="B9" s="2" t="s">
        <v>275</v>
      </c>
      <c r="C9" s="236" t="s">
        <v>333</v>
      </c>
      <c r="D9" s="93" t="s">
        <v>224</v>
      </c>
      <c r="E9" s="2" t="s">
        <v>276</v>
      </c>
      <c r="F9" s="2" t="s">
        <v>7</v>
      </c>
      <c r="G9" s="186">
        <v>2.63E-2</v>
      </c>
      <c r="H9" s="186">
        <v>0.1845</v>
      </c>
      <c r="I9" s="297">
        <v>44773</v>
      </c>
      <c r="J9" s="297">
        <v>44788</v>
      </c>
      <c r="K9" s="187">
        <v>43980</v>
      </c>
      <c r="L9" s="188" t="s">
        <v>277</v>
      </c>
      <c r="M9" s="79">
        <v>3482.84</v>
      </c>
      <c r="N9" s="70"/>
      <c r="O9" s="67">
        <f>M9+N9</f>
        <v>3482.84</v>
      </c>
      <c r="P9" s="67"/>
      <c r="Q9" s="67"/>
      <c r="R9" s="67"/>
      <c r="S9" s="68">
        <f>Q9+R9</f>
        <v>0</v>
      </c>
    </row>
    <row r="10" spans="1:20" ht="31.5" customHeight="1" x14ac:dyDescent="0.25">
      <c r="B10" s="2" t="s">
        <v>279</v>
      </c>
      <c r="C10" s="236" t="s">
        <v>333</v>
      </c>
      <c r="D10" s="93" t="s">
        <v>224</v>
      </c>
      <c r="E10" s="2" t="s">
        <v>280</v>
      </c>
      <c r="F10" s="2" t="s">
        <v>7</v>
      </c>
      <c r="G10" s="186">
        <v>2.63E-2</v>
      </c>
      <c r="H10" s="186">
        <v>0.1845</v>
      </c>
      <c r="I10" s="187">
        <v>44592</v>
      </c>
      <c r="J10" s="187">
        <v>44592</v>
      </c>
      <c r="K10" s="187">
        <v>43980</v>
      </c>
      <c r="L10" s="188" t="s">
        <v>332</v>
      </c>
      <c r="M10" s="79">
        <v>3000</v>
      </c>
      <c r="N10" s="67"/>
      <c r="O10" s="67">
        <f t="shared" ref="O10:O20" si="0">M10+N10</f>
        <v>3000</v>
      </c>
      <c r="P10" s="66"/>
      <c r="Q10" s="67"/>
      <c r="R10" s="67"/>
      <c r="S10" s="68">
        <f t="shared" ref="S10:S18" si="1">Q10+R10</f>
        <v>0</v>
      </c>
    </row>
    <row r="11" spans="1:20" ht="31.5" customHeight="1" x14ac:dyDescent="0.25">
      <c r="B11" s="2" t="s">
        <v>281</v>
      </c>
      <c r="C11" s="236" t="s">
        <v>334</v>
      </c>
      <c r="D11" s="93" t="s">
        <v>231</v>
      </c>
      <c r="E11" s="2" t="s">
        <v>282</v>
      </c>
      <c r="F11" s="2" t="s">
        <v>7</v>
      </c>
      <c r="G11" s="186">
        <v>2.63E-2</v>
      </c>
      <c r="H11" s="186">
        <v>0.1845</v>
      </c>
      <c r="I11" s="187">
        <v>44742</v>
      </c>
      <c r="J11" s="187">
        <v>44757</v>
      </c>
      <c r="K11" s="187">
        <v>43979</v>
      </c>
      <c r="L11" s="188" t="s">
        <v>283</v>
      </c>
      <c r="M11" s="79">
        <v>1027</v>
      </c>
      <c r="N11" s="67"/>
      <c r="O11" s="67">
        <f t="shared" si="0"/>
        <v>1027</v>
      </c>
      <c r="P11" s="66"/>
      <c r="Q11" s="67"/>
      <c r="R11" s="67"/>
      <c r="S11" s="68">
        <f t="shared" si="1"/>
        <v>0</v>
      </c>
    </row>
    <row r="12" spans="1:20" ht="31.5" customHeight="1" x14ac:dyDescent="0.25">
      <c r="B12" s="2" t="s">
        <v>321</v>
      </c>
      <c r="C12" s="236" t="s">
        <v>333</v>
      </c>
      <c r="D12" s="93" t="s">
        <v>288</v>
      </c>
      <c r="E12" s="2" t="s">
        <v>322</v>
      </c>
      <c r="F12" s="2" t="s">
        <v>7</v>
      </c>
      <c r="G12" s="186">
        <f>G11:H11</f>
        <v>2.63E-2</v>
      </c>
      <c r="H12" s="186">
        <f>H11</f>
        <v>0.1845</v>
      </c>
      <c r="I12" s="187">
        <v>45199</v>
      </c>
      <c r="J12" s="187">
        <v>45214</v>
      </c>
      <c r="K12" s="187">
        <v>44201</v>
      </c>
      <c r="L12" s="188" t="s">
        <v>323</v>
      </c>
      <c r="M12" s="79">
        <v>47525.36</v>
      </c>
      <c r="N12" s="67"/>
      <c r="O12" s="67">
        <f t="shared" si="0"/>
        <v>47525.36</v>
      </c>
      <c r="P12" s="66"/>
      <c r="Q12" s="67">
        <v>46725</v>
      </c>
      <c r="R12" s="67"/>
      <c r="S12" s="68">
        <f t="shared" si="1"/>
        <v>46725</v>
      </c>
    </row>
    <row r="13" spans="1:20" ht="31.5" customHeight="1" x14ac:dyDescent="0.25">
      <c r="B13" s="2" t="s">
        <v>324</v>
      </c>
      <c r="C13" s="236" t="s">
        <v>333</v>
      </c>
      <c r="D13" s="93" t="s">
        <v>288</v>
      </c>
      <c r="E13" s="2" t="s">
        <v>329</v>
      </c>
      <c r="F13" s="2" t="s">
        <v>7</v>
      </c>
      <c r="G13" s="186">
        <f>G12:H12</f>
        <v>2.63E-2</v>
      </c>
      <c r="H13" s="186">
        <f>H12</f>
        <v>0.1845</v>
      </c>
      <c r="I13" s="187">
        <v>45199</v>
      </c>
      <c r="J13" s="187">
        <v>45214</v>
      </c>
      <c r="K13" s="187">
        <v>44201</v>
      </c>
      <c r="L13" s="188" t="s">
        <v>325</v>
      </c>
      <c r="M13" s="79">
        <v>40754</v>
      </c>
      <c r="N13" s="67"/>
      <c r="O13" s="67">
        <f t="shared" si="0"/>
        <v>40754</v>
      </c>
      <c r="P13" s="66"/>
      <c r="Q13" s="67"/>
      <c r="R13" s="67"/>
      <c r="S13" s="68">
        <f t="shared" si="1"/>
        <v>0</v>
      </c>
    </row>
    <row r="14" spans="1:20" ht="31.5" customHeight="1" x14ac:dyDescent="0.25">
      <c r="B14" s="2" t="s">
        <v>326</v>
      </c>
      <c r="C14" s="236" t="s">
        <v>333</v>
      </c>
      <c r="D14" s="93" t="s">
        <v>288</v>
      </c>
      <c r="E14" s="2" t="s">
        <v>330</v>
      </c>
      <c r="F14" s="2" t="s">
        <v>7</v>
      </c>
      <c r="G14" s="186">
        <f>G13:H13</f>
        <v>2.63E-2</v>
      </c>
      <c r="H14" s="186">
        <f>H13</f>
        <v>0.1845</v>
      </c>
      <c r="I14" s="187">
        <v>45199</v>
      </c>
      <c r="J14" s="187">
        <v>45214</v>
      </c>
      <c r="K14" s="187">
        <v>44201</v>
      </c>
      <c r="L14" s="188" t="s">
        <v>323</v>
      </c>
      <c r="M14" s="79">
        <v>12475.41</v>
      </c>
      <c r="N14" s="67"/>
      <c r="O14" s="67">
        <f t="shared" si="0"/>
        <v>12475.41</v>
      </c>
      <c r="P14" s="66"/>
      <c r="Q14" s="67"/>
      <c r="R14" s="67"/>
      <c r="S14" s="68">
        <f t="shared" si="1"/>
        <v>0</v>
      </c>
    </row>
    <row r="15" spans="1:20" ht="31.5" customHeight="1" x14ac:dyDescent="0.25">
      <c r="B15" s="2" t="s">
        <v>370</v>
      </c>
      <c r="C15" s="236" t="s">
        <v>333</v>
      </c>
      <c r="D15" s="93" t="s">
        <v>288</v>
      </c>
      <c r="E15" s="2" t="s">
        <v>331</v>
      </c>
      <c r="F15" s="2" t="s">
        <v>7</v>
      </c>
      <c r="G15" s="186">
        <f t="shared" ref="G15" si="2">G14:H14</f>
        <v>2.63E-2</v>
      </c>
      <c r="H15" s="186">
        <f t="shared" ref="H15" si="3">H14</f>
        <v>0.1845</v>
      </c>
      <c r="I15" s="187">
        <v>45199</v>
      </c>
      <c r="J15" s="187">
        <v>45214</v>
      </c>
      <c r="K15" s="187">
        <v>44201</v>
      </c>
      <c r="L15" s="188" t="s">
        <v>325</v>
      </c>
      <c r="M15" s="79">
        <v>59050.26</v>
      </c>
      <c r="N15" s="67"/>
      <c r="O15" s="67">
        <f t="shared" si="0"/>
        <v>59050.26</v>
      </c>
      <c r="P15" s="66"/>
      <c r="Q15" s="67">
        <v>41822.75</v>
      </c>
      <c r="R15" s="67"/>
      <c r="S15" s="68">
        <f t="shared" si="1"/>
        <v>41822.75</v>
      </c>
    </row>
    <row r="16" spans="1:20" ht="31.5" customHeight="1" x14ac:dyDescent="0.25">
      <c r="B16" s="2" t="s">
        <v>287</v>
      </c>
      <c r="C16" s="236" t="s">
        <v>333</v>
      </c>
      <c r="D16" s="93" t="s">
        <v>288</v>
      </c>
      <c r="E16" s="2" t="s">
        <v>289</v>
      </c>
      <c r="F16" s="2" t="s">
        <v>7</v>
      </c>
      <c r="G16" s="186">
        <v>2.63E-2</v>
      </c>
      <c r="H16" s="186">
        <v>0.1845</v>
      </c>
      <c r="I16" s="187">
        <v>45199</v>
      </c>
      <c r="J16" s="187">
        <v>45199</v>
      </c>
      <c r="K16" s="187">
        <v>44201</v>
      </c>
      <c r="L16" s="188" t="s">
        <v>320</v>
      </c>
      <c r="M16" s="79">
        <v>109308.32</v>
      </c>
      <c r="N16" s="67"/>
      <c r="O16" s="67">
        <f t="shared" si="0"/>
        <v>109308.32</v>
      </c>
      <c r="P16" s="66"/>
      <c r="Q16" s="67">
        <v>104534.52</v>
      </c>
      <c r="R16" s="67"/>
      <c r="S16" s="68">
        <f t="shared" si="1"/>
        <v>104534.52</v>
      </c>
    </row>
    <row r="17" spans="2:19" ht="31.5" customHeight="1" x14ac:dyDescent="0.25">
      <c r="B17" s="2" t="s">
        <v>352</v>
      </c>
      <c r="C17" s="236" t="s">
        <v>353</v>
      </c>
      <c r="D17" s="93" t="s">
        <v>354</v>
      </c>
      <c r="E17" s="2" t="s">
        <v>355</v>
      </c>
      <c r="F17" s="2" t="s">
        <v>7</v>
      </c>
      <c r="G17" s="186">
        <v>2.63E-2</v>
      </c>
      <c r="H17" s="186">
        <v>0.1845</v>
      </c>
      <c r="I17" s="187">
        <v>45565</v>
      </c>
      <c r="J17" s="187">
        <v>45580</v>
      </c>
      <c r="K17" s="187">
        <v>44279</v>
      </c>
      <c r="L17" s="188" t="s">
        <v>356</v>
      </c>
      <c r="M17" s="79">
        <v>427380.73</v>
      </c>
      <c r="N17" s="67"/>
      <c r="O17" s="67">
        <f t="shared" si="0"/>
        <v>427380.73</v>
      </c>
      <c r="P17" s="66"/>
      <c r="Q17" s="67"/>
      <c r="R17" s="67"/>
      <c r="S17" s="68">
        <f t="shared" si="1"/>
        <v>0</v>
      </c>
    </row>
    <row r="18" spans="2:19" ht="31.5" customHeight="1" x14ac:dyDescent="0.25">
      <c r="B18" s="2" t="s">
        <v>357</v>
      </c>
      <c r="C18" s="236" t="s">
        <v>353</v>
      </c>
      <c r="D18" s="93" t="s">
        <v>354</v>
      </c>
      <c r="E18" s="2" t="s">
        <v>358</v>
      </c>
      <c r="F18" s="2" t="s">
        <v>7</v>
      </c>
      <c r="G18" s="186">
        <v>2.63E-2</v>
      </c>
      <c r="H18" s="186">
        <v>0.1845</v>
      </c>
      <c r="I18" s="187">
        <v>45565</v>
      </c>
      <c r="J18" s="187">
        <v>45580</v>
      </c>
      <c r="K18" s="187">
        <v>44279</v>
      </c>
      <c r="L18" s="188" t="s">
        <v>356</v>
      </c>
      <c r="M18" s="79">
        <v>106845.18</v>
      </c>
      <c r="N18" s="67"/>
      <c r="O18" s="67">
        <f t="shared" si="0"/>
        <v>106845.18</v>
      </c>
      <c r="P18" s="66"/>
      <c r="Q18" s="67"/>
      <c r="R18" s="67"/>
      <c r="S18" s="68">
        <f t="shared" si="1"/>
        <v>0</v>
      </c>
    </row>
    <row r="19" spans="2:19" ht="31.5" customHeight="1" x14ac:dyDescent="0.25">
      <c r="B19" s="2" t="s">
        <v>363</v>
      </c>
      <c r="C19" s="236" t="s">
        <v>333</v>
      </c>
      <c r="D19" s="93" t="s">
        <v>288</v>
      </c>
      <c r="E19" s="2" t="s">
        <v>364</v>
      </c>
      <c r="F19" s="2" t="s">
        <v>7</v>
      </c>
      <c r="G19" s="186">
        <v>2.63E-2</v>
      </c>
      <c r="H19" s="186">
        <v>0.1845</v>
      </c>
      <c r="I19" s="187">
        <v>45199</v>
      </c>
      <c r="J19" s="187">
        <v>45214</v>
      </c>
      <c r="K19" s="187">
        <v>44201</v>
      </c>
      <c r="L19" s="188" t="s">
        <v>365</v>
      </c>
      <c r="M19" s="79">
        <v>1005.93</v>
      </c>
      <c r="N19" s="67"/>
      <c r="O19" s="67">
        <f t="shared" si="0"/>
        <v>1005.93</v>
      </c>
      <c r="P19" s="66"/>
      <c r="Q19" s="67"/>
      <c r="R19" s="67"/>
      <c r="S19" s="68"/>
    </row>
    <row r="20" spans="2:19" ht="31.5" customHeight="1" x14ac:dyDescent="0.25">
      <c r="B20" s="2" t="s">
        <v>366</v>
      </c>
      <c r="C20" s="236" t="s">
        <v>333</v>
      </c>
      <c r="D20" s="93" t="s">
        <v>367</v>
      </c>
      <c r="E20" s="2" t="s">
        <v>368</v>
      </c>
      <c r="F20" s="2" t="s">
        <v>7</v>
      </c>
      <c r="G20" s="186">
        <v>2.63E-2</v>
      </c>
      <c r="H20" s="186">
        <v>0.1845</v>
      </c>
      <c r="I20" s="187">
        <v>45199</v>
      </c>
      <c r="J20" s="187">
        <v>45214</v>
      </c>
      <c r="K20" s="187">
        <v>44201</v>
      </c>
      <c r="L20" s="188" t="s">
        <v>369</v>
      </c>
      <c r="M20" s="79">
        <v>9794.2099999999991</v>
      </c>
      <c r="N20" s="67"/>
      <c r="O20" s="67">
        <f t="shared" si="0"/>
        <v>9794.2099999999991</v>
      </c>
      <c r="P20" s="66"/>
      <c r="Q20" s="67"/>
      <c r="R20" s="67"/>
      <c r="S20" s="68"/>
    </row>
    <row r="21" spans="2:19" ht="18.75" customHeight="1" x14ac:dyDescent="0.25">
      <c r="C21" s="236"/>
      <c r="D21" s="93"/>
      <c r="G21" s="186"/>
      <c r="H21" s="186"/>
      <c r="I21" s="187"/>
      <c r="J21" s="187"/>
      <c r="K21" s="187"/>
      <c r="L21" s="188"/>
      <c r="M21" s="78"/>
      <c r="N21" s="67"/>
      <c r="O21" s="67"/>
      <c r="P21" s="67"/>
      <c r="Q21" s="67"/>
      <c r="R21" s="67"/>
      <c r="S21" s="68"/>
    </row>
    <row r="22" spans="2:19" ht="24" customHeight="1" x14ac:dyDescent="0.25">
      <c r="C22" s="93"/>
      <c r="D22" s="93"/>
      <c r="G22" s="123"/>
      <c r="H22" s="123"/>
      <c r="I22" s="116"/>
      <c r="J22" s="116"/>
      <c r="K22" s="116" t="s">
        <v>100</v>
      </c>
      <c r="L22" s="21" t="s">
        <v>38</v>
      </c>
      <c r="M22" s="273">
        <f>SUM(M8:M21)</f>
        <v>886329.96000000008</v>
      </c>
      <c r="N22" s="273">
        <f>SUM(N8:N21)</f>
        <v>0</v>
      </c>
      <c r="O22" s="273">
        <f>SUM(O8:O21)</f>
        <v>886329.96000000008</v>
      </c>
      <c r="P22" s="66"/>
      <c r="Q22" s="273">
        <f>SUM(Q8:Q21)</f>
        <v>224704.46000000002</v>
      </c>
      <c r="R22" s="273">
        <f>SUM(R8:R21)</f>
        <v>0</v>
      </c>
      <c r="S22" s="23">
        <f>SUM(S8:S21)</f>
        <v>224704.46000000002</v>
      </c>
    </row>
    <row r="23" spans="2:19" x14ac:dyDescent="0.25">
      <c r="C23" s="93"/>
      <c r="D23" s="93"/>
      <c r="G23" s="123"/>
      <c r="H23" s="123"/>
      <c r="I23" s="116"/>
      <c r="J23" s="116"/>
      <c r="K23" s="116"/>
      <c r="L23" s="21"/>
      <c r="M23" s="66"/>
      <c r="N23" s="66"/>
      <c r="O23" s="66"/>
      <c r="P23" s="66"/>
      <c r="Q23" s="66"/>
      <c r="R23" s="66"/>
      <c r="S23" s="68"/>
    </row>
    <row r="24" spans="2:19" x14ac:dyDescent="0.25">
      <c r="B24" s="8" t="s">
        <v>125</v>
      </c>
      <c r="C24" s="92"/>
      <c r="D24" s="92"/>
      <c r="S24" s="27"/>
    </row>
    <row r="25" spans="2:19" ht="33.75" customHeight="1" x14ac:dyDescent="0.25">
      <c r="B25" s="341" t="s">
        <v>126</v>
      </c>
      <c r="C25" s="341"/>
      <c r="D25" s="341"/>
      <c r="E25" s="341"/>
      <c r="F25" s="341"/>
      <c r="S25" s="27"/>
    </row>
    <row r="26" spans="2:19" x14ac:dyDescent="0.25">
      <c r="C26" s="92"/>
      <c r="D26" s="92"/>
      <c r="S26" s="27"/>
    </row>
    <row r="27" spans="2:19" ht="50.25" customHeight="1" x14ac:dyDescent="0.25">
      <c r="B27" s="341" t="s">
        <v>129</v>
      </c>
      <c r="C27" s="341"/>
      <c r="D27" s="341"/>
      <c r="E27" s="341"/>
      <c r="F27" s="341"/>
      <c r="S27" s="27"/>
    </row>
    <row r="28" spans="2:19" x14ac:dyDescent="0.25">
      <c r="B28" s="190"/>
      <c r="C28" s="190"/>
      <c r="D28" s="190"/>
      <c r="E28" s="190"/>
      <c r="S28" s="27"/>
    </row>
    <row r="29" spans="2:19" ht="32.25" customHeight="1" x14ac:dyDescent="0.25">
      <c r="B29" s="341" t="s">
        <v>160</v>
      </c>
      <c r="C29" s="341"/>
      <c r="D29" s="341"/>
      <c r="E29" s="341"/>
      <c r="F29" s="341"/>
      <c r="S29" s="27"/>
    </row>
    <row r="30" spans="2:19" ht="15" customHeight="1" x14ac:dyDescent="0.25">
      <c r="B30" s="347" t="s">
        <v>159</v>
      </c>
      <c r="C30" s="341"/>
      <c r="D30" s="341"/>
      <c r="E30" s="341"/>
      <c r="F30" s="341"/>
      <c r="S30" s="27"/>
    </row>
    <row r="31" spans="2:19" ht="15" customHeight="1" x14ac:dyDescent="0.25">
      <c r="B31" s="195"/>
      <c r="C31" s="195"/>
      <c r="D31" s="195"/>
      <c r="E31" s="195"/>
      <c r="S31" s="27"/>
    </row>
    <row r="32" spans="2:19" x14ac:dyDescent="0.25">
      <c r="B32" s="7" t="s">
        <v>109</v>
      </c>
      <c r="C32" s="101" t="s">
        <v>112</v>
      </c>
      <c r="D32" s="101" t="s">
        <v>113</v>
      </c>
      <c r="E32" s="190"/>
      <c r="S32" s="27"/>
    </row>
    <row r="33" spans="2:20" x14ac:dyDescent="0.25">
      <c r="B33" s="2" t="s">
        <v>230</v>
      </c>
      <c r="C33" s="92" t="s">
        <v>135</v>
      </c>
      <c r="D33" s="92" t="s">
        <v>147</v>
      </c>
      <c r="S33" s="27"/>
    </row>
    <row r="34" spans="2:20" x14ac:dyDescent="0.25">
      <c r="B34" s="2" t="s">
        <v>275</v>
      </c>
      <c r="C34" s="92" t="s">
        <v>135</v>
      </c>
      <c r="D34" s="92" t="s">
        <v>147</v>
      </c>
      <c r="S34" s="27"/>
    </row>
    <row r="35" spans="2:20" x14ac:dyDescent="0.25">
      <c r="B35" s="2" t="s">
        <v>279</v>
      </c>
      <c r="C35" s="92" t="s">
        <v>135</v>
      </c>
      <c r="D35" s="92" t="s">
        <v>147</v>
      </c>
      <c r="S35" s="27"/>
    </row>
    <row r="36" spans="2:20" x14ac:dyDescent="0.25">
      <c r="B36" s="2" t="s">
        <v>281</v>
      </c>
      <c r="C36" s="92" t="s">
        <v>135</v>
      </c>
      <c r="D36" s="92" t="s">
        <v>147</v>
      </c>
      <c r="S36" s="27"/>
    </row>
    <row r="37" spans="2:20" x14ac:dyDescent="0.25">
      <c r="B37" s="2" t="s">
        <v>286</v>
      </c>
      <c r="C37" s="92" t="s">
        <v>135</v>
      </c>
      <c r="D37" s="92" t="s">
        <v>147</v>
      </c>
      <c r="S37" s="27"/>
    </row>
    <row r="38" spans="2:20" x14ac:dyDescent="0.25">
      <c r="C38" s="92"/>
      <c r="D38" s="92"/>
      <c r="S38" s="27"/>
    </row>
    <row r="39" spans="2:20" x14ac:dyDescent="0.25">
      <c r="B39" s="264" t="s">
        <v>298</v>
      </c>
      <c r="C39" s="42"/>
      <c r="D39" s="42"/>
      <c r="E39" s="29"/>
      <c r="F39" s="29"/>
      <c r="G39" s="29"/>
      <c r="H39" s="29"/>
      <c r="I39" s="29"/>
      <c r="J39" s="29"/>
      <c r="K39" s="29"/>
      <c r="L39" s="29"/>
      <c r="M39" s="29"/>
      <c r="N39" s="29"/>
      <c r="O39" s="29"/>
      <c r="P39" s="29"/>
      <c r="Q39" s="29"/>
      <c r="R39" s="29"/>
      <c r="S39" s="27"/>
    </row>
    <row r="40" spans="2:20" x14ac:dyDescent="0.25">
      <c r="B40" s="265" t="s">
        <v>299</v>
      </c>
      <c r="C40" s="42"/>
      <c r="D40" s="42"/>
      <c r="E40" s="29"/>
      <c r="F40" s="29"/>
      <c r="G40" s="29"/>
      <c r="H40" s="29"/>
      <c r="I40" s="29"/>
      <c r="J40" s="29"/>
      <c r="K40" s="29"/>
      <c r="L40" s="29"/>
      <c r="M40" s="29"/>
      <c r="N40" s="29"/>
      <c r="O40" s="29"/>
      <c r="P40" s="29"/>
      <c r="Q40" s="59"/>
      <c r="R40" s="49"/>
      <c r="S40" s="165"/>
    </row>
    <row r="41" spans="2:20" x14ac:dyDescent="0.25">
      <c r="B41" s="265"/>
      <c r="C41" s="42"/>
      <c r="D41" s="42"/>
      <c r="E41" s="29"/>
      <c r="F41" s="29"/>
      <c r="G41" s="29"/>
      <c r="H41" s="29"/>
      <c r="I41" s="29"/>
      <c r="J41" s="29"/>
      <c r="K41" s="29"/>
      <c r="L41" s="29"/>
      <c r="M41" s="29"/>
      <c r="N41" s="29"/>
      <c r="O41" s="29"/>
      <c r="P41" s="29"/>
      <c r="Q41" s="59"/>
      <c r="R41" s="49"/>
      <c r="S41" s="165"/>
    </row>
    <row r="42" spans="2:20" x14ac:dyDescent="0.25">
      <c r="B42" s="266"/>
      <c r="C42" s="262"/>
      <c r="D42" s="262"/>
      <c r="E42" s="109"/>
      <c r="F42" s="109"/>
      <c r="G42" s="109"/>
      <c r="H42" s="109"/>
      <c r="I42" s="109"/>
      <c r="J42" s="109"/>
      <c r="K42" s="109"/>
      <c r="L42" s="109"/>
      <c r="M42" s="109"/>
      <c r="N42" s="109"/>
      <c r="O42" s="109"/>
      <c r="P42" s="109"/>
      <c r="Q42" s="166" t="s">
        <v>90</v>
      </c>
      <c r="R42" s="163"/>
      <c r="S42" s="164"/>
    </row>
    <row r="43" spans="2:20" x14ac:dyDescent="0.25">
      <c r="B43" s="17" t="s">
        <v>39</v>
      </c>
      <c r="C43" s="191" t="s">
        <v>2</v>
      </c>
      <c r="D43" s="191"/>
      <c r="E43" s="191" t="s">
        <v>34</v>
      </c>
      <c r="F43" s="191" t="s">
        <v>35</v>
      </c>
      <c r="G43" s="191"/>
      <c r="H43" s="191"/>
      <c r="I43" s="191"/>
      <c r="J43" s="191"/>
      <c r="K43" s="191"/>
      <c r="L43" s="191" t="s">
        <v>36</v>
      </c>
      <c r="M43" s="191" t="s">
        <v>37</v>
      </c>
      <c r="N43" s="47"/>
      <c r="O43" s="47"/>
      <c r="P43" s="47"/>
      <c r="Q43" s="54" t="s">
        <v>88</v>
      </c>
      <c r="R43" s="52"/>
      <c r="S43" s="53"/>
      <c r="T43" s="51"/>
    </row>
    <row r="44" spans="2:20" ht="15" customHeight="1" x14ac:dyDescent="0.25">
      <c r="B44" s="63"/>
      <c r="C44" s="148"/>
      <c r="D44" s="148"/>
      <c r="E44" s="148"/>
      <c r="F44" s="148"/>
      <c r="G44" s="148"/>
      <c r="H44" s="148"/>
      <c r="I44" s="148"/>
      <c r="J44" s="148"/>
      <c r="K44" s="148"/>
      <c r="L44" s="148"/>
      <c r="M44" s="148"/>
      <c r="N44" s="45"/>
      <c r="O44" s="45"/>
      <c r="P44" s="45"/>
      <c r="T44" s="51"/>
    </row>
    <row r="45" spans="2:20" ht="15" customHeight="1" x14ac:dyDescent="0.25">
      <c r="B45" s="63"/>
      <c r="C45" s="148"/>
      <c r="D45" s="148"/>
      <c r="E45" s="148"/>
      <c r="F45" s="148"/>
      <c r="G45" s="148"/>
      <c r="H45" s="148"/>
      <c r="I45" s="148"/>
      <c r="J45" s="148"/>
      <c r="K45" s="148"/>
      <c r="L45" s="148"/>
      <c r="M45" s="148"/>
      <c r="N45" s="45"/>
      <c r="O45" s="45"/>
      <c r="P45" s="45"/>
      <c r="Q45" s="59"/>
      <c r="R45" s="50"/>
      <c r="S45" s="50"/>
      <c r="T45" s="51"/>
    </row>
    <row r="46" spans="2:20" ht="15" customHeight="1" x14ac:dyDescent="0.25">
      <c r="B46" s="11"/>
      <c r="C46" s="148"/>
      <c r="D46" s="148"/>
      <c r="E46" s="148"/>
      <c r="R46" s="51"/>
      <c r="S46" s="51"/>
      <c r="T46" s="51"/>
    </row>
    <row r="47" spans="2:20" ht="15" customHeight="1" x14ac:dyDescent="0.25">
      <c r="B47" s="11"/>
      <c r="C47" s="148"/>
      <c r="D47" s="148"/>
      <c r="E47" s="148"/>
      <c r="R47" s="51"/>
      <c r="S47" s="51"/>
      <c r="T47" s="51"/>
    </row>
    <row r="48" spans="2:20" ht="15" customHeight="1" x14ac:dyDescent="0.25">
      <c r="B48" s="11"/>
      <c r="C48" s="148"/>
      <c r="D48" s="148"/>
      <c r="E48" s="148"/>
      <c r="R48" s="51"/>
      <c r="S48" s="51"/>
      <c r="T48" s="51"/>
    </row>
    <row r="49" spans="2:19" x14ac:dyDescent="0.25">
      <c r="B49" s="12"/>
      <c r="C49" s="13"/>
      <c r="D49" s="13"/>
      <c r="E49" s="41"/>
      <c r="F49" s="15"/>
      <c r="G49" s="15"/>
      <c r="H49" s="15"/>
      <c r="I49" s="15"/>
      <c r="J49" s="15"/>
      <c r="K49" s="15"/>
      <c r="L49" s="16"/>
      <c r="M49" s="20"/>
      <c r="N49" s="18"/>
      <c r="O49" s="18"/>
      <c r="P49" s="18"/>
    </row>
    <row r="50" spans="2:19" x14ac:dyDescent="0.25">
      <c r="B50" s="12"/>
      <c r="C50" s="13"/>
      <c r="D50" s="13"/>
      <c r="E50" s="41"/>
      <c r="F50" s="15"/>
      <c r="G50" s="15"/>
      <c r="H50" s="15"/>
      <c r="I50" s="15"/>
      <c r="J50" s="15"/>
      <c r="K50" s="15"/>
      <c r="L50" s="16"/>
      <c r="M50" s="20"/>
      <c r="N50" s="18"/>
      <c r="O50" s="18"/>
      <c r="P50" s="18"/>
    </row>
    <row r="51" spans="2:19" x14ac:dyDescent="0.25">
      <c r="B51" s="12"/>
      <c r="C51" s="13"/>
      <c r="D51" s="13"/>
      <c r="E51" s="41"/>
      <c r="F51" s="15"/>
      <c r="G51" s="15"/>
      <c r="H51" s="15"/>
      <c r="I51" s="15"/>
      <c r="J51" s="15"/>
      <c r="K51" s="15"/>
      <c r="L51" s="16"/>
      <c r="M51" s="20"/>
      <c r="N51" s="18"/>
      <c r="O51" s="18"/>
      <c r="P51" s="18"/>
    </row>
    <row r="52" spans="2:19" x14ac:dyDescent="0.25">
      <c r="B52" s="12"/>
      <c r="C52" s="13"/>
      <c r="D52" s="13"/>
      <c r="E52" s="41"/>
      <c r="F52" s="15"/>
      <c r="G52" s="15"/>
      <c r="H52" s="15"/>
      <c r="I52" s="15"/>
      <c r="J52" s="15"/>
      <c r="K52" s="15"/>
      <c r="L52" s="16"/>
      <c r="M52" s="20"/>
      <c r="N52" s="18"/>
      <c r="O52" s="18"/>
      <c r="P52" s="18"/>
    </row>
    <row r="55" spans="2:19" x14ac:dyDescent="0.25">
      <c r="Q55" s="309" t="s">
        <v>316</v>
      </c>
      <c r="R55" s="309"/>
      <c r="S55" s="312">
        <f>S22</f>
        <v>224704.46000000002</v>
      </c>
    </row>
  </sheetData>
  <mergeCells count="6">
    <mergeCell ref="B30:F30"/>
    <mergeCell ref="Q1:S1"/>
    <mergeCell ref="Q2:S2"/>
    <mergeCell ref="B29:F29"/>
    <mergeCell ref="B25:F25"/>
    <mergeCell ref="B27:F27"/>
  </mergeCells>
  <hyperlinks>
    <hyperlink ref="B30" r:id="rId1"/>
  </hyperlinks>
  <printOptions horizontalCentered="1" gridLines="1"/>
  <pageMargins left="0" right="0" top="0.75" bottom="0.75" header="0.3" footer="0.3"/>
  <pageSetup scale="49" orientation="landscape" horizontalDpi="1200" verticalDpi="1200"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5"/>
  <sheetViews>
    <sheetView topLeftCell="B4" zoomScale="90" zoomScaleNormal="90" workbookViewId="0">
      <selection activeCell="Q16" sqref="Q16:Q20"/>
    </sheetView>
  </sheetViews>
  <sheetFormatPr defaultColWidth="9.140625" defaultRowHeight="15" x14ac:dyDescent="0.25"/>
  <cols>
    <col min="1" max="1" width="5.7109375" style="2" hidden="1" customWidth="1"/>
    <col min="2" max="2" width="61.7109375" style="2" customWidth="1"/>
    <col min="3" max="3" width="26.85546875" style="2" customWidth="1"/>
    <col min="4" max="4" width="13.7109375" style="2" customWidth="1"/>
    <col min="5" max="5" width="17" style="2" bestFit="1" customWidth="1"/>
    <col min="6" max="6" width="21.7109375" style="2" customWidth="1"/>
    <col min="7" max="7" width="11.7109375" style="2" customWidth="1"/>
    <col min="8" max="8" width="15.5703125" style="2" customWidth="1"/>
    <col min="9" max="9" width="14" style="2" customWidth="1"/>
    <col min="10" max="10" width="15.5703125" style="2" customWidth="1"/>
    <col min="11" max="11" width="10.28515625" style="2" customWidth="1"/>
    <col min="12" max="12" width="18.7109375" style="2" customWidth="1"/>
    <col min="13" max="13" width="14" style="2" bestFit="1" customWidth="1"/>
    <col min="14" max="14" width="16.140625" style="2" customWidth="1"/>
    <col min="15" max="15" width="14.42578125" style="2" customWidth="1"/>
    <col min="16" max="16" width="3.140625" style="2" customWidth="1"/>
    <col min="17" max="17" width="16" style="2" customWidth="1"/>
    <col min="18" max="18" width="14.140625" style="2" customWidth="1"/>
    <col min="19" max="19" width="16.7109375" style="2" customWidth="1"/>
    <col min="20" max="16384" width="9.140625" style="2"/>
  </cols>
  <sheetData>
    <row r="1" spans="1:20" ht="14.45" customHeight="1" x14ac:dyDescent="0.25">
      <c r="B1" s="8" t="s">
        <v>161</v>
      </c>
      <c r="Q1" s="338" t="s">
        <v>296</v>
      </c>
      <c r="R1" s="338"/>
      <c r="S1" s="338"/>
    </row>
    <row r="2" spans="1:20" x14ac:dyDescent="0.25">
      <c r="B2" s="88" t="s">
        <v>148</v>
      </c>
      <c r="C2" s="182">
        <v>44742</v>
      </c>
      <c r="M2" s="71"/>
      <c r="N2" s="71"/>
      <c r="P2" s="29"/>
      <c r="Q2" s="337" t="s">
        <v>375</v>
      </c>
      <c r="R2" s="337"/>
      <c r="S2" s="337"/>
    </row>
    <row r="3" spans="1:20" ht="15.75" thickBot="1" x14ac:dyDescent="0.3">
      <c r="A3" s="2" t="s">
        <v>16</v>
      </c>
      <c r="B3" s="44" t="s">
        <v>162</v>
      </c>
      <c r="C3" s="8"/>
      <c r="D3" s="8"/>
      <c r="E3" s="8"/>
      <c r="P3" s="29"/>
      <c r="Q3" s="45"/>
      <c r="R3" s="30"/>
    </row>
    <row r="4" spans="1:20" x14ac:dyDescent="0.25">
      <c r="B4" s="8" t="s">
        <v>174</v>
      </c>
      <c r="M4" s="85" t="s">
        <v>28</v>
      </c>
      <c r="N4" s="85" t="s">
        <v>28</v>
      </c>
      <c r="O4" s="85" t="s">
        <v>28</v>
      </c>
      <c r="P4" s="148"/>
      <c r="Q4" s="89" t="s">
        <v>29</v>
      </c>
      <c r="R4" s="89" t="s">
        <v>31</v>
      </c>
      <c r="S4" s="89" t="s">
        <v>23</v>
      </c>
      <c r="T4" s="7"/>
    </row>
    <row r="5" spans="1:20" ht="15.75" thickBot="1" x14ac:dyDescent="0.3">
      <c r="G5" s="183" t="s">
        <v>295</v>
      </c>
      <c r="H5" s="183" t="s">
        <v>295</v>
      </c>
      <c r="M5" s="86" t="s">
        <v>27</v>
      </c>
      <c r="N5" s="86" t="s">
        <v>26</v>
      </c>
      <c r="O5" s="86" t="s">
        <v>25</v>
      </c>
      <c r="P5" s="148"/>
      <c r="Q5" s="90" t="s">
        <v>30</v>
      </c>
      <c r="R5" s="90" t="s">
        <v>30</v>
      </c>
      <c r="S5" s="90" t="s">
        <v>30</v>
      </c>
      <c r="T5" s="7"/>
    </row>
    <row r="6" spans="1:20" ht="85.5" customHeight="1" thickBot="1" x14ac:dyDescent="0.3">
      <c r="B6" s="84" t="s">
        <v>1</v>
      </c>
      <c r="C6" s="84" t="s">
        <v>389</v>
      </c>
      <c r="D6" s="84" t="s">
        <v>107</v>
      </c>
      <c r="E6" s="84" t="s">
        <v>3</v>
      </c>
      <c r="F6" s="84" t="s">
        <v>4</v>
      </c>
      <c r="G6" s="107" t="s">
        <v>136</v>
      </c>
      <c r="H6" s="107" t="s">
        <v>137</v>
      </c>
      <c r="I6" s="107" t="s">
        <v>133</v>
      </c>
      <c r="J6" s="107" t="s">
        <v>134</v>
      </c>
      <c r="K6" s="107" t="s">
        <v>121</v>
      </c>
      <c r="L6" s="83" t="s">
        <v>5</v>
      </c>
      <c r="M6" s="87" t="s">
        <v>6</v>
      </c>
      <c r="N6" s="87" t="s">
        <v>6</v>
      </c>
      <c r="O6" s="87" t="s">
        <v>6</v>
      </c>
      <c r="P6" s="148"/>
      <c r="Q6" s="91"/>
      <c r="R6" s="97" t="s">
        <v>32</v>
      </c>
      <c r="S6" s="98" t="s">
        <v>33</v>
      </c>
    </row>
    <row r="7" spans="1:20" hidden="1" x14ac:dyDescent="0.25">
      <c r="B7" s="200"/>
      <c r="C7" s="110"/>
      <c r="D7" s="92"/>
      <c r="E7" s="2" t="s">
        <v>217</v>
      </c>
      <c r="F7" s="2" t="s">
        <v>7</v>
      </c>
      <c r="G7" s="186">
        <v>2.9600000000000001E-2</v>
      </c>
      <c r="H7" s="186">
        <v>0.1744</v>
      </c>
      <c r="I7" s="187">
        <v>44377</v>
      </c>
      <c r="J7" s="187">
        <v>44378</v>
      </c>
      <c r="K7" s="187">
        <v>44013</v>
      </c>
      <c r="L7" s="188" t="s">
        <v>219</v>
      </c>
      <c r="M7" s="78"/>
      <c r="N7" s="67"/>
      <c r="O7" s="67"/>
      <c r="P7" s="67"/>
      <c r="Q7" s="67"/>
      <c r="R7" s="67"/>
      <c r="S7" s="68"/>
    </row>
    <row r="8" spans="1:20" ht="24" customHeight="1" x14ac:dyDescent="0.25">
      <c r="B8" s="2" t="s">
        <v>257</v>
      </c>
      <c r="C8" s="236" t="s">
        <v>260</v>
      </c>
      <c r="D8" s="93" t="s">
        <v>335</v>
      </c>
      <c r="E8" s="2" t="s">
        <v>336</v>
      </c>
      <c r="F8" s="2" t="s">
        <v>7</v>
      </c>
      <c r="G8" s="186">
        <v>2.63E-2</v>
      </c>
      <c r="H8" s="186">
        <v>0.1845</v>
      </c>
      <c r="I8" s="187">
        <v>44773</v>
      </c>
      <c r="J8" s="187">
        <v>44788</v>
      </c>
      <c r="K8" s="187">
        <v>44378</v>
      </c>
      <c r="L8" s="322" t="s">
        <v>337</v>
      </c>
      <c r="M8" s="79">
        <v>14038.83</v>
      </c>
      <c r="N8" s="67"/>
      <c r="O8" s="67">
        <f>M8+N8</f>
        <v>14038.83</v>
      </c>
      <c r="P8" s="67"/>
      <c r="Q8" s="67">
        <f>3509.7+3509.71+3509.71+3509.71</f>
        <v>14038.829999999998</v>
      </c>
      <c r="R8" s="67"/>
      <c r="S8" s="68">
        <f>Q8+R8</f>
        <v>14038.829999999998</v>
      </c>
    </row>
    <row r="9" spans="1:20" ht="30" customHeight="1" x14ac:dyDescent="0.25">
      <c r="B9" s="228" t="s">
        <v>128</v>
      </c>
      <c r="C9" s="229" t="s">
        <v>122</v>
      </c>
      <c r="D9" s="93" t="s">
        <v>310</v>
      </c>
      <c r="E9" s="2" t="s">
        <v>309</v>
      </c>
      <c r="F9" s="2" t="s">
        <v>7</v>
      </c>
      <c r="G9" s="186">
        <v>2.63E-2</v>
      </c>
      <c r="H9" s="186">
        <v>0.1845</v>
      </c>
      <c r="I9" s="187">
        <v>44742</v>
      </c>
      <c r="J9" s="187">
        <v>44743</v>
      </c>
      <c r="K9" s="187">
        <v>44378</v>
      </c>
      <c r="L9" s="204" t="s">
        <v>297</v>
      </c>
      <c r="M9" s="78">
        <v>20588.96</v>
      </c>
      <c r="N9" s="67"/>
      <c r="O9" s="67">
        <f t="shared" ref="O9:O23" si="0">M9+N9</f>
        <v>20588.96</v>
      </c>
      <c r="P9" s="67"/>
      <c r="Q9" s="67">
        <v>20588.96</v>
      </c>
      <c r="R9" s="67"/>
      <c r="S9" s="68">
        <f t="shared" ref="S9:S13" si="1">Q9+R9</f>
        <v>20588.96</v>
      </c>
    </row>
    <row r="10" spans="1:20" ht="30" customHeight="1" x14ac:dyDescent="0.25">
      <c r="B10" s="330" t="s">
        <v>371</v>
      </c>
      <c r="C10" s="236" t="s">
        <v>373</v>
      </c>
      <c r="D10" s="331" t="s">
        <v>372</v>
      </c>
      <c r="E10" s="29" t="s">
        <v>374</v>
      </c>
      <c r="F10" s="2" t="s">
        <v>7</v>
      </c>
      <c r="G10" s="186">
        <v>2.63E-2</v>
      </c>
      <c r="H10" s="186">
        <v>0.1845</v>
      </c>
      <c r="I10" s="187">
        <v>45199</v>
      </c>
      <c r="J10" s="187">
        <v>45214</v>
      </c>
      <c r="K10" s="187">
        <v>44378</v>
      </c>
      <c r="L10" s="188" t="s">
        <v>325</v>
      </c>
      <c r="M10" s="70">
        <v>6163.42</v>
      </c>
      <c r="N10" s="70"/>
      <c r="O10" s="67">
        <f>M10+N10</f>
        <v>6163.42</v>
      </c>
      <c r="P10" s="67"/>
      <c r="Q10" s="67">
        <v>6163.42</v>
      </c>
      <c r="R10" s="67"/>
      <c r="S10" s="68">
        <f t="shared" si="1"/>
        <v>6163.42</v>
      </c>
    </row>
    <row r="11" spans="1:20" ht="30" customHeight="1" x14ac:dyDescent="0.25">
      <c r="B11" s="2" t="s">
        <v>223</v>
      </c>
      <c r="C11" s="236" t="s">
        <v>333</v>
      </c>
      <c r="D11" s="93" t="s">
        <v>224</v>
      </c>
      <c r="E11" s="2" t="s">
        <v>225</v>
      </c>
      <c r="F11" s="2" t="s">
        <v>7</v>
      </c>
      <c r="G11" s="186">
        <v>2.63E-2</v>
      </c>
      <c r="H11" s="186">
        <v>0.1845</v>
      </c>
      <c r="I11" s="187">
        <v>44834</v>
      </c>
      <c r="J11" s="187">
        <v>44849</v>
      </c>
      <c r="K11" s="187">
        <v>43614</v>
      </c>
      <c r="L11" s="188" t="s">
        <v>274</v>
      </c>
      <c r="M11" s="78">
        <v>92099.39</v>
      </c>
      <c r="N11" s="67"/>
      <c r="O11" s="67">
        <f t="shared" si="0"/>
        <v>92099.39</v>
      </c>
      <c r="P11" s="67"/>
      <c r="Q11" s="67">
        <v>92099.39</v>
      </c>
      <c r="R11" s="67"/>
      <c r="S11" s="68">
        <f t="shared" si="1"/>
        <v>92099.39</v>
      </c>
    </row>
    <row r="12" spans="1:20" ht="30" customHeight="1" x14ac:dyDescent="0.25">
      <c r="B12" s="292" t="s">
        <v>237</v>
      </c>
      <c r="C12" s="236" t="s">
        <v>334</v>
      </c>
      <c r="D12" s="93" t="s">
        <v>231</v>
      </c>
      <c r="E12" s="2" t="s">
        <v>238</v>
      </c>
      <c r="F12" s="2" t="s">
        <v>7</v>
      </c>
      <c r="G12" s="186">
        <v>2.63E-2</v>
      </c>
      <c r="H12" s="186">
        <v>0.1845</v>
      </c>
      <c r="I12" s="187">
        <v>44834</v>
      </c>
      <c r="J12" s="187">
        <v>44849</v>
      </c>
      <c r="K12" s="187">
        <v>43613</v>
      </c>
      <c r="L12" s="188" t="s">
        <v>292</v>
      </c>
      <c r="M12" s="65">
        <v>10000</v>
      </c>
      <c r="N12" s="67"/>
      <c r="O12" s="67">
        <f t="shared" si="0"/>
        <v>10000</v>
      </c>
      <c r="P12" s="67"/>
      <c r="Q12" s="67">
        <v>10000</v>
      </c>
      <c r="R12" s="67"/>
      <c r="S12" s="68">
        <f t="shared" si="1"/>
        <v>10000</v>
      </c>
    </row>
    <row r="13" spans="1:20" ht="30.75" customHeight="1" x14ac:dyDescent="0.25">
      <c r="B13" s="293" t="s">
        <v>266</v>
      </c>
      <c r="C13" s="236" t="s">
        <v>348</v>
      </c>
      <c r="D13" s="93" t="s">
        <v>164</v>
      </c>
      <c r="E13" s="2" t="s">
        <v>267</v>
      </c>
      <c r="F13" s="2" t="s">
        <v>7</v>
      </c>
      <c r="G13" s="186">
        <v>2.63E-2</v>
      </c>
      <c r="H13" s="186">
        <v>0.1845</v>
      </c>
      <c r="I13" s="187">
        <v>44652</v>
      </c>
      <c r="J13" s="187">
        <v>44667</v>
      </c>
      <c r="K13" s="187">
        <v>42644</v>
      </c>
      <c r="L13" s="188" t="s">
        <v>347</v>
      </c>
      <c r="M13" s="79">
        <v>799657</v>
      </c>
      <c r="N13" s="67"/>
      <c r="O13" s="67">
        <f t="shared" si="0"/>
        <v>799657</v>
      </c>
      <c r="P13" s="67"/>
      <c r="Q13" s="67">
        <f>437584.6+356666.6</f>
        <v>794251.2</v>
      </c>
      <c r="R13" s="67"/>
      <c r="S13" s="68">
        <f t="shared" si="1"/>
        <v>794251.2</v>
      </c>
    </row>
    <row r="14" spans="1:20" ht="30.75" customHeight="1" x14ac:dyDescent="0.25">
      <c r="B14" s="2" t="s">
        <v>279</v>
      </c>
      <c r="C14" s="236" t="s">
        <v>333</v>
      </c>
      <c r="D14" s="93" t="s">
        <v>224</v>
      </c>
      <c r="E14" s="2" t="s">
        <v>280</v>
      </c>
      <c r="F14" s="2" t="s">
        <v>7</v>
      </c>
      <c r="G14" s="186">
        <v>2.63E-2</v>
      </c>
      <c r="H14" s="186">
        <v>0.1845</v>
      </c>
      <c r="I14" s="187">
        <v>44592</v>
      </c>
      <c r="J14" s="187">
        <v>44592</v>
      </c>
      <c r="K14" s="187">
        <v>43980</v>
      </c>
      <c r="L14" s="188" t="s">
        <v>332</v>
      </c>
      <c r="M14" s="79">
        <v>3000</v>
      </c>
      <c r="N14" s="67"/>
      <c r="O14" s="67">
        <f t="shared" si="0"/>
        <v>3000</v>
      </c>
      <c r="P14" s="66"/>
      <c r="Q14" s="67">
        <v>3000</v>
      </c>
      <c r="R14" s="67"/>
      <c r="S14" s="68">
        <f t="shared" ref="S14:S22" si="2">Q14+R14</f>
        <v>3000</v>
      </c>
    </row>
    <row r="15" spans="1:20" ht="30.75" customHeight="1" x14ac:dyDescent="0.25">
      <c r="B15" s="2" t="s">
        <v>281</v>
      </c>
      <c r="C15" s="236" t="s">
        <v>334</v>
      </c>
      <c r="D15" s="93" t="s">
        <v>231</v>
      </c>
      <c r="E15" s="2" t="s">
        <v>282</v>
      </c>
      <c r="F15" s="2" t="s">
        <v>7</v>
      </c>
      <c r="G15" s="186">
        <v>2.63E-2</v>
      </c>
      <c r="H15" s="186">
        <v>0.1845</v>
      </c>
      <c r="I15" s="187">
        <v>44742</v>
      </c>
      <c r="J15" s="187">
        <v>44757</v>
      </c>
      <c r="K15" s="187">
        <v>43979</v>
      </c>
      <c r="L15" s="188" t="s">
        <v>283</v>
      </c>
      <c r="M15" s="79">
        <v>1027</v>
      </c>
      <c r="N15" s="67"/>
      <c r="O15" s="67">
        <f t="shared" si="0"/>
        <v>1027</v>
      </c>
      <c r="P15" s="66"/>
      <c r="Q15" s="67">
        <f>665.87+360.1</f>
        <v>1025.97</v>
      </c>
      <c r="R15" s="67"/>
      <c r="S15" s="68">
        <f t="shared" si="2"/>
        <v>1025.97</v>
      </c>
    </row>
    <row r="16" spans="1:20" ht="30.75" customHeight="1" x14ac:dyDescent="0.25">
      <c r="B16" s="2" t="s">
        <v>321</v>
      </c>
      <c r="C16" s="236" t="s">
        <v>333</v>
      </c>
      <c r="D16" s="93" t="s">
        <v>288</v>
      </c>
      <c r="E16" s="2" t="s">
        <v>322</v>
      </c>
      <c r="F16" s="2" t="s">
        <v>7</v>
      </c>
      <c r="G16" s="186">
        <f>G15:H15</f>
        <v>2.63E-2</v>
      </c>
      <c r="H16" s="186">
        <f>H15</f>
        <v>0.1845</v>
      </c>
      <c r="I16" s="187">
        <v>45199</v>
      </c>
      <c r="J16" s="187">
        <v>45214</v>
      </c>
      <c r="K16" s="187">
        <v>44201</v>
      </c>
      <c r="L16" s="188" t="s">
        <v>323</v>
      </c>
      <c r="M16" s="79">
        <v>113986.71</v>
      </c>
      <c r="N16" s="67"/>
      <c r="O16" s="67">
        <f t="shared" si="0"/>
        <v>113986.71</v>
      </c>
      <c r="P16" s="66"/>
      <c r="Q16" s="67">
        <v>113986.71</v>
      </c>
      <c r="R16" s="67"/>
      <c r="S16" s="68">
        <f t="shared" si="2"/>
        <v>113986.71</v>
      </c>
    </row>
    <row r="17" spans="2:19" ht="30.75" customHeight="1" x14ac:dyDescent="0.25">
      <c r="B17" s="2" t="s">
        <v>324</v>
      </c>
      <c r="C17" s="236" t="s">
        <v>333</v>
      </c>
      <c r="D17" s="93" t="s">
        <v>288</v>
      </c>
      <c r="E17" s="2" t="s">
        <v>329</v>
      </c>
      <c r="F17" s="2" t="s">
        <v>7</v>
      </c>
      <c r="G17" s="186">
        <f>G16:H16</f>
        <v>2.63E-2</v>
      </c>
      <c r="H17" s="186">
        <f>H16</f>
        <v>0.1845</v>
      </c>
      <c r="I17" s="187">
        <v>45199</v>
      </c>
      <c r="J17" s="187">
        <v>45214</v>
      </c>
      <c r="K17" s="187">
        <v>44201</v>
      </c>
      <c r="L17" s="188" t="s">
        <v>325</v>
      </c>
      <c r="M17" s="79">
        <v>20377</v>
      </c>
      <c r="N17" s="67"/>
      <c r="O17" s="67">
        <f t="shared" si="0"/>
        <v>20377</v>
      </c>
      <c r="P17" s="66"/>
      <c r="Q17" s="67"/>
      <c r="R17" s="67"/>
      <c r="S17" s="68">
        <f t="shared" si="2"/>
        <v>0</v>
      </c>
    </row>
    <row r="18" spans="2:19" ht="30.75" customHeight="1" x14ac:dyDescent="0.25">
      <c r="B18" s="2" t="s">
        <v>326</v>
      </c>
      <c r="C18" s="236" t="s">
        <v>333</v>
      </c>
      <c r="D18" s="93" t="s">
        <v>288</v>
      </c>
      <c r="E18" s="2" t="s">
        <v>330</v>
      </c>
      <c r="F18" s="2" t="s">
        <v>7</v>
      </c>
      <c r="G18" s="186">
        <f>G17:H17</f>
        <v>2.63E-2</v>
      </c>
      <c r="H18" s="186">
        <f>H17</f>
        <v>0.1845</v>
      </c>
      <c r="I18" s="187">
        <v>45199</v>
      </c>
      <c r="J18" s="187">
        <v>45214</v>
      </c>
      <c r="K18" s="187">
        <v>44201</v>
      </c>
      <c r="L18" s="188" t="s">
        <v>323</v>
      </c>
      <c r="M18" s="79">
        <v>29921.51</v>
      </c>
      <c r="N18" s="67"/>
      <c r="O18" s="67">
        <f t="shared" si="0"/>
        <v>29921.51</v>
      </c>
      <c r="P18" s="66"/>
      <c r="Q18" s="67">
        <f>18020.5+6084.4</f>
        <v>24104.9</v>
      </c>
      <c r="R18" s="67"/>
      <c r="S18" s="68">
        <f t="shared" si="2"/>
        <v>24104.9</v>
      </c>
    </row>
    <row r="19" spans="2:19" ht="30.75" customHeight="1" x14ac:dyDescent="0.25">
      <c r="B19" s="2" t="s">
        <v>370</v>
      </c>
      <c r="C19" s="236" t="s">
        <v>333</v>
      </c>
      <c r="D19" s="93" t="s">
        <v>288</v>
      </c>
      <c r="E19" s="2" t="s">
        <v>331</v>
      </c>
      <c r="F19" s="2" t="s">
        <v>7</v>
      </c>
      <c r="G19" s="186">
        <f t="shared" ref="G19" si="3">G18:H18</f>
        <v>2.63E-2</v>
      </c>
      <c r="H19" s="186">
        <f t="shared" ref="H19" si="4">H18</f>
        <v>0.1845</v>
      </c>
      <c r="I19" s="187">
        <v>45199</v>
      </c>
      <c r="J19" s="187">
        <v>45214</v>
      </c>
      <c r="K19" s="187">
        <v>44201</v>
      </c>
      <c r="L19" s="188" t="s">
        <v>325</v>
      </c>
      <c r="M19" s="79">
        <v>141628.48000000001</v>
      </c>
      <c r="N19" s="67"/>
      <c r="O19" s="67">
        <f t="shared" si="0"/>
        <v>141628.48000000001</v>
      </c>
      <c r="P19" s="66"/>
      <c r="Q19" s="67">
        <v>126798.47</v>
      </c>
      <c r="R19" s="67"/>
      <c r="S19" s="68">
        <f t="shared" si="2"/>
        <v>126798.47</v>
      </c>
    </row>
    <row r="20" spans="2:19" ht="30.75" customHeight="1" x14ac:dyDescent="0.25">
      <c r="B20" s="2" t="s">
        <v>287</v>
      </c>
      <c r="C20" s="236" t="s">
        <v>333</v>
      </c>
      <c r="D20" s="93" t="s">
        <v>288</v>
      </c>
      <c r="E20" s="2" t="s">
        <v>289</v>
      </c>
      <c r="F20" s="2" t="s">
        <v>7</v>
      </c>
      <c r="G20" s="186">
        <v>2.63E-2</v>
      </c>
      <c r="H20" s="186">
        <v>0.1845</v>
      </c>
      <c r="I20" s="187">
        <v>45199</v>
      </c>
      <c r="J20" s="187">
        <v>45199</v>
      </c>
      <c r="K20" s="187">
        <v>44201</v>
      </c>
      <c r="L20" s="188" t="s">
        <v>320</v>
      </c>
      <c r="M20" s="79">
        <v>262169.43</v>
      </c>
      <c r="N20" s="67"/>
      <c r="O20" s="67">
        <f t="shared" si="0"/>
        <v>262169.43</v>
      </c>
      <c r="P20" s="66"/>
      <c r="Q20" s="67">
        <f>125565.95+131897.55</f>
        <v>257463.5</v>
      </c>
      <c r="R20" s="67"/>
      <c r="S20" s="68">
        <f t="shared" si="2"/>
        <v>257463.5</v>
      </c>
    </row>
    <row r="21" spans="2:19" ht="30.75" customHeight="1" x14ac:dyDescent="0.25">
      <c r="B21" s="2" t="s">
        <v>352</v>
      </c>
      <c r="C21" s="236" t="s">
        <v>353</v>
      </c>
      <c r="D21" s="93" t="s">
        <v>354</v>
      </c>
      <c r="E21" s="2" t="s">
        <v>355</v>
      </c>
      <c r="F21" s="2" t="s">
        <v>7</v>
      </c>
      <c r="G21" s="186">
        <v>2.63E-2</v>
      </c>
      <c r="H21" s="186">
        <v>0.1845</v>
      </c>
      <c r="I21" s="187">
        <v>45565</v>
      </c>
      <c r="J21" s="187">
        <v>45580</v>
      </c>
      <c r="K21" s="187">
        <v>44279</v>
      </c>
      <c r="L21" s="188" t="s">
        <v>356</v>
      </c>
      <c r="M21" s="79">
        <v>1025046.95</v>
      </c>
      <c r="N21" s="67"/>
      <c r="O21" s="67">
        <f t="shared" si="0"/>
        <v>1025046.95</v>
      </c>
      <c r="P21" s="66"/>
      <c r="Q21" s="67"/>
      <c r="R21" s="67"/>
      <c r="S21" s="68">
        <f t="shared" si="2"/>
        <v>0</v>
      </c>
    </row>
    <row r="22" spans="2:19" ht="30.75" customHeight="1" x14ac:dyDescent="0.25">
      <c r="B22" s="2" t="s">
        <v>357</v>
      </c>
      <c r="C22" s="236" t="s">
        <v>333</v>
      </c>
      <c r="D22" s="93" t="s">
        <v>354</v>
      </c>
      <c r="E22" s="2" t="s">
        <v>358</v>
      </c>
      <c r="F22" s="2" t="s">
        <v>7</v>
      </c>
      <c r="G22" s="186">
        <v>2.63E-2</v>
      </c>
      <c r="H22" s="186">
        <v>0.1845</v>
      </c>
      <c r="I22" s="187">
        <v>45565</v>
      </c>
      <c r="J22" s="187">
        <v>45580</v>
      </c>
      <c r="K22" s="187">
        <v>44279</v>
      </c>
      <c r="L22" s="188" t="s">
        <v>356</v>
      </c>
      <c r="M22" s="79">
        <v>256261.74</v>
      </c>
      <c r="N22" s="67"/>
      <c r="O22" s="67">
        <f t="shared" si="0"/>
        <v>256261.74</v>
      </c>
      <c r="P22" s="66"/>
      <c r="Q22" s="67"/>
      <c r="R22" s="67"/>
      <c r="S22" s="68">
        <f t="shared" si="2"/>
        <v>0</v>
      </c>
    </row>
    <row r="23" spans="2:19" ht="30.75" customHeight="1" x14ac:dyDescent="0.25">
      <c r="B23" s="2" t="s">
        <v>363</v>
      </c>
      <c r="C23" s="236" t="s">
        <v>333</v>
      </c>
      <c r="D23" s="93" t="s">
        <v>288</v>
      </c>
      <c r="E23" s="2" t="s">
        <v>364</v>
      </c>
      <c r="F23" s="2" t="s">
        <v>7</v>
      </c>
      <c r="G23" s="186">
        <v>2.63E-2</v>
      </c>
      <c r="H23" s="186">
        <v>0.1845</v>
      </c>
      <c r="I23" s="187">
        <v>45199</v>
      </c>
      <c r="J23" s="187">
        <v>45214</v>
      </c>
      <c r="K23" s="187">
        <v>44201</v>
      </c>
      <c r="L23" s="188" t="s">
        <v>365</v>
      </c>
      <c r="M23" s="79">
        <v>2412.65</v>
      </c>
      <c r="N23" s="67"/>
      <c r="O23" s="67">
        <f t="shared" si="0"/>
        <v>2412.65</v>
      </c>
      <c r="P23" s="66"/>
      <c r="Q23" s="67"/>
      <c r="R23" s="67"/>
      <c r="S23" s="68"/>
    </row>
    <row r="24" spans="2:19" ht="18.75" customHeight="1" x14ac:dyDescent="0.25">
      <c r="B24" s="294"/>
      <c r="C24" s="293"/>
      <c r="G24" s="123"/>
      <c r="H24" s="123"/>
      <c r="I24" s="116"/>
      <c r="J24" s="116"/>
      <c r="K24" s="116"/>
      <c r="M24" s="78"/>
      <c r="N24" s="67"/>
      <c r="O24" s="67"/>
      <c r="P24" s="67"/>
      <c r="Q24" s="67"/>
      <c r="R24" s="67"/>
      <c r="S24" s="68"/>
    </row>
    <row r="25" spans="2:19" ht="20.25" customHeight="1" x14ac:dyDescent="0.25">
      <c r="C25" s="93"/>
      <c r="D25" s="93"/>
      <c r="G25" s="123"/>
      <c r="H25" s="123"/>
      <c r="I25" s="116"/>
      <c r="J25" s="116"/>
      <c r="K25" s="116" t="s">
        <v>100</v>
      </c>
      <c r="L25" s="21" t="s">
        <v>38</v>
      </c>
      <c r="M25" s="273">
        <f>SUM(M8:M24)</f>
        <v>2798379.07</v>
      </c>
      <c r="N25" s="273">
        <f>SUM(N8:N24)</f>
        <v>0</v>
      </c>
      <c r="O25" s="273">
        <f>SUM(O8:O24)</f>
        <v>2798379.07</v>
      </c>
      <c r="P25" s="66"/>
      <c r="Q25" s="273">
        <f>SUM(Q8:Q24)</f>
        <v>1463521.3499999999</v>
      </c>
      <c r="R25" s="273">
        <f>SUM(R8:R24)</f>
        <v>0</v>
      </c>
      <c r="S25" s="23">
        <f>SUM(S8:S24)</f>
        <v>1463521.3499999999</v>
      </c>
    </row>
    <row r="26" spans="2:19" x14ac:dyDescent="0.25">
      <c r="C26" s="93"/>
      <c r="D26" s="93"/>
      <c r="G26" s="123"/>
      <c r="H26" s="123"/>
      <c r="I26" s="116"/>
      <c r="J26" s="116"/>
      <c r="K26" s="116"/>
      <c r="L26" s="21"/>
      <c r="M26" s="66"/>
      <c r="N26" s="66"/>
      <c r="O26" s="66"/>
      <c r="P26" s="66"/>
      <c r="Q26" s="66"/>
      <c r="R26" s="66"/>
      <c r="S26" s="68"/>
    </row>
    <row r="27" spans="2:19" x14ac:dyDescent="0.25">
      <c r="C27" s="93"/>
      <c r="D27" s="93"/>
      <c r="G27" s="123"/>
      <c r="H27" s="123"/>
      <c r="I27" s="116"/>
      <c r="J27" s="116"/>
      <c r="K27" s="116"/>
      <c r="L27" s="21"/>
      <c r="M27" s="66"/>
      <c r="N27" s="66"/>
      <c r="O27" s="66"/>
      <c r="P27" s="66"/>
      <c r="Q27" s="66"/>
      <c r="R27" s="66"/>
      <c r="S27" s="68"/>
    </row>
    <row r="28" spans="2:19" x14ac:dyDescent="0.25">
      <c r="B28" s="8" t="s">
        <v>125</v>
      </c>
      <c r="C28" s="92"/>
      <c r="D28" s="92"/>
      <c r="S28" s="27"/>
    </row>
    <row r="29" spans="2:19" ht="33.75" customHeight="1" x14ac:dyDescent="0.25">
      <c r="B29" s="341" t="s">
        <v>126</v>
      </c>
      <c r="C29" s="341"/>
      <c r="D29" s="341"/>
      <c r="E29" s="341"/>
      <c r="F29" s="341"/>
      <c r="S29" s="27"/>
    </row>
    <row r="30" spans="2:19" x14ac:dyDescent="0.25">
      <c r="C30" s="92"/>
      <c r="D30" s="92"/>
      <c r="S30" s="27"/>
    </row>
    <row r="31" spans="2:19" ht="50.25" customHeight="1" x14ac:dyDescent="0.25">
      <c r="B31" s="341" t="s">
        <v>129</v>
      </c>
      <c r="C31" s="341"/>
      <c r="D31" s="341"/>
      <c r="E31" s="341"/>
      <c r="F31" s="341"/>
      <c r="S31" s="27"/>
    </row>
    <row r="32" spans="2:19" x14ac:dyDescent="0.25">
      <c r="B32" s="197"/>
      <c r="C32" s="197"/>
      <c r="D32" s="197"/>
      <c r="E32" s="197"/>
      <c r="S32" s="27"/>
    </row>
    <row r="33" spans="2:19" ht="32.25" customHeight="1" x14ac:dyDescent="0.25">
      <c r="B33" s="341" t="s">
        <v>160</v>
      </c>
      <c r="C33" s="341"/>
      <c r="D33" s="341"/>
      <c r="E33" s="341"/>
      <c r="F33" s="341"/>
      <c r="S33" s="27"/>
    </row>
    <row r="34" spans="2:19" ht="15" customHeight="1" x14ac:dyDescent="0.25">
      <c r="B34" s="347" t="s">
        <v>159</v>
      </c>
      <c r="C34" s="341"/>
      <c r="D34" s="341"/>
      <c r="E34" s="341"/>
      <c r="F34" s="341"/>
      <c r="S34" s="27"/>
    </row>
    <row r="35" spans="2:19" ht="15" customHeight="1" x14ac:dyDescent="0.25">
      <c r="B35" s="197"/>
      <c r="C35" s="197"/>
      <c r="D35" s="197"/>
      <c r="E35" s="197"/>
      <c r="S35" s="27"/>
    </row>
    <row r="36" spans="2:19" x14ac:dyDescent="0.25">
      <c r="B36" s="7" t="s">
        <v>109</v>
      </c>
      <c r="C36" s="101" t="s">
        <v>112</v>
      </c>
      <c r="D36" s="101" t="s">
        <v>113</v>
      </c>
      <c r="E36" s="197"/>
      <c r="S36" s="27"/>
    </row>
    <row r="37" spans="2:19" x14ac:dyDescent="0.25">
      <c r="B37" s="2" t="s">
        <v>262</v>
      </c>
      <c r="C37" s="92" t="s">
        <v>180</v>
      </c>
      <c r="D37" s="92" t="s">
        <v>181</v>
      </c>
      <c r="S37" s="27"/>
    </row>
    <row r="38" spans="2:19" x14ac:dyDescent="0.25">
      <c r="B38" s="228" t="s">
        <v>111</v>
      </c>
      <c r="C38" s="92" t="s">
        <v>300</v>
      </c>
      <c r="D38" s="92" t="s">
        <v>303</v>
      </c>
      <c r="E38" s="227"/>
      <c r="S38" s="27"/>
    </row>
    <row r="39" spans="2:19" x14ac:dyDescent="0.25">
      <c r="B39" s="2" t="s">
        <v>230</v>
      </c>
      <c r="C39" s="92" t="s">
        <v>135</v>
      </c>
      <c r="D39" s="92" t="s">
        <v>147</v>
      </c>
      <c r="S39" s="27"/>
    </row>
    <row r="40" spans="2:19" x14ac:dyDescent="0.25">
      <c r="B40" s="2" t="s">
        <v>235</v>
      </c>
      <c r="C40" s="92" t="s">
        <v>179</v>
      </c>
      <c r="D40" s="92" t="s">
        <v>236</v>
      </c>
      <c r="S40" s="27"/>
    </row>
    <row r="41" spans="2:19" x14ac:dyDescent="0.25">
      <c r="B41" s="2" t="s">
        <v>328</v>
      </c>
      <c r="C41" s="92" t="s">
        <v>135</v>
      </c>
      <c r="D41" s="92" t="s">
        <v>147</v>
      </c>
      <c r="S41" s="27"/>
    </row>
    <row r="42" spans="2:19" x14ac:dyDescent="0.25">
      <c r="B42" s="2" t="s">
        <v>279</v>
      </c>
      <c r="C42" s="92" t="s">
        <v>135</v>
      </c>
      <c r="D42" s="92" t="s">
        <v>147</v>
      </c>
      <c r="S42" s="27"/>
    </row>
    <row r="43" spans="2:19" x14ac:dyDescent="0.25">
      <c r="B43" s="2" t="s">
        <v>281</v>
      </c>
      <c r="C43" s="92" t="s">
        <v>135</v>
      </c>
      <c r="D43" s="92" t="s">
        <v>147</v>
      </c>
      <c r="S43" s="27"/>
    </row>
    <row r="44" spans="2:19" x14ac:dyDescent="0.25">
      <c r="B44" s="2" t="s">
        <v>286</v>
      </c>
      <c r="C44" s="92" t="s">
        <v>135</v>
      </c>
      <c r="D44" s="92" t="s">
        <v>147</v>
      </c>
      <c r="S44" s="27"/>
    </row>
    <row r="45" spans="2:19" x14ac:dyDescent="0.25">
      <c r="C45" s="92"/>
      <c r="D45" s="92"/>
      <c r="S45" s="27"/>
    </row>
    <row r="46" spans="2:19" x14ac:dyDescent="0.25">
      <c r="B46" s="259" t="s">
        <v>298</v>
      </c>
      <c r="C46" s="92"/>
      <c r="D46" s="92"/>
      <c r="S46" s="27"/>
    </row>
    <row r="47" spans="2:19" x14ac:dyDescent="0.25">
      <c r="B47" s="265" t="s">
        <v>299</v>
      </c>
      <c r="C47" s="92"/>
      <c r="D47" s="92"/>
      <c r="S47" s="27"/>
    </row>
    <row r="48" spans="2:19" x14ac:dyDescent="0.25">
      <c r="B48" s="29"/>
      <c r="C48" s="94"/>
      <c r="D48" s="94"/>
      <c r="E48" s="10"/>
      <c r="F48" s="10"/>
      <c r="G48" s="10"/>
      <c r="H48" s="10"/>
      <c r="I48" s="10"/>
      <c r="J48" s="10"/>
      <c r="K48" s="10"/>
      <c r="L48" s="10"/>
      <c r="M48" s="10"/>
      <c r="N48" s="10"/>
      <c r="O48" s="10"/>
      <c r="P48" s="10"/>
      <c r="Q48" s="10"/>
      <c r="R48" s="10"/>
      <c r="S48" s="28"/>
    </row>
    <row r="49" spans="2:20" x14ac:dyDescent="0.25">
      <c r="B49" s="266"/>
      <c r="C49" s="93"/>
      <c r="D49" s="93"/>
      <c r="Q49" s="59" t="s">
        <v>90</v>
      </c>
      <c r="R49" s="50"/>
      <c r="S49" s="165"/>
    </row>
    <row r="50" spans="2:20" ht="15" customHeight="1" x14ac:dyDescent="0.25">
      <c r="B50" s="17" t="s">
        <v>39</v>
      </c>
      <c r="C50" s="198" t="s">
        <v>2</v>
      </c>
      <c r="D50" s="198"/>
      <c r="E50" s="198" t="s">
        <v>34</v>
      </c>
      <c r="F50" s="198" t="s">
        <v>35</v>
      </c>
      <c r="G50" s="198"/>
      <c r="H50" s="198"/>
      <c r="I50" s="198"/>
      <c r="J50" s="198"/>
      <c r="K50" s="198"/>
      <c r="L50" s="198" t="s">
        <v>36</v>
      </c>
      <c r="M50" s="198" t="s">
        <v>37</v>
      </c>
      <c r="N50" s="47"/>
      <c r="O50" s="47"/>
      <c r="P50" s="47"/>
      <c r="Q50" s="54" t="s">
        <v>88</v>
      </c>
      <c r="R50" s="52"/>
      <c r="S50" s="53"/>
      <c r="T50" s="51"/>
    </row>
    <row r="51" spans="2:20" ht="15" customHeight="1" x14ac:dyDescent="0.25">
      <c r="B51" s="63"/>
      <c r="C51" s="148"/>
      <c r="D51" s="148"/>
      <c r="E51" s="148"/>
      <c r="F51" s="148"/>
      <c r="G51" s="148"/>
      <c r="H51" s="148"/>
      <c r="I51" s="148"/>
      <c r="J51" s="148"/>
      <c r="K51" s="148"/>
      <c r="L51" s="148"/>
      <c r="M51" s="148"/>
      <c r="N51" s="45"/>
      <c r="O51" s="45"/>
      <c r="P51" s="45"/>
      <c r="T51" s="51"/>
    </row>
    <row r="52" spans="2:20" ht="15" customHeight="1" x14ac:dyDescent="0.25">
      <c r="B52" s="63"/>
      <c r="C52" s="148"/>
      <c r="D52" s="148"/>
      <c r="E52" s="148"/>
      <c r="F52" s="148"/>
      <c r="G52" s="148"/>
      <c r="H52" s="148"/>
      <c r="I52" s="148"/>
      <c r="J52" s="148"/>
      <c r="K52" s="148"/>
      <c r="L52" s="148"/>
      <c r="M52" s="148"/>
      <c r="N52" s="45"/>
      <c r="O52" s="45"/>
      <c r="P52" s="45"/>
      <c r="T52" s="51"/>
    </row>
    <row r="53" spans="2:20" ht="15" customHeight="1" x14ac:dyDescent="0.25">
      <c r="B53" s="63"/>
      <c r="C53" s="148"/>
      <c r="D53" s="148"/>
      <c r="E53" s="148"/>
      <c r="F53" s="148"/>
      <c r="G53" s="148"/>
      <c r="H53" s="148"/>
      <c r="I53" s="148"/>
      <c r="J53" s="148"/>
      <c r="K53" s="148"/>
      <c r="L53" s="148"/>
      <c r="M53" s="148"/>
      <c r="N53" s="45"/>
      <c r="O53" s="45"/>
      <c r="P53" s="45"/>
      <c r="T53" s="51"/>
    </row>
    <row r="54" spans="2:20" ht="15" customHeight="1" x14ac:dyDescent="0.25">
      <c r="B54" s="63"/>
      <c r="C54" s="148"/>
      <c r="D54" s="148"/>
      <c r="E54" s="148"/>
      <c r="F54" s="148"/>
      <c r="G54" s="148"/>
      <c r="H54" s="148"/>
      <c r="I54" s="148"/>
      <c r="J54" s="148"/>
      <c r="K54" s="148"/>
      <c r="L54" s="148"/>
      <c r="M54" s="148"/>
      <c r="N54" s="45"/>
      <c r="O54" s="45"/>
      <c r="P54" s="45"/>
      <c r="T54" s="51"/>
    </row>
    <row r="55" spans="2:20" x14ac:dyDescent="0.25">
      <c r="Q55" s="309" t="s">
        <v>316</v>
      </c>
      <c r="R55" s="309"/>
      <c r="S55" s="312">
        <f>S25</f>
        <v>1463521.3499999999</v>
      </c>
    </row>
  </sheetData>
  <mergeCells count="6">
    <mergeCell ref="B34:F34"/>
    <mergeCell ref="Q1:S1"/>
    <mergeCell ref="Q2:S2"/>
    <mergeCell ref="B29:F29"/>
    <mergeCell ref="B31:F31"/>
    <mergeCell ref="B33:F33"/>
  </mergeCells>
  <hyperlinks>
    <hyperlink ref="B34" r:id="rId1"/>
  </hyperlinks>
  <printOptions horizontalCentered="1" gridLines="1"/>
  <pageMargins left="0" right="0" top="0.75" bottom="0.75" header="0.3" footer="0.3"/>
  <pageSetup scale="49" orientation="landscape" horizontalDpi="1200" verticalDpi="1200"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5"/>
  <sheetViews>
    <sheetView topLeftCell="B6" zoomScale="90" zoomScaleNormal="90" workbookViewId="0">
      <selection activeCell="Q16" sqref="Q16:Q20"/>
    </sheetView>
  </sheetViews>
  <sheetFormatPr defaultColWidth="9.140625" defaultRowHeight="15" x14ac:dyDescent="0.25"/>
  <cols>
    <col min="1" max="1" width="5.7109375" style="2" hidden="1" customWidth="1"/>
    <col min="2" max="2" width="63.5703125" style="2" customWidth="1"/>
    <col min="3" max="3" width="26.85546875" style="2" customWidth="1"/>
    <col min="4" max="4" width="13.7109375" style="2" customWidth="1"/>
    <col min="5" max="5" width="17" style="2" bestFit="1" customWidth="1"/>
    <col min="6" max="6" width="21.7109375" style="2" customWidth="1"/>
    <col min="7" max="7" width="10.28515625" style="2" customWidth="1"/>
    <col min="8" max="8" width="12.85546875" style="2" customWidth="1"/>
    <col min="9" max="9" width="13.42578125" style="2" customWidth="1"/>
    <col min="10" max="10" width="15.7109375" style="2" customWidth="1"/>
    <col min="11" max="11" width="8.85546875" style="2" customWidth="1"/>
    <col min="12" max="12" width="18.7109375" style="2" customWidth="1"/>
    <col min="13" max="13" width="13.28515625" style="2" bestFit="1" customWidth="1"/>
    <col min="14" max="14" width="16.140625" style="2" customWidth="1"/>
    <col min="15" max="15" width="14.42578125" style="2" customWidth="1"/>
    <col min="16" max="16" width="3.140625" style="2" customWidth="1"/>
    <col min="17" max="17" width="12" style="2" customWidth="1"/>
    <col min="18" max="18" width="14.140625" style="2" customWidth="1"/>
    <col min="19" max="19" width="16.7109375" style="2" customWidth="1"/>
    <col min="20" max="16384" width="9.140625" style="2"/>
  </cols>
  <sheetData>
    <row r="1" spans="1:20" ht="14.45" customHeight="1" x14ac:dyDescent="0.25">
      <c r="B1" s="8" t="s">
        <v>198</v>
      </c>
      <c r="Q1" s="338" t="s">
        <v>296</v>
      </c>
      <c r="R1" s="338"/>
      <c r="S1" s="338"/>
    </row>
    <row r="2" spans="1:20" x14ac:dyDescent="0.25">
      <c r="B2" s="88" t="s">
        <v>148</v>
      </c>
      <c r="C2" s="182">
        <v>44742</v>
      </c>
      <c r="M2" s="71"/>
      <c r="N2" s="71"/>
      <c r="P2" s="29"/>
      <c r="Q2" s="337" t="s">
        <v>375</v>
      </c>
      <c r="R2" s="337"/>
      <c r="S2" s="337"/>
    </row>
    <row r="3" spans="1:20" ht="15.75" thickBot="1" x14ac:dyDescent="0.3">
      <c r="A3" s="2" t="s">
        <v>16</v>
      </c>
      <c r="B3" s="44" t="s">
        <v>199</v>
      </c>
      <c r="C3" s="8"/>
      <c r="D3" s="8"/>
      <c r="E3" s="8"/>
      <c r="P3" s="29"/>
      <c r="Q3" s="45"/>
      <c r="R3" s="30"/>
    </row>
    <row r="4" spans="1:20" x14ac:dyDescent="0.25">
      <c r="B4" s="8" t="s">
        <v>206</v>
      </c>
      <c r="M4" s="85" t="s">
        <v>28</v>
      </c>
      <c r="N4" s="85" t="s">
        <v>28</v>
      </c>
      <c r="O4" s="85" t="s">
        <v>28</v>
      </c>
      <c r="P4" s="148"/>
      <c r="Q4" s="89" t="s">
        <v>29</v>
      </c>
      <c r="R4" s="89" t="s">
        <v>31</v>
      </c>
      <c r="S4" s="89" t="s">
        <v>23</v>
      </c>
      <c r="T4" s="7"/>
    </row>
    <row r="5" spans="1:20" ht="15.75" thickBot="1" x14ac:dyDescent="0.3">
      <c r="G5" s="183" t="s">
        <v>295</v>
      </c>
      <c r="H5" s="183" t="s">
        <v>295</v>
      </c>
      <c r="M5" s="86" t="s">
        <v>27</v>
      </c>
      <c r="N5" s="86" t="s">
        <v>26</v>
      </c>
      <c r="O5" s="86" t="s">
        <v>25</v>
      </c>
      <c r="P5" s="148"/>
      <c r="Q5" s="90" t="s">
        <v>30</v>
      </c>
      <c r="R5" s="90" t="s">
        <v>30</v>
      </c>
      <c r="S5" s="90" t="s">
        <v>30</v>
      </c>
      <c r="T5" s="7"/>
    </row>
    <row r="6" spans="1:20" ht="85.5" customHeight="1" thickBot="1" x14ac:dyDescent="0.3">
      <c r="B6" s="84" t="s">
        <v>1</v>
      </c>
      <c r="C6" s="84" t="s">
        <v>389</v>
      </c>
      <c r="D6" s="84" t="s">
        <v>107</v>
      </c>
      <c r="E6" s="84" t="s">
        <v>3</v>
      </c>
      <c r="F6" s="84" t="s">
        <v>4</v>
      </c>
      <c r="G6" s="107" t="s">
        <v>136</v>
      </c>
      <c r="H6" s="107" t="s">
        <v>137</v>
      </c>
      <c r="I6" s="107" t="s">
        <v>133</v>
      </c>
      <c r="J6" s="107" t="s">
        <v>134</v>
      </c>
      <c r="K6" s="107" t="s">
        <v>121</v>
      </c>
      <c r="L6" s="83" t="s">
        <v>5</v>
      </c>
      <c r="M6" s="87" t="s">
        <v>6</v>
      </c>
      <c r="N6" s="87" t="s">
        <v>6</v>
      </c>
      <c r="O6" s="87" t="s">
        <v>6</v>
      </c>
      <c r="P6" s="148"/>
      <c r="Q6" s="91"/>
      <c r="R6" s="97" t="s">
        <v>32</v>
      </c>
      <c r="S6" s="98" t="s">
        <v>33</v>
      </c>
    </row>
    <row r="7" spans="1:20" ht="43.5" customHeight="1" x14ac:dyDescent="0.25">
      <c r="B7" s="2" t="s">
        <v>8</v>
      </c>
      <c r="C7" s="92" t="s">
        <v>106</v>
      </c>
      <c r="D7" s="92" t="s">
        <v>306</v>
      </c>
      <c r="E7" s="2" t="s">
        <v>307</v>
      </c>
      <c r="F7" s="2" t="s">
        <v>7</v>
      </c>
      <c r="G7" s="186">
        <v>2.63E-2</v>
      </c>
      <c r="H7" s="186">
        <v>0.1845</v>
      </c>
      <c r="I7" s="187">
        <v>44742</v>
      </c>
      <c r="J7" s="187">
        <v>44743</v>
      </c>
      <c r="K7" s="187">
        <v>44378</v>
      </c>
      <c r="L7" s="188" t="s">
        <v>297</v>
      </c>
      <c r="M7" s="78">
        <v>53072.5</v>
      </c>
      <c r="N7" s="67"/>
      <c r="O7" s="67">
        <f>M7+N7</f>
        <v>53072.5</v>
      </c>
      <c r="P7" s="67"/>
      <c r="Q7" s="67">
        <f>19298+59862.66</f>
        <v>79160.66</v>
      </c>
      <c r="R7" s="67"/>
      <c r="S7" s="68">
        <f>Q7+R7</f>
        <v>79160.66</v>
      </c>
    </row>
    <row r="8" spans="1:20" ht="43.5" customHeight="1" x14ac:dyDescent="0.25">
      <c r="B8" s="2" t="s">
        <v>312</v>
      </c>
      <c r="C8" s="110" t="s">
        <v>188</v>
      </c>
      <c r="D8" s="92" t="s">
        <v>311</v>
      </c>
      <c r="E8" s="2" t="s">
        <v>313</v>
      </c>
      <c r="F8" s="2" t="s">
        <v>7</v>
      </c>
      <c r="G8" s="186">
        <v>2.63E-2</v>
      </c>
      <c r="H8" s="186">
        <v>0.1845</v>
      </c>
      <c r="I8" s="187">
        <v>44742</v>
      </c>
      <c r="J8" s="187">
        <v>44743</v>
      </c>
      <c r="K8" s="187">
        <v>44378</v>
      </c>
      <c r="L8" s="188" t="s">
        <v>297</v>
      </c>
      <c r="M8" s="70">
        <v>5027.42</v>
      </c>
      <c r="N8" s="70"/>
      <c r="O8" s="67">
        <f>M8+N8</f>
        <v>5027.42</v>
      </c>
      <c r="P8" s="67"/>
      <c r="Q8" s="67">
        <v>5027.42</v>
      </c>
      <c r="R8" s="67"/>
      <c r="S8" s="68">
        <f>Q8+R8</f>
        <v>5027.42</v>
      </c>
    </row>
    <row r="9" spans="1:20" ht="36.75" customHeight="1" x14ac:dyDescent="0.25">
      <c r="B9" s="274" t="s">
        <v>128</v>
      </c>
      <c r="C9" s="236" t="s">
        <v>122</v>
      </c>
      <c r="D9" s="93" t="s">
        <v>310</v>
      </c>
      <c r="E9" s="2" t="s">
        <v>309</v>
      </c>
      <c r="F9" s="2" t="s">
        <v>7</v>
      </c>
      <c r="G9" s="186">
        <v>2.63E-2</v>
      </c>
      <c r="H9" s="186">
        <v>0.1845</v>
      </c>
      <c r="I9" s="187">
        <v>44742</v>
      </c>
      <c r="J9" s="187">
        <v>44743</v>
      </c>
      <c r="K9" s="187">
        <v>44378</v>
      </c>
      <c r="L9" s="204" t="s">
        <v>297</v>
      </c>
      <c r="M9" s="78">
        <v>1826.21</v>
      </c>
      <c r="N9" s="67">
        <f>8719.83-371.04</f>
        <v>8348.7899999999991</v>
      </c>
      <c r="O9" s="67">
        <f>M9+N9</f>
        <v>10175</v>
      </c>
      <c r="P9" s="67"/>
      <c r="Q9" s="67">
        <v>10175</v>
      </c>
      <c r="R9" s="67"/>
      <c r="S9" s="68">
        <f>Q9+R9</f>
        <v>10175</v>
      </c>
    </row>
    <row r="10" spans="1:20" ht="34.5" customHeight="1" x14ac:dyDescent="0.25">
      <c r="B10" s="2" t="s">
        <v>223</v>
      </c>
      <c r="C10" s="236" t="s">
        <v>333</v>
      </c>
      <c r="D10" s="93" t="s">
        <v>224</v>
      </c>
      <c r="E10" s="2" t="s">
        <v>225</v>
      </c>
      <c r="F10" s="2" t="s">
        <v>7</v>
      </c>
      <c r="G10" s="186">
        <v>2.63E-2</v>
      </c>
      <c r="H10" s="186">
        <v>0.1845</v>
      </c>
      <c r="I10" s="187">
        <v>44834</v>
      </c>
      <c r="J10" s="187">
        <v>44849</v>
      </c>
      <c r="K10" s="187">
        <v>43614</v>
      </c>
      <c r="L10" s="188" t="s">
        <v>274</v>
      </c>
      <c r="M10" s="78">
        <v>12308.03</v>
      </c>
      <c r="N10" s="67"/>
      <c r="O10" s="67">
        <f>M10+N10</f>
        <v>12308.03</v>
      </c>
      <c r="P10" s="67"/>
      <c r="Q10" s="67">
        <v>12308.03</v>
      </c>
      <c r="R10" s="67"/>
      <c r="S10" s="68">
        <f>Q10+R10</f>
        <v>12308.03</v>
      </c>
    </row>
    <row r="11" spans="1:20" ht="39" customHeight="1" x14ac:dyDescent="0.25">
      <c r="B11" s="344" t="s">
        <v>237</v>
      </c>
      <c r="C11" s="236" t="s">
        <v>334</v>
      </c>
      <c r="D11" s="93" t="s">
        <v>231</v>
      </c>
      <c r="E11" s="2" t="s">
        <v>238</v>
      </c>
      <c r="F11" s="2" t="s">
        <v>7</v>
      </c>
      <c r="G11" s="186">
        <v>2.63E-2</v>
      </c>
      <c r="H11" s="186">
        <v>0.1845</v>
      </c>
      <c r="I11" s="187">
        <v>44834</v>
      </c>
      <c r="J11" s="187">
        <v>44849</v>
      </c>
      <c r="K11" s="187">
        <v>43613</v>
      </c>
      <c r="L11" s="188" t="s">
        <v>292</v>
      </c>
      <c r="M11" s="65">
        <v>10000</v>
      </c>
      <c r="N11" s="67"/>
      <c r="O11" s="67">
        <f>M11+N11</f>
        <v>10000</v>
      </c>
      <c r="P11" s="67"/>
      <c r="Q11" s="67">
        <v>10000</v>
      </c>
      <c r="R11" s="67"/>
      <c r="S11" s="68">
        <f>Q11+R11</f>
        <v>10000</v>
      </c>
    </row>
    <row r="12" spans="1:20" ht="34.5" hidden="1" customHeight="1" x14ac:dyDescent="0.25">
      <c r="B12" s="344"/>
      <c r="C12" s="236"/>
      <c r="D12" s="93"/>
      <c r="G12" s="186">
        <v>2.63E-2</v>
      </c>
      <c r="H12" s="186">
        <v>0.1845</v>
      </c>
      <c r="I12" s="187"/>
      <c r="J12" s="187"/>
      <c r="K12" s="187"/>
      <c r="L12" s="188"/>
      <c r="M12" s="65"/>
      <c r="N12" s="67"/>
      <c r="O12" s="67"/>
      <c r="P12" s="67"/>
      <c r="Q12" s="67"/>
      <c r="R12" s="67"/>
      <c r="S12" s="68"/>
    </row>
    <row r="13" spans="1:20" ht="15" hidden="1" customHeight="1" x14ac:dyDescent="0.25">
      <c r="B13" s="277"/>
      <c r="C13" s="269"/>
      <c r="G13" s="186">
        <v>2.63E-2</v>
      </c>
      <c r="H13" s="186">
        <v>0.1845</v>
      </c>
      <c r="I13" s="116"/>
      <c r="J13" s="116"/>
      <c r="K13" s="116"/>
      <c r="M13" s="78"/>
      <c r="N13" s="67"/>
      <c r="O13" s="67"/>
      <c r="P13" s="67"/>
      <c r="Q13" s="67"/>
      <c r="R13" s="67"/>
      <c r="S13" s="68"/>
    </row>
    <row r="14" spans="1:20" ht="30.75" customHeight="1" x14ac:dyDescent="0.25">
      <c r="B14" s="2" t="s">
        <v>279</v>
      </c>
      <c r="C14" s="236" t="s">
        <v>333</v>
      </c>
      <c r="D14" s="93" t="s">
        <v>224</v>
      </c>
      <c r="E14" s="2" t="s">
        <v>280</v>
      </c>
      <c r="F14" s="2" t="s">
        <v>7</v>
      </c>
      <c r="G14" s="186">
        <v>2.63E-2</v>
      </c>
      <c r="H14" s="186">
        <v>0.1845</v>
      </c>
      <c r="I14" s="187">
        <v>44592</v>
      </c>
      <c r="J14" s="187">
        <v>44592</v>
      </c>
      <c r="K14" s="187">
        <v>43980</v>
      </c>
      <c r="L14" s="188" t="s">
        <v>332</v>
      </c>
      <c r="M14" s="79">
        <v>3000</v>
      </c>
      <c r="N14" s="67"/>
      <c r="O14" s="67">
        <f t="shared" ref="O14:O23" si="0">M14+N14</f>
        <v>3000</v>
      </c>
      <c r="P14" s="66"/>
      <c r="Q14" s="67">
        <v>3000</v>
      </c>
      <c r="R14" s="67"/>
      <c r="S14" s="68">
        <f t="shared" ref="S14:S22" si="1">Q14+R14</f>
        <v>3000</v>
      </c>
    </row>
    <row r="15" spans="1:20" ht="30.75" customHeight="1" x14ac:dyDescent="0.25">
      <c r="B15" s="2" t="s">
        <v>281</v>
      </c>
      <c r="C15" s="236" t="s">
        <v>334</v>
      </c>
      <c r="D15" s="93" t="s">
        <v>231</v>
      </c>
      <c r="E15" s="2" t="s">
        <v>282</v>
      </c>
      <c r="F15" s="2" t="s">
        <v>7</v>
      </c>
      <c r="G15" s="186">
        <v>2.63E-2</v>
      </c>
      <c r="H15" s="186">
        <v>0.1845</v>
      </c>
      <c r="I15" s="187">
        <v>44742</v>
      </c>
      <c r="J15" s="187">
        <v>44757</v>
      </c>
      <c r="K15" s="187">
        <v>43979</v>
      </c>
      <c r="L15" s="188" t="s">
        <v>283</v>
      </c>
      <c r="M15" s="79">
        <v>1027</v>
      </c>
      <c r="N15" s="67"/>
      <c r="O15" s="67">
        <f t="shared" si="0"/>
        <v>1027</v>
      </c>
      <c r="P15" s="66"/>
      <c r="Q15" s="67"/>
      <c r="R15" s="67"/>
      <c r="S15" s="68">
        <f t="shared" si="1"/>
        <v>0</v>
      </c>
    </row>
    <row r="16" spans="1:20" ht="30.75" customHeight="1" x14ac:dyDescent="0.25">
      <c r="B16" s="2" t="s">
        <v>321</v>
      </c>
      <c r="C16" s="236" t="s">
        <v>333</v>
      </c>
      <c r="D16" s="93" t="s">
        <v>288</v>
      </c>
      <c r="E16" s="2" t="s">
        <v>322</v>
      </c>
      <c r="F16" s="2" t="s">
        <v>7</v>
      </c>
      <c r="G16" s="186">
        <f>G15:H15</f>
        <v>2.63E-2</v>
      </c>
      <c r="H16" s="186">
        <f>H15</f>
        <v>0.1845</v>
      </c>
      <c r="I16" s="187">
        <v>45199</v>
      </c>
      <c r="J16" s="187">
        <v>45214</v>
      </c>
      <c r="K16" s="187">
        <v>44201</v>
      </c>
      <c r="L16" s="188" t="s">
        <v>323</v>
      </c>
      <c r="M16" s="79">
        <v>26449.66</v>
      </c>
      <c r="N16" s="67"/>
      <c r="O16" s="67">
        <f t="shared" si="0"/>
        <v>26449.66</v>
      </c>
      <c r="P16" s="66"/>
      <c r="Q16" s="67">
        <v>25854.19</v>
      </c>
      <c r="R16" s="67"/>
      <c r="S16" s="68">
        <f t="shared" si="1"/>
        <v>25854.19</v>
      </c>
    </row>
    <row r="17" spans="2:19" ht="30.75" customHeight="1" x14ac:dyDescent="0.25">
      <c r="B17" s="2" t="s">
        <v>324</v>
      </c>
      <c r="C17" s="236" t="s">
        <v>333</v>
      </c>
      <c r="D17" s="93" t="s">
        <v>288</v>
      </c>
      <c r="E17" s="2" t="s">
        <v>329</v>
      </c>
      <c r="F17" s="2" t="s">
        <v>7</v>
      </c>
      <c r="G17" s="186">
        <f>G16:H16</f>
        <v>2.63E-2</v>
      </c>
      <c r="H17" s="186">
        <f>H16</f>
        <v>0.1845</v>
      </c>
      <c r="I17" s="187">
        <v>45199</v>
      </c>
      <c r="J17" s="187">
        <v>45214</v>
      </c>
      <c r="K17" s="187">
        <v>44201</v>
      </c>
      <c r="L17" s="188" t="s">
        <v>325</v>
      </c>
      <c r="M17" s="79">
        <v>20377</v>
      </c>
      <c r="N17" s="67"/>
      <c r="O17" s="67">
        <f t="shared" si="0"/>
        <v>20377</v>
      </c>
      <c r="P17" s="66"/>
      <c r="Q17" s="67"/>
      <c r="R17" s="67"/>
      <c r="S17" s="68">
        <f t="shared" si="1"/>
        <v>0</v>
      </c>
    </row>
    <row r="18" spans="2:19" ht="30.75" customHeight="1" x14ac:dyDescent="0.25">
      <c r="B18" s="2" t="s">
        <v>326</v>
      </c>
      <c r="C18" s="236" t="s">
        <v>333</v>
      </c>
      <c r="D18" s="93" t="s">
        <v>288</v>
      </c>
      <c r="E18" s="2" t="s">
        <v>330</v>
      </c>
      <c r="F18" s="2" t="s">
        <v>7</v>
      </c>
      <c r="G18" s="186">
        <f>G17:H17</f>
        <v>2.63E-2</v>
      </c>
      <c r="H18" s="186">
        <f>H17</f>
        <v>0.1845</v>
      </c>
      <c r="I18" s="187">
        <v>45199</v>
      </c>
      <c r="J18" s="187">
        <v>45214</v>
      </c>
      <c r="K18" s="187">
        <v>44201</v>
      </c>
      <c r="L18" s="188" t="s">
        <v>323</v>
      </c>
      <c r="M18" s="79">
        <v>6943.04</v>
      </c>
      <c r="N18" s="67"/>
      <c r="O18" s="67">
        <f t="shared" si="0"/>
        <v>6943.04</v>
      </c>
      <c r="P18" s="66"/>
      <c r="Q18" s="67">
        <v>6943.04</v>
      </c>
      <c r="R18" s="67"/>
      <c r="S18" s="68">
        <f t="shared" si="1"/>
        <v>6943.04</v>
      </c>
    </row>
    <row r="19" spans="2:19" ht="30.75" customHeight="1" x14ac:dyDescent="0.25">
      <c r="B19" s="2" t="s">
        <v>370</v>
      </c>
      <c r="C19" s="236" t="s">
        <v>333</v>
      </c>
      <c r="D19" s="93" t="s">
        <v>288</v>
      </c>
      <c r="E19" s="2" t="s">
        <v>331</v>
      </c>
      <c r="F19" s="2" t="s">
        <v>7</v>
      </c>
      <c r="G19" s="186">
        <f t="shared" ref="G19" si="2">G18:H18</f>
        <v>2.63E-2</v>
      </c>
      <c r="H19" s="186">
        <f t="shared" ref="H19" si="3">H18</f>
        <v>0.1845</v>
      </c>
      <c r="I19" s="187">
        <v>45199</v>
      </c>
      <c r="J19" s="187">
        <v>45214</v>
      </c>
      <c r="K19" s="187">
        <v>44201</v>
      </c>
      <c r="L19" s="188" t="s">
        <v>325</v>
      </c>
      <c r="M19" s="79">
        <v>32863.699999999997</v>
      </c>
      <c r="N19" s="67"/>
      <c r="O19" s="67">
        <f t="shared" si="0"/>
        <v>32863.699999999997</v>
      </c>
      <c r="P19" s="66"/>
      <c r="Q19" s="67"/>
      <c r="R19" s="67"/>
      <c r="S19" s="68">
        <f t="shared" si="1"/>
        <v>0</v>
      </c>
    </row>
    <row r="20" spans="2:19" ht="30.75" customHeight="1" x14ac:dyDescent="0.25">
      <c r="B20" s="2" t="s">
        <v>287</v>
      </c>
      <c r="C20" s="236" t="s">
        <v>333</v>
      </c>
      <c r="D20" s="93" t="s">
        <v>288</v>
      </c>
      <c r="E20" s="2" t="s">
        <v>289</v>
      </c>
      <c r="F20" s="2" t="s">
        <v>7</v>
      </c>
      <c r="G20" s="186">
        <v>2.63E-2</v>
      </c>
      <c r="H20" s="186">
        <v>0.1845</v>
      </c>
      <c r="I20" s="187">
        <v>45199</v>
      </c>
      <c r="J20" s="187">
        <v>45199</v>
      </c>
      <c r="K20" s="187">
        <v>44201</v>
      </c>
      <c r="L20" s="188" t="s">
        <v>320</v>
      </c>
      <c r="M20" s="79">
        <v>60834.22</v>
      </c>
      <c r="N20" s="67"/>
      <c r="O20" s="67">
        <f t="shared" si="0"/>
        <v>60834.22</v>
      </c>
      <c r="P20" s="66"/>
      <c r="Q20" s="67">
        <f>53549.97+1464.54</f>
        <v>55014.51</v>
      </c>
      <c r="R20" s="67"/>
      <c r="S20" s="68">
        <f t="shared" si="1"/>
        <v>55014.51</v>
      </c>
    </row>
    <row r="21" spans="2:19" ht="30.75" customHeight="1" x14ac:dyDescent="0.25">
      <c r="B21" s="2" t="s">
        <v>352</v>
      </c>
      <c r="C21" s="236" t="s">
        <v>353</v>
      </c>
      <c r="D21" s="93" t="s">
        <v>354</v>
      </c>
      <c r="E21" s="2" t="s">
        <v>355</v>
      </c>
      <c r="F21" s="2" t="s">
        <v>7</v>
      </c>
      <c r="G21" s="186">
        <v>2.63E-2</v>
      </c>
      <c r="H21" s="186">
        <v>0.1845</v>
      </c>
      <c r="I21" s="187">
        <v>45565</v>
      </c>
      <c r="J21" s="187">
        <v>45580</v>
      </c>
      <c r="K21" s="187">
        <v>44279</v>
      </c>
      <c r="L21" s="188" t="s">
        <v>356</v>
      </c>
      <c r="M21" s="79">
        <v>237853.57</v>
      </c>
      <c r="N21" s="67"/>
      <c r="O21" s="67">
        <f t="shared" si="0"/>
        <v>237853.57</v>
      </c>
      <c r="P21" s="66"/>
      <c r="Q21" s="67"/>
      <c r="R21" s="67"/>
      <c r="S21" s="68">
        <f t="shared" si="1"/>
        <v>0</v>
      </c>
    </row>
    <row r="22" spans="2:19" ht="30.75" customHeight="1" x14ac:dyDescent="0.25">
      <c r="B22" s="2" t="s">
        <v>357</v>
      </c>
      <c r="C22" s="236" t="s">
        <v>353</v>
      </c>
      <c r="D22" s="93" t="s">
        <v>354</v>
      </c>
      <c r="E22" s="2" t="s">
        <v>358</v>
      </c>
      <c r="F22" s="2" t="s">
        <v>7</v>
      </c>
      <c r="G22" s="186">
        <v>2.63E-2</v>
      </c>
      <c r="H22" s="186">
        <v>0.1845</v>
      </c>
      <c r="I22" s="187">
        <v>45565</v>
      </c>
      <c r="J22" s="187">
        <v>45580</v>
      </c>
      <c r="K22" s="187">
        <v>44279</v>
      </c>
      <c r="L22" s="188" t="s">
        <v>356</v>
      </c>
      <c r="M22" s="79">
        <v>59463.39</v>
      </c>
      <c r="N22" s="67"/>
      <c r="O22" s="67">
        <f t="shared" si="0"/>
        <v>59463.39</v>
      </c>
      <c r="P22" s="66"/>
      <c r="Q22" s="67"/>
      <c r="R22" s="67"/>
      <c r="S22" s="68">
        <f t="shared" si="1"/>
        <v>0</v>
      </c>
    </row>
    <row r="23" spans="2:19" ht="30.75" customHeight="1" x14ac:dyDescent="0.25">
      <c r="B23" s="2" t="s">
        <v>363</v>
      </c>
      <c r="C23" s="236" t="s">
        <v>333</v>
      </c>
      <c r="D23" s="93" t="s">
        <v>288</v>
      </c>
      <c r="E23" s="2" t="s">
        <v>364</v>
      </c>
      <c r="F23" s="2" t="s">
        <v>7</v>
      </c>
      <c r="G23" s="186">
        <v>2.63E-2</v>
      </c>
      <c r="H23" s="186">
        <v>0.1845</v>
      </c>
      <c r="I23" s="187">
        <v>45199</v>
      </c>
      <c r="J23" s="187">
        <v>45214</v>
      </c>
      <c r="K23" s="187">
        <v>44201</v>
      </c>
      <c r="L23" s="188" t="s">
        <v>365</v>
      </c>
      <c r="M23" s="79">
        <v>559.84</v>
      </c>
      <c r="N23" s="67"/>
      <c r="O23" s="67">
        <f t="shared" si="0"/>
        <v>559.84</v>
      </c>
      <c r="P23" s="66"/>
      <c r="Q23" s="67"/>
      <c r="R23" s="67"/>
      <c r="S23" s="68"/>
    </row>
    <row r="24" spans="2:19" ht="15" customHeight="1" x14ac:dyDescent="0.25">
      <c r="B24" s="277"/>
      <c r="C24" s="277"/>
      <c r="G24" s="123"/>
      <c r="H24" s="123"/>
      <c r="I24" s="116"/>
      <c r="J24" s="116"/>
      <c r="K24" s="116"/>
      <c r="M24" s="78"/>
      <c r="N24" s="67"/>
      <c r="O24" s="67"/>
      <c r="P24" s="67"/>
      <c r="Q24" s="67"/>
      <c r="R24" s="67"/>
      <c r="S24" s="68"/>
    </row>
    <row r="25" spans="2:19" ht="23.25" customHeight="1" x14ac:dyDescent="0.25">
      <c r="C25" s="93"/>
      <c r="D25" s="93"/>
      <c r="G25" s="123"/>
      <c r="H25" s="123"/>
      <c r="I25" s="116"/>
      <c r="J25" s="116"/>
      <c r="K25" s="116" t="s">
        <v>100</v>
      </c>
      <c r="L25" s="21" t="s">
        <v>38</v>
      </c>
      <c r="M25" s="273">
        <f>SUM(M7:M24)</f>
        <v>531605.57999999996</v>
      </c>
      <c r="N25" s="273">
        <f>SUM(N7:N24)</f>
        <v>8348.7899999999991</v>
      </c>
      <c r="O25" s="273">
        <f>SUM(O7:O24)</f>
        <v>539954.37</v>
      </c>
      <c r="P25" s="66"/>
      <c r="Q25" s="273">
        <f>SUM(Q7:Q24)</f>
        <v>207482.85</v>
      </c>
      <c r="R25" s="273">
        <f>SUM(R7:R24)</f>
        <v>0</v>
      </c>
      <c r="S25" s="23">
        <f>SUM(S7:S24)</f>
        <v>207482.85</v>
      </c>
    </row>
    <row r="26" spans="2:19" x14ac:dyDescent="0.25">
      <c r="C26" s="93"/>
      <c r="D26" s="93"/>
      <c r="G26" s="123"/>
      <c r="H26" s="123"/>
      <c r="I26" s="116"/>
      <c r="J26" s="116"/>
      <c r="K26" s="116"/>
      <c r="L26" s="21"/>
      <c r="M26" s="66"/>
      <c r="N26" s="66"/>
      <c r="O26" s="66"/>
      <c r="P26" s="66"/>
      <c r="Q26" s="66"/>
      <c r="R26" s="66"/>
      <c r="S26" s="68"/>
    </row>
    <row r="27" spans="2:19" x14ac:dyDescent="0.25">
      <c r="C27" s="93"/>
      <c r="D27" s="93"/>
      <c r="G27" s="123"/>
      <c r="H27" s="123"/>
      <c r="I27" s="116"/>
      <c r="J27" s="116"/>
      <c r="K27" s="116"/>
      <c r="L27" s="21"/>
      <c r="M27" s="66"/>
      <c r="N27" s="66"/>
      <c r="O27" s="66"/>
      <c r="P27" s="66"/>
      <c r="Q27" s="66"/>
      <c r="R27" s="66"/>
      <c r="S27" s="68"/>
    </row>
    <row r="28" spans="2:19" x14ac:dyDescent="0.25">
      <c r="B28" s="8" t="s">
        <v>125</v>
      </c>
      <c r="C28" s="92"/>
      <c r="D28" s="92"/>
      <c r="S28" s="27"/>
    </row>
    <row r="29" spans="2:19" ht="33.75" customHeight="1" x14ac:dyDescent="0.25">
      <c r="B29" s="341" t="s">
        <v>126</v>
      </c>
      <c r="C29" s="341"/>
      <c r="D29" s="341"/>
      <c r="E29" s="341"/>
      <c r="F29" s="341"/>
      <c r="S29" s="27"/>
    </row>
    <row r="30" spans="2:19" x14ac:dyDescent="0.25">
      <c r="C30" s="92"/>
      <c r="D30" s="92"/>
      <c r="S30" s="27"/>
    </row>
    <row r="31" spans="2:19" ht="50.25" customHeight="1" x14ac:dyDescent="0.25">
      <c r="B31" s="341" t="s">
        <v>129</v>
      </c>
      <c r="C31" s="341"/>
      <c r="D31" s="341"/>
      <c r="E31" s="341"/>
      <c r="F31" s="341"/>
      <c r="S31" s="27"/>
    </row>
    <row r="32" spans="2:19" x14ac:dyDescent="0.25">
      <c r="B32" s="237"/>
      <c r="C32" s="237"/>
      <c r="D32" s="237"/>
      <c r="E32" s="237"/>
      <c r="S32" s="27"/>
    </row>
    <row r="33" spans="2:20" ht="32.25" customHeight="1" x14ac:dyDescent="0.25">
      <c r="B33" s="341" t="s">
        <v>160</v>
      </c>
      <c r="C33" s="341"/>
      <c r="D33" s="341"/>
      <c r="E33" s="341"/>
      <c r="F33" s="341"/>
      <c r="S33" s="27"/>
    </row>
    <row r="34" spans="2:20" ht="15" customHeight="1" x14ac:dyDescent="0.25">
      <c r="B34" s="347" t="s">
        <v>159</v>
      </c>
      <c r="C34" s="341"/>
      <c r="D34" s="341"/>
      <c r="E34" s="341"/>
      <c r="F34" s="341"/>
      <c r="S34" s="27"/>
    </row>
    <row r="35" spans="2:20" ht="15" customHeight="1" x14ac:dyDescent="0.25">
      <c r="B35" s="237"/>
      <c r="C35" s="237"/>
      <c r="D35" s="237"/>
      <c r="E35" s="237"/>
      <c r="S35" s="27"/>
    </row>
    <row r="36" spans="2:20" x14ac:dyDescent="0.25">
      <c r="B36" s="7" t="s">
        <v>109</v>
      </c>
      <c r="C36" s="101" t="s">
        <v>112</v>
      </c>
      <c r="D36" s="101" t="s">
        <v>113</v>
      </c>
      <c r="E36" s="237"/>
      <c r="S36" s="27"/>
    </row>
    <row r="37" spans="2:20" x14ac:dyDescent="0.25">
      <c r="B37" s="2" t="s">
        <v>230</v>
      </c>
      <c r="C37" s="92" t="s">
        <v>135</v>
      </c>
      <c r="D37" s="92" t="s">
        <v>147</v>
      </c>
      <c r="E37" s="243"/>
      <c r="S37" s="27"/>
    </row>
    <row r="38" spans="2:20" x14ac:dyDescent="0.25">
      <c r="B38" s="2" t="s">
        <v>235</v>
      </c>
      <c r="C38" s="92" t="s">
        <v>179</v>
      </c>
      <c r="D38" s="92" t="s">
        <v>236</v>
      </c>
      <c r="E38" s="276"/>
      <c r="S38" s="27"/>
    </row>
    <row r="39" spans="2:20" x14ac:dyDescent="0.25">
      <c r="B39" s="2" t="s">
        <v>279</v>
      </c>
      <c r="C39" s="92" t="s">
        <v>135</v>
      </c>
      <c r="D39" s="92" t="s">
        <v>147</v>
      </c>
      <c r="E39" s="299"/>
      <c r="S39" s="27"/>
    </row>
    <row r="40" spans="2:20" x14ac:dyDescent="0.25">
      <c r="B40" s="2" t="s">
        <v>281</v>
      </c>
      <c r="C40" s="92" t="s">
        <v>135</v>
      </c>
      <c r="D40" s="92" t="s">
        <v>147</v>
      </c>
      <c r="E40" s="302"/>
      <c r="S40" s="27"/>
    </row>
    <row r="41" spans="2:20" x14ac:dyDescent="0.25">
      <c r="B41" s="2" t="s">
        <v>286</v>
      </c>
      <c r="C41" s="92" t="s">
        <v>135</v>
      </c>
      <c r="D41" s="92" t="s">
        <v>147</v>
      </c>
      <c r="E41" s="304"/>
      <c r="S41" s="27"/>
    </row>
    <row r="42" spans="2:20" x14ac:dyDescent="0.25">
      <c r="C42" s="92"/>
      <c r="D42" s="92"/>
      <c r="E42" s="268"/>
      <c r="S42" s="27"/>
    </row>
    <row r="43" spans="2:20" x14ac:dyDescent="0.25">
      <c r="B43" s="258" t="s">
        <v>298</v>
      </c>
      <c r="C43" s="93"/>
      <c r="D43" s="93"/>
      <c r="S43" s="27"/>
    </row>
    <row r="44" spans="2:20" x14ac:dyDescent="0.25">
      <c r="B44" s="336" t="s">
        <v>299</v>
      </c>
      <c r="C44" s="336"/>
      <c r="D44" s="336"/>
      <c r="E44" s="336"/>
      <c r="F44" s="336"/>
      <c r="G44" s="336"/>
      <c r="H44" s="336"/>
      <c r="S44" s="27"/>
    </row>
    <row r="45" spans="2:20" x14ac:dyDescent="0.25">
      <c r="B45" s="220"/>
      <c r="C45" s="94"/>
      <c r="D45" s="94"/>
      <c r="E45" s="10"/>
      <c r="F45" s="10"/>
      <c r="G45" s="10"/>
      <c r="H45" s="10"/>
      <c r="I45" s="10"/>
      <c r="J45" s="10"/>
      <c r="K45" s="10"/>
      <c r="L45" s="10"/>
      <c r="M45" s="10"/>
      <c r="N45" s="10"/>
      <c r="O45" s="10"/>
      <c r="P45" s="10"/>
      <c r="Q45" s="10"/>
      <c r="R45" s="10"/>
      <c r="S45" s="28"/>
    </row>
    <row r="46" spans="2:20" x14ac:dyDescent="0.25">
      <c r="B46" s="192"/>
      <c r="C46" s="93"/>
      <c r="D46" s="93"/>
      <c r="Q46" s="59" t="s">
        <v>90</v>
      </c>
      <c r="R46" s="50"/>
      <c r="S46" s="165"/>
    </row>
    <row r="47" spans="2:20" ht="15" customHeight="1" x14ac:dyDescent="0.25">
      <c r="B47" s="17" t="s">
        <v>39</v>
      </c>
      <c r="C47" s="239" t="s">
        <v>2</v>
      </c>
      <c r="D47" s="239"/>
      <c r="E47" s="239" t="s">
        <v>34</v>
      </c>
      <c r="F47" s="239" t="s">
        <v>35</v>
      </c>
      <c r="G47" s="239"/>
      <c r="H47" s="239"/>
      <c r="I47" s="239"/>
      <c r="J47" s="239"/>
      <c r="K47" s="239"/>
      <c r="L47" s="239" t="s">
        <v>36</v>
      </c>
      <c r="M47" s="239" t="s">
        <v>37</v>
      </c>
      <c r="N47" s="47"/>
      <c r="O47" s="47"/>
      <c r="P47" s="47"/>
      <c r="Q47" s="54" t="s">
        <v>88</v>
      </c>
      <c r="R47" s="52"/>
      <c r="S47" s="53"/>
      <c r="T47" s="51"/>
    </row>
    <row r="48" spans="2:20" ht="15" customHeight="1" x14ac:dyDescent="0.25">
      <c r="B48" s="63"/>
      <c r="C48" s="148"/>
      <c r="D48" s="148"/>
      <c r="E48" s="148"/>
      <c r="F48" s="148"/>
      <c r="G48" s="148"/>
      <c r="H48" s="148"/>
      <c r="I48" s="148"/>
      <c r="J48" s="148"/>
      <c r="K48" s="148"/>
      <c r="L48" s="148"/>
      <c r="M48" s="148"/>
      <c r="N48" s="45"/>
      <c r="O48" s="45"/>
      <c r="P48" s="45"/>
      <c r="T48" s="51"/>
    </row>
    <row r="49" spans="2:20" ht="15" customHeight="1" x14ac:dyDescent="0.25">
      <c r="B49" s="63"/>
      <c r="C49" s="148"/>
      <c r="D49" s="148"/>
      <c r="E49" s="148"/>
      <c r="F49" s="148"/>
      <c r="G49" s="148"/>
      <c r="H49" s="148"/>
      <c r="I49" s="148"/>
      <c r="J49" s="148"/>
      <c r="K49" s="148"/>
      <c r="L49" s="148"/>
      <c r="M49" s="148"/>
      <c r="N49" s="45"/>
      <c r="O49" s="45"/>
      <c r="P49" s="45"/>
      <c r="T49" s="51"/>
    </row>
    <row r="50" spans="2:20" ht="15" customHeight="1" x14ac:dyDescent="0.25">
      <c r="B50" s="63"/>
      <c r="C50" s="148"/>
      <c r="D50" s="148"/>
      <c r="E50" s="148"/>
      <c r="F50" s="148"/>
      <c r="G50" s="148"/>
      <c r="H50" s="148"/>
      <c r="I50" s="148"/>
      <c r="J50" s="148"/>
      <c r="K50" s="148"/>
      <c r="L50" s="148"/>
      <c r="M50" s="148"/>
      <c r="N50" s="45"/>
      <c r="O50" s="45"/>
      <c r="P50" s="45"/>
      <c r="T50" s="51"/>
    </row>
    <row r="51" spans="2:20" ht="15" customHeight="1" x14ac:dyDescent="0.25">
      <c r="B51" s="63"/>
      <c r="C51" s="148"/>
      <c r="D51" s="148"/>
      <c r="E51" s="148"/>
      <c r="F51" s="148"/>
      <c r="G51" s="148"/>
      <c r="H51" s="148"/>
      <c r="I51" s="148"/>
      <c r="J51" s="148"/>
      <c r="K51" s="148"/>
      <c r="L51" s="148"/>
      <c r="M51" s="148"/>
      <c r="N51" s="45"/>
      <c r="O51" s="45"/>
      <c r="P51" s="45"/>
      <c r="Q51" s="59"/>
      <c r="R51" s="50"/>
      <c r="S51" s="50"/>
      <c r="T51" s="51"/>
    </row>
    <row r="52" spans="2:20" x14ac:dyDescent="0.25">
      <c r="B52" s="11"/>
      <c r="C52" s="148"/>
      <c r="D52" s="148"/>
      <c r="E52" s="148"/>
      <c r="R52" s="51"/>
      <c r="S52" s="51"/>
      <c r="T52" s="51"/>
    </row>
    <row r="53" spans="2:20" x14ac:dyDescent="0.25">
      <c r="B53" s="12"/>
      <c r="C53" s="13"/>
      <c r="D53" s="13"/>
      <c r="E53" s="41"/>
      <c r="F53" s="15"/>
      <c r="G53" s="15"/>
      <c r="H53" s="15"/>
      <c r="I53" s="15"/>
      <c r="J53" s="15"/>
      <c r="K53" s="15"/>
      <c r="L53" s="16"/>
      <c r="M53" s="20"/>
      <c r="N53" s="18"/>
      <c r="O53" s="18"/>
      <c r="P53" s="18"/>
    </row>
    <row r="54" spans="2:20" x14ac:dyDescent="0.25">
      <c r="B54" s="12"/>
      <c r="C54" s="13"/>
      <c r="D54" s="13"/>
      <c r="E54" s="41"/>
      <c r="F54" s="15"/>
      <c r="G54" s="15"/>
      <c r="H54" s="15"/>
      <c r="I54" s="15"/>
      <c r="J54" s="15"/>
      <c r="K54" s="15"/>
      <c r="L54" s="16"/>
      <c r="M54" s="20"/>
      <c r="N54" s="18"/>
      <c r="O54" s="18"/>
      <c r="P54" s="18"/>
    </row>
    <row r="55" spans="2:20" x14ac:dyDescent="0.25">
      <c r="Q55" s="309" t="s">
        <v>316</v>
      </c>
      <c r="R55" s="309"/>
      <c r="S55" s="312">
        <f>S25</f>
        <v>207482.85</v>
      </c>
    </row>
  </sheetData>
  <mergeCells count="8">
    <mergeCell ref="B34:F34"/>
    <mergeCell ref="B44:H44"/>
    <mergeCell ref="Q1:S1"/>
    <mergeCell ref="Q2:S2"/>
    <mergeCell ref="B29:F29"/>
    <mergeCell ref="B31:F31"/>
    <mergeCell ref="B33:F33"/>
    <mergeCell ref="B11:B12"/>
  </mergeCells>
  <hyperlinks>
    <hyperlink ref="B34" r:id="rId1"/>
  </hyperlinks>
  <printOptions horizontalCentered="1" gridLines="1"/>
  <pageMargins left="0" right="0" top="0.75" bottom="0.75" header="0.3" footer="0.3"/>
  <pageSetup scale="49" orientation="landscape" horizontalDpi="1200" verticalDpi="1200"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5"/>
  <sheetViews>
    <sheetView topLeftCell="B1" zoomScale="90" zoomScaleNormal="90" workbookViewId="0">
      <selection activeCell="Q3" sqref="Q3"/>
    </sheetView>
  </sheetViews>
  <sheetFormatPr defaultColWidth="9.140625" defaultRowHeight="15" x14ac:dyDescent="0.25"/>
  <cols>
    <col min="1" max="1" width="5.7109375" style="2" hidden="1" customWidth="1"/>
    <col min="2" max="2" width="53.28515625" style="2" customWidth="1"/>
    <col min="3" max="3" width="24.42578125" style="2" bestFit="1" customWidth="1"/>
    <col min="4" max="4" width="13.7109375" style="2" customWidth="1"/>
    <col min="5" max="5" width="17" style="2" bestFit="1" customWidth="1"/>
    <col min="6" max="6" width="21.7109375" style="2" customWidth="1"/>
    <col min="7" max="7" width="8.5703125" style="2" customWidth="1"/>
    <col min="8" max="8" width="16.42578125" style="2" customWidth="1"/>
    <col min="9" max="9" width="10.85546875" style="2" customWidth="1"/>
    <col min="10" max="10" width="10" style="2" customWidth="1"/>
    <col min="11" max="11" width="10.28515625" style="2" customWidth="1"/>
    <col min="12" max="12" width="18.7109375" style="2" customWidth="1"/>
    <col min="13" max="13" width="13.28515625" style="2" bestFit="1" customWidth="1"/>
    <col min="14" max="14" width="16.140625" style="2" customWidth="1"/>
    <col min="15" max="15" width="14.42578125" style="2" customWidth="1"/>
    <col min="16" max="16" width="3.140625" style="2" customWidth="1"/>
    <col min="17" max="17" width="12" style="2" customWidth="1"/>
    <col min="18" max="18" width="14.140625" style="2" customWidth="1"/>
    <col min="19" max="19" width="16.7109375" style="2" customWidth="1"/>
    <col min="20" max="16384" width="9.140625" style="2"/>
  </cols>
  <sheetData>
    <row r="1" spans="1:20" ht="14.45" customHeight="1" x14ac:dyDescent="0.25">
      <c r="B1" s="8" t="s">
        <v>201</v>
      </c>
      <c r="Q1" s="338" t="s">
        <v>196</v>
      </c>
      <c r="R1" s="338"/>
      <c r="S1" s="338"/>
    </row>
    <row r="2" spans="1:20" x14ac:dyDescent="0.25">
      <c r="B2" s="88" t="s">
        <v>148</v>
      </c>
      <c r="C2" s="182">
        <v>43738</v>
      </c>
      <c r="M2" s="71"/>
      <c r="N2" s="71"/>
      <c r="P2" s="29"/>
      <c r="Q2" s="337" t="s">
        <v>208</v>
      </c>
      <c r="R2" s="337"/>
      <c r="S2" s="337"/>
    </row>
    <row r="3" spans="1:20" ht="15.75" thickBot="1" x14ac:dyDescent="0.3">
      <c r="A3" s="2" t="s">
        <v>16</v>
      </c>
      <c r="B3" s="44" t="s">
        <v>202</v>
      </c>
      <c r="C3" s="8"/>
      <c r="D3" s="8"/>
      <c r="E3" s="8"/>
      <c r="P3" s="29"/>
      <c r="Q3" s="45"/>
      <c r="R3" s="30"/>
    </row>
    <row r="4" spans="1:20" x14ac:dyDescent="0.25">
      <c r="B4" s="8" t="s">
        <v>207</v>
      </c>
      <c r="M4" s="85" t="s">
        <v>28</v>
      </c>
      <c r="N4" s="85" t="s">
        <v>28</v>
      </c>
      <c r="O4" s="85" t="s">
        <v>28</v>
      </c>
      <c r="P4" s="148"/>
      <c r="Q4" s="89" t="s">
        <v>29</v>
      </c>
      <c r="R4" s="89" t="s">
        <v>31</v>
      </c>
      <c r="S4" s="89" t="s">
        <v>23</v>
      </c>
      <c r="T4" s="7"/>
    </row>
    <row r="5" spans="1:20" ht="15.75" thickBot="1" x14ac:dyDescent="0.3">
      <c r="G5" s="183" t="s">
        <v>195</v>
      </c>
      <c r="H5" s="183" t="s">
        <v>195</v>
      </c>
      <c r="M5" s="86" t="s">
        <v>27</v>
      </c>
      <c r="N5" s="86" t="s">
        <v>26</v>
      </c>
      <c r="O5" s="86" t="s">
        <v>25</v>
      </c>
      <c r="P5" s="148"/>
      <c r="Q5" s="90" t="s">
        <v>30</v>
      </c>
      <c r="R5" s="90" t="s">
        <v>30</v>
      </c>
      <c r="S5" s="90" t="s">
        <v>30</v>
      </c>
      <c r="T5" s="7"/>
    </row>
    <row r="6" spans="1:20" ht="85.5" customHeight="1" thickBot="1" x14ac:dyDescent="0.3">
      <c r="B6" s="84" t="s">
        <v>1</v>
      </c>
      <c r="C6" s="84" t="s">
        <v>127</v>
      </c>
      <c r="D6" s="84" t="s">
        <v>107</v>
      </c>
      <c r="E6" s="84" t="s">
        <v>3</v>
      </c>
      <c r="F6" s="84" t="s">
        <v>4</v>
      </c>
      <c r="G6" s="107" t="s">
        <v>136</v>
      </c>
      <c r="H6" s="107" t="s">
        <v>137</v>
      </c>
      <c r="I6" s="107" t="s">
        <v>133</v>
      </c>
      <c r="J6" s="107" t="s">
        <v>134</v>
      </c>
      <c r="K6" s="107" t="s">
        <v>121</v>
      </c>
      <c r="L6" s="83" t="s">
        <v>5</v>
      </c>
      <c r="M6" s="87" t="s">
        <v>6</v>
      </c>
      <c r="N6" s="87" t="s">
        <v>6</v>
      </c>
      <c r="O6" s="87" t="s">
        <v>6</v>
      </c>
      <c r="P6" s="148"/>
      <c r="Q6" s="91"/>
      <c r="R6" s="97" t="s">
        <v>32</v>
      </c>
      <c r="S6" s="98" t="s">
        <v>33</v>
      </c>
    </row>
    <row r="7" spans="1:20" hidden="1" x14ac:dyDescent="0.25">
      <c r="B7" s="238"/>
      <c r="C7" s="110"/>
      <c r="D7" s="92"/>
      <c r="F7" s="2" t="s">
        <v>7</v>
      </c>
      <c r="G7" s="186">
        <v>2.7699999999999999E-2</v>
      </c>
      <c r="H7" s="186">
        <v>0.15060000000000001</v>
      </c>
      <c r="I7" s="187">
        <v>43646</v>
      </c>
      <c r="J7" s="187">
        <v>43647</v>
      </c>
      <c r="K7" s="187">
        <v>43282</v>
      </c>
      <c r="L7" s="188" t="s">
        <v>157</v>
      </c>
      <c r="M7" s="78"/>
      <c r="N7" s="67"/>
      <c r="O7" s="67"/>
      <c r="P7" s="67"/>
      <c r="Q7" s="67"/>
      <c r="R7" s="67"/>
      <c r="S7" s="68"/>
    </row>
    <row r="8" spans="1:20" ht="30" customHeight="1" x14ac:dyDescent="0.25">
      <c r="B8" s="238"/>
      <c r="C8" s="236"/>
      <c r="D8" s="92"/>
      <c r="G8" s="186"/>
      <c r="H8" s="186"/>
      <c r="I8" s="187"/>
      <c r="J8" s="187"/>
      <c r="K8" s="187"/>
      <c r="L8" s="188"/>
      <c r="M8" s="78"/>
      <c r="N8" s="67"/>
      <c r="O8" s="67">
        <f>M8+N8</f>
        <v>0</v>
      </c>
      <c r="P8" s="67"/>
      <c r="Q8" s="67"/>
      <c r="R8" s="67"/>
      <c r="S8" s="68">
        <f>Q8+R8</f>
        <v>0</v>
      </c>
    </row>
    <row r="9" spans="1:20" x14ac:dyDescent="0.25">
      <c r="G9" s="123"/>
      <c r="H9" s="123"/>
      <c r="I9" s="116"/>
      <c r="J9" s="116"/>
      <c r="K9" s="116"/>
      <c r="M9" s="24"/>
      <c r="N9" s="25"/>
      <c r="O9" s="25"/>
      <c r="P9" s="67"/>
      <c r="Q9" s="25"/>
      <c r="R9" s="25"/>
      <c r="S9" s="26"/>
    </row>
    <row r="10" spans="1:20" x14ac:dyDescent="0.25">
      <c r="C10" s="93"/>
      <c r="D10" s="93"/>
      <c r="G10" s="123"/>
      <c r="H10" s="123"/>
      <c r="I10" s="116"/>
      <c r="J10" s="116"/>
      <c r="K10" s="116" t="s">
        <v>100</v>
      </c>
      <c r="L10" s="21" t="s">
        <v>38</v>
      </c>
      <c r="M10" s="66">
        <f>SUM(M8:M8)</f>
        <v>0</v>
      </c>
      <c r="N10" s="66">
        <f>SUM(N8:N8)</f>
        <v>0</v>
      </c>
      <c r="O10" s="66">
        <f>SUM(O8:O8)</f>
        <v>0</v>
      </c>
      <c r="P10" s="66"/>
      <c r="Q10" s="66">
        <f>SUM(Q8:Q8)</f>
        <v>0</v>
      </c>
      <c r="R10" s="66">
        <f>SUM(R8:R8)</f>
        <v>0</v>
      </c>
      <c r="S10" s="23">
        <f>SUM(S8:S8)</f>
        <v>0</v>
      </c>
    </row>
    <row r="11" spans="1:20" x14ac:dyDescent="0.25">
      <c r="C11" s="93"/>
      <c r="D11" s="93"/>
      <c r="G11" s="123"/>
      <c r="H11" s="123"/>
      <c r="I11" s="116"/>
      <c r="J11" s="116"/>
      <c r="K11" s="116"/>
      <c r="L11" s="21"/>
      <c r="M11" s="66"/>
      <c r="N11" s="66"/>
      <c r="O11" s="66"/>
      <c r="P11" s="66"/>
      <c r="Q11" s="66"/>
      <c r="R11" s="66"/>
      <c r="S11" s="68"/>
    </row>
    <row r="12" spans="1:20" x14ac:dyDescent="0.25">
      <c r="C12" s="93"/>
      <c r="D12" s="93"/>
      <c r="G12" s="123"/>
      <c r="H12" s="123"/>
      <c r="I12" s="116"/>
      <c r="J12" s="116"/>
      <c r="K12" s="116"/>
      <c r="L12" s="21"/>
      <c r="M12" s="66"/>
      <c r="N12" s="66"/>
      <c r="O12" s="66"/>
      <c r="P12" s="66"/>
      <c r="Q12" s="66"/>
      <c r="R12" s="66"/>
      <c r="S12" s="68"/>
    </row>
    <row r="13" spans="1:20" x14ac:dyDescent="0.25">
      <c r="B13" s="8" t="s">
        <v>125</v>
      </c>
      <c r="C13" s="92"/>
      <c r="D13" s="92"/>
      <c r="S13" s="27"/>
    </row>
    <row r="14" spans="1:20" ht="33.75" customHeight="1" x14ac:dyDescent="0.25">
      <c r="B14" s="341" t="s">
        <v>126</v>
      </c>
      <c r="C14" s="341"/>
      <c r="D14" s="341"/>
      <c r="E14" s="341"/>
      <c r="F14" s="341"/>
      <c r="S14" s="27"/>
    </row>
    <row r="15" spans="1:20" x14ac:dyDescent="0.25">
      <c r="C15" s="92"/>
      <c r="D15" s="92"/>
      <c r="S15" s="27"/>
    </row>
    <row r="16" spans="1:20" ht="50.25" customHeight="1" x14ac:dyDescent="0.25">
      <c r="B16" s="341" t="s">
        <v>129</v>
      </c>
      <c r="C16" s="341"/>
      <c r="D16" s="341"/>
      <c r="E16" s="341"/>
      <c r="F16" s="341"/>
      <c r="S16" s="27"/>
    </row>
    <row r="17" spans="2:20" x14ac:dyDescent="0.25">
      <c r="B17" s="237"/>
      <c r="C17" s="237"/>
      <c r="D17" s="237"/>
      <c r="E17" s="237"/>
      <c r="S17" s="27"/>
    </row>
    <row r="18" spans="2:20" ht="32.25" customHeight="1" x14ac:dyDescent="0.25">
      <c r="B18" s="341" t="s">
        <v>160</v>
      </c>
      <c r="C18" s="341"/>
      <c r="D18" s="341"/>
      <c r="E18" s="341"/>
      <c r="F18" s="341"/>
      <c r="S18" s="27"/>
    </row>
    <row r="19" spans="2:20" ht="15" customHeight="1" x14ac:dyDescent="0.25">
      <c r="B19" s="347" t="s">
        <v>159</v>
      </c>
      <c r="C19" s="341"/>
      <c r="D19" s="341"/>
      <c r="E19" s="341"/>
      <c r="F19" s="341"/>
      <c r="S19" s="27"/>
    </row>
    <row r="20" spans="2:20" ht="15" customHeight="1" x14ac:dyDescent="0.25">
      <c r="B20" s="237"/>
      <c r="C20" s="237"/>
      <c r="D20" s="237"/>
      <c r="E20" s="237"/>
      <c r="S20" s="27"/>
    </row>
    <row r="21" spans="2:20" x14ac:dyDescent="0.25">
      <c r="B21" s="7" t="s">
        <v>109</v>
      </c>
      <c r="C21" s="101" t="s">
        <v>112</v>
      </c>
      <c r="D21" s="101" t="s">
        <v>113</v>
      </c>
      <c r="E21" s="237"/>
      <c r="S21" s="27"/>
    </row>
    <row r="22" spans="2:20" x14ac:dyDescent="0.25">
      <c r="B22" s="238" t="s">
        <v>111</v>
      </c>
      <c r="C22" s="92" t="s">
        <v>114</v>
      </c>
      <c r="D22" s="92" t="s">
        <v>119</v>
      </c>
      <c r="E22" s="237"/>
      <c r="S22" s="27"/>
    </row>
    <row r="23" spans="2:20" ht="15.75" x14ac:dyDescent="0.25">
      <c r="B23" s="196"/>
      <c r="C23" s="93"/>
      <c r="D23" s="93"/>
      <c r="S23" s="27"/>
    </row>
    <row r="24" spans="2:20" x14ac:dyDescent="0.25">
      <c r="B24" s="336" t="s">
        <v>204</v>
      </c>
      <c r="C24" s="336"/>
      <c r="D24" s="336"/>
      <c r="E24" s="336"/>
      <c r="F24" s="336"/>
      <c r="G24" s="336"/>
      <c r="H24" s="336"/>
      <c r="S24" s="27"/>
    </row>
    <row r="25" spans="2:20" x14ac:dyDescent="0.25">
      <c r="B25" s="242" t="s">
        <v>203</v>
      </c>
      <c r="C25" s="92"/>
      <c r="D25" s="92"/>
      <c r="S25" s="27"/>
    </row>
    <row r="26" spans="2:20" x14ac:dyDescent="0.25">
      <c r="B26" s="220"/>
      <c r="C26" s="94"/>
      <c r="D26" s="94"/>
      <c r="E26" s="10"/>
      <c r="F26" s="10"/>
      <c r="G26" s="10"/>
      <c r="H26" s="10"/>
      <c r="I26" s="10"/>
      <c r="J26" s="10"/>
      <c r="K26" s="10"/>
      <c r="L26" s="10"/>
      <c r="M26" s="10"/>
      <c r="N26" s="10"/>
      <c r="O26" s="10"/>
      <c r="P26" s="10"/>
      <c r="Q26" s="10"/>
      <c r="R26" s="10"/>
      <c r="S26" s="28"/>
    </row>
    <row r="27" spans="2:20" x14ac:dyDescent="0.25">
      <c r="B27" s="192"/>
      <c r="C27" s="93"/>
      <c r="D27" s="93"/>
      <c r="Q27" s="59" t="s">
        <v>90</v>
      </c>
      <c r="R27" s="50"/>
      <c r="S27" s="165"/>
    </row>
    <row r="28" spans="2:20" ht="15" customHeight="1" x14ac:dyDescent="0.25">
      <c r="B28" s="17" t="s">
        <v>39</v>
      </c>
      <c r="C28" s="239" t="s">
        <v>2</v>
      </c>
      <c r="D28" s="239"/>
      <c r="E28" s="239" t="s">
        <v>34</v>
      </c>
      <c r="F28" s="239" t="s">
        <v>35</v>
      </c>
      <c r="G28" s="239"/>
      <c r="H28" s="239"/>
      <c r="I28" s="239"/>
      <c r="J28" s="239"/>
      <c r="K28" s="239"/>
      <c r="L28" s="239" t="s">
        <v>36</v>
      </c>
      <c r="M28" s="239" t="s">
        <v>37</v>
      </c>
      <c r="N28" s="47"/>
      <c r="O28" s="47"/>
      <c r="P28" s="47"/>
      <c r="Q28" s="54" t="s">
        <v>88</v>
      </c>
      <c r="R28" s="52"/>
      <c r="S28" s="53"/>
      <c r="T28" s="51"/>
    </row>
    <row r="29" spans="2:20" ht="15" customHeight="1" x14ac:dyDescent="0.25">
      <c r="B29" s="63"/>
      <c r="C29" s="148"/>
      <c r="D29" s="148"/>
      <c r="E29" s="148"/>
      <c r="F29" s="148"/>
      <c r="G29" s="148"/>
      <c r="H29" s="148"/>
      <c r="I29" s="148"/>
      <c r="J29" s="148"/>
      <c r="K29" s="148"/>
      <c r="L29" s="148"/>
      <c r="M29" s="148"/>
      <c r="N29" s="45"/>
      <c r="O29" s="45"/>
      <c r="P29" s="45"/>
      <c r="T29" s="51"/>
    </row>
    <row r="30" spans="2:20" ht="15" customHeight="1" x14ac:dyDescent="0.25">
      <c r="B30" s="63"/>
      <c r="C30" s="148"/>
      <c r="D30" s="148"/>
      <c r="E30" s="148"/>
      <c r="F30" s="148"/>
      <c r="G30" s="148"/>
      <c r="H30" s="148"/>
      <c r="I30" s="148"/>
      <c r="J30" s="148"/>
      <c r="K30" s="148"/>
      <c r="L30" s="148"/>
      <c r="M30" s="148"/>
      <c r="N30" s="45"/>
      <c r="O30" s="45"/>
      <c r="P30" s="45"/>
      <c r="Q30" s="59"/>
      <c r="R30" s="50"/>
      <c r="S30" s="50"/>
      <c r="T30" s="51"/>
    </row>
    <row r="31" spans="2:20" x14ac:dyDescent="0.25">
      <c r="B31" s="11"/>
      <c r="C31" s="148"/>
      <c r="D31" s="148"/>
      <c r="E31" s="148"/>
      <c r="R31" s="51"/>
      <c r="S31" s="51"/>
      <c r="T31" s="51"/>
    </row>
    <row r="32" spans="2:20" x14ac:dyDescent="0.25">
      <c r="B32" s="12"/>
      <c r="C32" s="13"/>
      <c r="D32" s="13"/>
      <c r="E32" s="41"/>
      <c r="F32" s="15"/>
      <c r="G32" s="15"/>
      <c r="H32" s="15"/>
      <c r="I32" s="15"/>
      <c r="J32" s="15"/>
      <c r="K32" s="15"/>
      <c r="L32" s="16"/>
      <c r="M32" s="20"/>
      <c r="N32" s="18"/>
      <c r="O32" s="18"/>
      <c r="P32" s="18"/>
    </row>
    <row r="33" spans="2:16" x14ac:dyDescent="0.25">
      <c r="B33" s="12"/>
      <c r="C33" s="13"/>
      <c r="D33" s="13"/>
      <c r="E33" s="41"/>
      <c r="F33" s="15"/>
      <c r="G33" s="15"/>
      <c r="H33" s="15"/>
      <c r="I33" s="15"/>
      <c r="J33" s="15"/>
      <c r="K33" s="15"/>
      <c r="L33" s="16"/>
      <c r="M33" s="20"/>
      <c r="N33" s="18"/>
      <c r="O33" s="18"/>
      <c r="P33" s="18"/>
    </row>
    <row r="34" spans="2:16" x14ac:dyDescent="0.25">
      <c r="B34" s="12"/>
      <c r="C34" s="13"/>
      <c r="D34" s="13"/>
      <c r="E34" s="41"/>
      <c r="F34" s="15"/>
      <c r="G34" s="15"/>
      <c r="H34" s="15"/>
      <c r="I34" s="15"/>
      <c r="J34" s="15"/>
      <c r="K34" s="15"/>
      <c r="L34" s="16"/>
      <c r="M34" s="20"/>
      <c r="N34" s="18"/>
      <c r="O34" s="18"/>
      <c r="P34" s="18"/>
    </row>
    <row r="35" spans="2:16" x14ac:dyDescent="0.25">
      <c r="B35" s="12"/>
      <c r="C35" s="13"/>
      <c r="D35" s="13"/>
      <c r="E35" s="41"/>
      <c r="F35" s="15"/>
      <c r="G35" s="15"/>
      <c r="H35" s="15"/>
      <c r="I35" s="15"/>
      <c r="J35" s="15"/>
      <c r="K35" s="15"/>
      <c r="L35" s="16"/>
      <c r="M35" s="20"/>
      <c r="N35" s="18"/>
      <c r="O35" s="18"/>
      <c r="P35" s="18"/>
    </row>
  </sheetData>
  <mergeCells count="7">
    <mergeCell ref="B19:F19"/>
    <mergeCell ref="B24:H24"/>
    <mergeCell ref="Q1:S1"/>
    <mergeCell ref="Q2:S2"/>
    <mergeCell ref="B14:F14"/>
    <mergeCell ref="B16:F16"/>
    <mergeCell ref="B18:F18"/>
  </mergeCells>
  <hyperlinks>
    <hyperlink ref="B19" r:id="rId1"/>
  </hyperlinks>
  <printOptions horizontalCentered="1" gridLines="1"/>
  <pageMargins left="0" right="0" top="0.75" bottom="0.75" header="0.3" footer="0.3"/>
  <pageSetup scale="49" orientation="landscape" horizontalDpi="1200" verticalDpi="1200"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5"/>
  <sheetViews>
    <sheetView topLeftCell="C7" zoomScale="90" zoomScaleNormal="90" workbookViewId="0">
      <selection activeCell="R18" sqref="R18"/>
    </sheetView>
  </sheetViews>
  <sheetFormatPr defaultColWidth="9.140625" defaultRowHeight="15" x14ac:dyDescent="0.25"/>
  <cols>
    <col min="1" max="1" width="9.140625" style="2" hidden="1" customWidth="1"/>
    <col min="2" max="2" width="57.7109375" style="2" customWidth="1"/>
    <col min="3" max="3" width="26.42578125" style="2" customWidth="1"/>
    <col min="4" max="4" width="13.7109375" style="2" customWidth="1"/>
    <col min="5" max="5" width="17" style="2" bestFit="1" customWidth="1"/>
    <col min="6" max="6" width="21.85546875" style="2" customWidth="1"/>
    <col min="7" max="7" width="10.140625" style="2" customWidth="1"/>
    <col min="8" max="8" width="13.42578125" style="2" customWidth="1"/>
    <col min="9" max="9" width="13.28515625" style="2" customWidth="1"/>
    <col min="10" max="10" width="14.7109375" style="2" customWidth="1"/>
    <col min="11" max="11" width="10.42578125" style="2" customWidth="1"/>
    <col min="12" max="12" width="18.7109375" style="2" customWidth="1"/>
    <col min="13" max="13" width="13.28515625" style="2" customWidth="1"/>
    <col min="14" max="14" width="13.7109375" style="2" customWidth="1"/>
    <col min="15" max="15" width="14.42578125" style="2" customWidth="1"/>
    <col min="16" max="16" width="3.140625" style="2" customWidth="1"/>
    <col min="17" max="17" width="16.5703125" style="2" customWidth="1"/>
    <col min="18" max="18" width="14.140625" style="2" customWidth="1"/>
    <col min="19" max="19" width="16.7109375" style="2" customWidth="1"/>
    <col min="20" max="16384" width="9.140625" style="2"/>
  </cols>
  <sheetData>
    <row r="1" spans="1:20" ht="18" customHeight="1" x14ac:dyDescent="0.25">
      <c r="B1" s="8" t="s">
        <v>214</v>
      </c>
      <c r="Q1" s="338" t="s">
        <v>296</v>
      </c>
      <c r="R1" s="338"/>
      <c r="S1" s="338"/>
    </row>
    <row r="2" spans="1:20" ht="18" customHeight="1" x14ac:dyDescent="0.25">
      <c r="B2" s="88" t="s">
        <v>148</v>
      </c>
      <c r="C2" s="182">
        <v>44742</v>
      </c>
      <c r="M2" s="71"/>
      <c r="N2" s="71"/>
      <c r="P2" s="29"/>
      <c r="Q2" s="337" t="s">
        <v>375</v>
      </c>
      <c r="R2" s="337"/>
      <c r="S2" s="337"/>
    </row>
    <row r="3" spans="1:20" ht="18" customHeight="1" thickBot="1" x14ac:dyDescent="0.3">
      <c r="A3" s="2" t="s">
        <v>16</v>
      </c>
      <c r="B3" s="44" t="s">
        <v>52</v>
      </c>
      <c r="C3" s="8"/>
      <c r="D3" s="8"/>
      <c r="E3" s="8"/>
      <c r="P3" s="29"/>
      <c r="Q3" s="45"/>
      <c r="R3" s="30"/>
    </row>
    <row r="4" spans="1:20" ht="18.75" customHeight="1" x14ac:dyDescent="0.25">
      <c r="B4" s="8" t="s">
        <v>174</v>
      </c>
      <c r="M4" s="85" t="s">
        <v>28</v>
      </c>
      <c r="N4" s="85" t="s">
        <v>28</v>
      </c>
      <c r="O4" s="85" t="s">
        <v>28</v>
      </c>
      <c r="P4" s="9"/>
      <c r="Q4" s="89" t="s">
        <v>29</v>
      </c>
      <c r="R4" s="89" t="s">
        <v>31</v>
      </c>
      <c r="S4" s="89" t="s">
        <v>23</v>
      </c>
      <c r="T4" s="7"/>
    </row>
    <row r="5" spans="1:20" ht="15.75" thickBot="1" x14ac:dyDescent="0.3">
      <c r="G5" s="183" t="s">
        <v>295</v>
      </c>
      <c r="H5" s="183" t="s">
        <v>295</v>
      </c>
      <c r="M5" s="86" t="s">
        <v>27</v>
      </c>
      <c r="N5" s="86" t="s">
        <v>26</v>
      </c>
      <c r="O5" s="86" t="s">
        <v>25</v>
      </c>
      <c r="P5" s="9"/>
      <c r="Q5" s="90" t="s">
        <v>30</v>
      </c>
      <c r="R5" s="90" t="s">
        <v>30</v>
      </c>
      <c r="S5" s="90" t="s">
        <v>30</v>
      </c>
      <c r="T5" s="7"/>
    </row>
    <row r="6" spans="1:20" ht="85.5" customHeight="1" thickBot="1" x14ac:dyDescent="0.3">
      <c r="B6" s="84" t="s">
        <v>1</v>
      </c>
      <c r="C6" s="84" t="s">
        <v>389</v>
      </c>
      <c r="D6" s="84" t="s">
        <v>107</v>
      </c>
      <c r="E6" s="84" t="s">
        <v>3</v>
      </c>
      <c r="F6" s="84" t="s">
        <v>4</v>
      </c>
      <c r="G6" s="107" t="s">
        <v>136</v>
      </c>
      <c r="H6" s="107" t="s">
        <v>137</v>
      </c>
      <c r="I6" s="107" t="s">
        <v>133</v>
      </c>
      <c r="J6" s="107" t="s">
        <v>134</v>
      </c>
      <c r="K6" s="107" t="s">
        <v>121</v>
      </c>
      <c r="L6" s="83" t="s">
        <v>5</v>
      </c>
      <c r="M6" s="87" t="s">
        <v>6</v>
      </c>
      <c r="N6" s="87" t="s">
        <v>6</v>
      </c>
      <c r="O6" s="87" t="s">
        <v>6</v>
      </c>
      <c r="P6" s="9"/>
      <c r="Q6" s="91"/>
      <c r="R6" s="97" t="s">
        <v>32</v>
      </c>
      <c r="S6" s="98" t="s">
        <v>33</v>
      </c>
    </row>
    <row r="7" spans="1:20" ht="33.75" customHeight="1" x14ac:dyDescent="0.25">
      <c r="B7" s="2" t="s">
        <v>8</v>
      </c>
      <c r="C7" s="92" t="s">
        <v>106</v>
      </c>
      <c r="D7" s="92" t="s">
        <v>306</v>
      </c>
      <c r="E7" s="2" t="s">
        <v>307</v>
      </c>
      <c r="F7" s="2" t="s">
        <v>7</v>
      </c>
      <c r="G7" s="186">
        <v>2.63E-2</v>
      </c>
      <c r="H7" s="186">
        <v>0.1845</v>
      </c>
      <c r="I7" s="187">
        <v>44742</v>
      </c>
      <c r="J7" s="187">
        <v>44743</v>
      </c>
      <c r="K7" s="187">
        <v>44378</v>
      </c>
      <c r="L7" s="188" t="s">
        <v>297</v>
      </c>
      <c r="M7" s="65">
        <v>12736.5</v>
      </c>
      <c r="N7" s="66"/>
      <c r="O7" s="66">
        <f>M7+N7</f>
        <v>12736.5</v>
      </c>
      <c r="P7" s="66"/>
      <c r="Q7" s="66">
        <f>6120.33+6120.33-6120.33+1534.01+955.36+3609.68</f>
        <v>12219.380000000001</v>
      </c>
      <c r="R7" s="66"/>
      <c r="S7" s="68">
        <f>Q7+R7</f>
        <v>12219.380000000001</v>
      </c>
    </row>
    <row r="8" spans="1:20" ht="30" customHeight="1" x14ac:dyDescent="0.25">
      <c r="B8" s="2" t="s">
        <v>128</v>
      </c>
      <c r="C8" s="236" t="s">
        <v>122</v>
      </c>
      <c r="D8" s="93" t="s">
        <v>308</v>
      </c>
      <c r="E8" s="2" t="s">
        <v>309</v>
      </c>
      <c r="F8" s="2" t="s">
        <v>7</v>
      </c>
      <c r="G8" s="186">
        <v>2.63E-2</v>
      </c>
      <c r="H8" s="186">
        <v>0.1845</v>
      </c>
      <c r="I8" s="187">
        <f t="shared" ref="I8:L8" si="0">I7</f>
        <v>44742</v>
      </c>
      <c r="J8" s="187">
        <f t="shared" si="0"/>
        <v>44743</v>
      </c>
      <c r="K8" s="187">
        <f t="shared" si="0"/>
        <v>44378</v>
      </c>
      <c r="L8" s="188" t="str">
        <f t="shared" si="0"/>
        <v>07/01/21 - 06/30/22</v>
      </c>
      <c r="M8" s="65">
        <v>38042.800000000003</v>
      </c>
      <c r="N8" s="66">
        <f>26115.6+54397.67+45182.45+20740.39</f>
        <v>146436.10999999999</v>
      </c>
      <c r="O8" s="66">
        <f>M8+N8</f>
        <v>184478.90999999997</v>
      </c>
      <c r="P8" s="66"/>
      <c r="Q8" s="66">
        <f>38042.8+26115.6+54397.67+45182.45+20740.39</f>
        <v>184478.91000000003</v>
      </c>
      <c r="R8" s="66"/>
      <c r="S8" s="68">
        <f>Q8+R8</f>
        <v>184478.91000000003</v>
      </c>
    </row>
    <row r="9" spans="1:20" ht="30" customHeight="1" x14ac:dyDescent="0.25">
      <c r="B9" s="334" t="s">
        <v>387</v>
      </c>
      <c r="C9" s="327" t="s">
        <v>373</v>
      </c>
      <c r="D9" s="328" t="s">
        <v>372</v>
      </c>
      <c r="E9" s="29" t="s">
        <v>374</v>
      </c>
      <c r="F9" s="2" t="s">
        <v>7</v>
      </c>
      <c r="G9" s="186">
        <v>2.63E-2</v>
      </c>
      <c r="H9" s="186">
        <v>0.1845</v>
      </c>
      <c r="I9" s="187">
        <v>45199</v>
      </c>
      <c r="J9" s="187">
        <v>45214</v>
      </c>
      <c r="K9" s="187">
        <v>44378</v>
      </c>
      <c r="L9" s="188" t="s">
        <v>325</v>
      </c>
      <c r="M9" s="70">
        <v>43836.43</v>
      </c>
      <c r="N9" s="70"/>
      <c r="O9" s="67">
        <f t="shared" ref="O9" si="1">M9+N9</f>
        <v>43836.43</v>
      </c>
      <c r="P9" s="66"/>
      <c r="Q9" s="66">
        <v>43836.43</v>
      </c>
      <c r="R9" s="66"/>
      <c r="S9" s="68">
        <f>Q9+R9</f>
        <v>43836.43</v>
      </c>
    </row>
    <row r="10" spans="1:20" ht="30" customHeight="1" x14ac:dyDescent="0.25">
      <c r="B10" s="2" t="s">
        <v>223</v>
      </c>
      <c r="C10" s="236" t="s">
        <v>333</v>
      </c>
      <c r="D10" s="93" t="s">
        <v>224</v>
      </c>
      <c r="E10" s="2" t="s">
        <v>225</v>
      </c>
      <c r="F10" s="2" t="s">
        <v>7</v>
      </c>
      <c r="G10" s="186">
        <v>2.63E-2</v>
      </c>
      <c r="H10" s="186">
        <v>0.1845</v>
      </c>
      <c r="I10" s="187">
        <v>44834</v>
      </c>
      <c r="J10" s="187">
        <v>44849</v>
      </c>
      <c r="K10" s="187">
        <v>43614</v>
      </c>
      <c r="L10" s="188" t="s">
        <v>274</v>
      </c>
      <c r="M10" s="65">
        <v>15980.3</v>
      </c>
      <c r="N10" s="66"/>
      <c r="O10" s="66">
        <f>M10+N10</f>
        <v>15980.3</v>
      </c>
      <c r="P10" s="66"/>
      <c r="Q10" s="66">
        <v>15980.3</v>
      </c>
      <c r="R10" s="66"/>
      <c r="S10" s="68">
        <f>Q10+R10</f>
        <v>15980.3</v>
      </c>
    </row>
    <row r="11" spans="1:20" ht="30" customHeight="1" x14ac:dyDescent="0.25">
      <c r="B11" s="344" t="s">
        <v>237</v>
      </c>
      <c r="C11" s="236" t="s">
        <v>334</v>
      </c>
      <c r="D11" s="93" t="s">
        <v>231</v>
      </c>
      <c r="E11" s="2" t="s">
        <v>238</v>
      </c>
      <c r="F11" s="2" t="s">
        <v>7</v>
      </c>
      <c r="G11" s="186">
        <v>2.63E-2</v>
      </c>
      <c r="H11" s="186">
        <v>0.1845</v>
      </c>
      <c r="I11" s="187">
        <v>44834</v>
      </c>
      <c r="J11" s="187">
        <v>44849</v>
      </c>
      <c r="K11" s="187">
        <v>43613</v>
      </c>
      <c r="L11" s="188" t="s">
        <v>292</v>
      </c>
      <c r="M11" s="65">
        <v>10000</v>
      </c>
      <c r="N11" s="66"/>
      <c r="O11" s="66">
        <f>M11+N11</f>
        <v>10000</v>
      </c>
      <c r="P11" s="66"/>
      <c r="Q11" s="66">
        <v>10000</v>
      </c>
      <c r="R11" s="66"/>
      <c r="S11" s="68">
        <f>Q11+R11</f>
        <v>10000</v>
      </c>
    </row>
    <row r="12" spans="1:20" x14ac:dyDescent="0.25">
      <c r="B12" s="344"/>
      <c r="C12" s="92"/>
      <c r="D12" s="92"/>
      <c r="G12" s="186"/>
      <c r="H12" s="186"/>
      <c r="I12" s="116"/>
      <c r="J12" s="116"/>
      <c r="K12" s="116"/>
      <c r="L12" s="93"/>
      <c r="M12" s="29"/>
      <c r="N12" s="29"/>
      <c r="O12" s="29"/>
      <c r="P12" s="29"/>
      <c r="Q12" s="29"/>
      <c r="R12" s="29"/>
      <c r="S12" s="27"/>
    </row>
    <row r="13" spans="1:20" ht="24" customHeight="1" x14ac:dyDescent="0.25">
      <c r="B13" s="2" t="s">
        <v>241</v>
      </c>
      <c r="C13" s="236" t="s">
        <v>242</v>
      </c>
      <c r="D13" s="93" t="s">
        <v>164</v>
      </c>
      <c r="E13" s="2" t="s">
        <v>244</v>
      </c>
      <c r="F13" s="2" t="s">
        <v>7</v>
      </c>
      <c r="G13" s="186">
        <v>2.63E-2</v>
      </c>
      <c r="H13" s="186">
        <v>0.1845</v>
      </c>
      <c r="I13" s="187">
        <v>44393</v>
      </c>
      <c r="J13" s="187">
        <v>44408</v>
      </c>
      <c r="K13" s="187">
        <v>42644</v>
      </c>
      <c r="L13" s="188" t="s">
        <v>273</v>
      </c>
      <c r="M13" s="79">
        <v>64260</v>
      </c>
      <c r="N13" s="67"/>
      <c r="O13" s="67">
        <f>M13+N13</f>
        <v>64260</v>
      </c>
      <c r="P13" s="29"/>
      <c r="Q13" s="284">
        <v>0</v>
      </c>
      <c r="R13" s="29"/>
      <c r="S13" s="68">
        <f>Q13+R13</f>
        <v>0</v>
      </c>
    </row>
    <row r="14" spans="1:20" ht="24" customHeight="1" x14ac:dyDescent="0.25">
      <c r="B14" s="2" t="s">
        <v>279</v>
      </c>
      <c r="C14" s="236" t="s">
        <v>333</v>
      </c>
      <c r="D14" s="93" t="s">
        <v>224</v>
      </c>
      <c r="E14" s="2" t="s">
        <v>280</v>
      </c>
      <c r="F14" s="2" t="s">
        <v>7</v>
      </c>
      <c r="G14" s="186">
        <v>2.63E-2</v>
      </c>
      <c r="H14" s="186">
        <v>0.1845</v>
      </c>
      <c r="I14" s="187">
        <v>44592</v>
      </c>
      <c r="J14" s="187">
        <v>44592</v>
      </c>
      <c r="K14" s="187">
        <v>43980</v>
      </c>
      <c r="L14" s="188" t="s">
        <v>332</v>
      </c>
      <c r="M14" s="79">
        <v>3000</v>
      </c>
      <c r="N14" s="67"/>
      <c r="O14" s="67">
        <f t="shared" ref="O14:O22" si="2">M14+N14</f>
        <v>3000</v>
      </c>
      <c r="P14" s="66"/>
      <c r="Q14" s="67">
        <v>3000</v>
      </c>
      <c r="R14" s="67"/>
      <c r="S14" s="68">
        <f t="shared" ref="S14:S22" si="3">Q14+R14</f>
        <v>3000</v>
      </c>
    </row>
    <row r="15" spans="1:20" ht="24" customHeight="1" x14ac:dyDescent="0.25">
      <c r="B15" s="2" t="s">
        <v>281</v>
      </c>
      <c r="C15" s="236" t="s">
        <v>334</v>
      </c>
      <c r="D15" s="93" t="s">
        <v>231</v>
      </c>
      <c r="E15" s="2" t="s">
        <v>282</v>
      </c>
      <c r="F15" s="2" t="s">
        <v>7</v>
      </c>
      <c r="G15" s="186">
        <v>2.63E-2</v>
      </c>
      <c r="H15" s="186">
        <v>0.1845</v>
      </c>
      <c r="I15" s="187">
        <v>44742</v>
      </c>
      <c r="J15" s="187">
        <v>44757</v>
      </c>
      <c r="K15" s="187">
        <v>43979</v>
      </c>
      <c r="L15" s="188" t="s">
        <v>283</v>
      </c>
      <c r="M15" s="79">
        <v>1027</v>
      </c>
      <c r="N15" s="67"/>
      <c r="O15" s="67">
        <f t="shared" si="2"/>
        <v>1027</v>
      </c>
      <c r="P15" s="66"/>
      <c r="Q15" s="67">
        <v>1025.79</v>
      </c>
      <c r="R15" s="67"/>
      <c r="S15" s="68">
        <f t="shared" si="3"/>
        <v>1025.79</v>
      </c>
    </row>
    <row r="16" spans="1:20" ht="24" customHeight="1" x14ac:dyDescent="0.25">
      <c r="B16" s="2" t="s">
        <v>321</v>
      </c>
      <c r="C16" s="236" t="s">
        <v>333</v>
      </c>
      <c r="D16" s="93" t="s">
        <v>288</v>
      </c>
      <c r="E16" s="2" t="s">
        <v>322</v>
      </c>
      <c r="F16" s="2" t="s">
        <v>7</v>
      </c>
      <c r="G16" s="186">
        <f>G15:H15</f>
        <v>2.63E-2</v>
      </c>
      <c r="H16" s="186">
        <f>H15</f>
        <v>0.1845</v>
      </c>
      <c r="I16" s="187">
        <v>45199</v>
      </c>
      <c r="J16" s="187">
        <v>45214</v>
      </c>
      <c r="K16" s="187">
        <v>44201</v>
      </c>
      <c r="L16" s="188" t="s">
        <v>323</v>
      </c>
      <c r="M16" s="79">
        <v>11641.24</v>
      </c>
      <c r="N16" s="67"/>
      <c r="O16" s="67">
        <f t="shared" si="2"/>
        <v>11641.24</v>
      </c>
      <c r="P16" s="66"/>
      <c r="Q16" s="67"/>
      <c r="R16" s="67"/>
      <c r="S16" s="68">
        <f t="shared" si="3"/>
        <v>0</v>
      </c>
    </row>
    <row r="17" spans="2:19" ht="24" customHeight="1" x14ac:dyDescent="0.25">
      <c r="B17" s="2" t="s">
        <v>324</v>
      </c>
      <c r="C17" s="236" t="s">
        <v>333</v>
      </c>
      <c r="D17" s="93" t="s">
        <v>288</v>
      </c>
      <c r="E17" s="2" t="s">
        <v>329</v>
      </c>
      <c r="F17" s="2" t="s">
        <v>7</v>
      </c>
      <c r="G17" s="186">
        <f>G16:H16</f>
        <v>2.63E-2</v>
      </c>
      <c r="H17" s="186">
        <f>H16</f>
        <v>0.1845</v>
      </c>
      <c r="I17" s="187">
        <v>45199</v>
      </c>
      <c r="J17" s="187">
        <v>45214</v>
      </c>
      <c r="K17" s="187">
        <v>44201</v>
      </c>
      <c r="L17" s="188" t="s">
        <v>325</v>
      </c>
      <c r="M17" s="79">
        <v>17466</v>
      </c>
      <c r="N17" s="67"/>
      <c r="O17" s="67">
        <f t="shared" si="2"/>
        <v>17466</v>
      </c>
      <c r="P17" s="66"/>
      <c r="Q17" s="67"/>
      <c r="R17" s="67"/>
      <c r="S17" s="68">
        <f t="shared" si="3"/>
        <v>0</v>
      </c>
    </row>
    <row r="18" spans="2:19" ht="24" customHeight="1" x14ac:dyDescent="0.25">
      <c r="B18" s="2" t="s">
        <v>326</v>
      </c>
      <c r="C18" s="236" t="s">
        <v>333</v>
      </c>
      <c r="D18" s="93" t="s">
        <v>288</v>
      </c>
      <c r="E18" s="2" t="s">
        <v>330</v>
      </c>
      <c r="F18" s="2" t="s">
        <v>7</v>
      </c>
      <c r="G18" s="186">
        <f>G17:H17</f>
        <v>2.63E-2</v>
      </c>
      <c r="H18" s="186">
        <f>H17</f>
        <v>0.1845</v>
      </c>
      <c r="I18" s="187">
        <v>45199</v>
      </c>
      <c r="J18" s="187">
        <v>45214</v>
      </c>
      <c r="K18" s="187">
        <v>44201</v>
      </c>
      <c r="L18" s="188" t="s">
        <v>323</v>
      </c>
      <c r="M18" s="79">
        <v>3055.83</v>
      </c>
      <c r="N18" s="67"/>
      <c r="O18" s="67">
        <f t="shared" si="2"/>
        <v>3055.83</v>
      </c>
      <c r="P18" s="66"/>
      <c r="Q18" s="67">
        <v>2515</v>
      </c>
      <c r="R18" s="67"/>
      <c r="S18" s="68">
        <f t="shared" si="3"/>
        <v>2515</v>
      </c>
    </row>
    <row r="19" spans="2:19" ht="24" customHeight="1" x14ac:dyDescent="0.25">
      <c r="B19" s="2" t="s">
        <v>370</v>
      </c>
      <c r="C19" s="236" t="s">
        <v>333</v>
      </c>
      <c r="D19" s="93" t="s">
        <v>288</v>
      </c>
      <c r="E19" s="2" t="s">
        <v>331</v>
      </c>
      <c r="F19" s="2" t="s">
        <v>7</v>
      </c>
      <c r="G19" s="186">
        <f>G18:H18</f>
        <v>2.63E-2</v>
      </c>
      <c r="H19" s="186">
        <f>H18</f>
        <v>0.1845</v>
      </c>
      <c r="I19" s="187">
        <v>45199</v>
      </c>
      <c r="J19" s="187">
        <v>45214</v>
      </c>
      <c r="K19" s="187">
        <v>44201</v>
      </c>
      <c r="L19" s="188" t="s">
        <v>325</v>
      </c>
      <c r="M19" s="79">
        <v>14464.24</v>
      </c>
      <c r="N19" s="67"/>
      <c r="O19" s="67">
        <f t="shared" si="2"/>
        <v>14464.24</v>
      </c>
      <c r="P19" s="66"/>
      <c r="Q19" s="67">
        <v>14464.24</v>
      </c>
      <c r="R19" s="67"/>
      <c r="S19" s="68">
        <f t="shared" si="3"/>
        <v>14464.24</v>
      </c>
    </row>
    <row r="20" spans="2:19" ht="24" customHeight="1" x14ac:dyDescent="0.25">
      <c r="B20" s="2" t="s">
        <v>287</v>
      </c>
      <c r="C20" s="236" t="s">
        <v>333</v>
      </c>
      <c r="D20" s="93" t="s">
        <v>288</v>
      </c>
      <c r="E20" s="2" t="s">
        <v>289</v>
      </c>
      <c r="F20" s="2" t="s">
        <v>7</v>
      </c>
      <c r="G20" s="186">
        <v>2.63E-2</v>
      </c>
      <c r="H20" s="186">
        <v>0.1845</v>
      </c>
      <c r="I20" s="187">
        <v>45199</v>
      </c>
      <c r="J20" s="187">
        <v>45199</v>
      </c>
      <c r="K20" s="187">
        <v>44201</v>
      </c>
      <c r="L20" s="188" t="s">
        <v>320</v>
      </c>
      <c r="M20" s="79">
        <v>26774.85</v>
      </c>
      <c r="N20" s="67"/>
      <c r="O20" s="67">
        <f t="shared" si="2"/>
        <v>26774.85</v>
      </c>
      <c r="P20" s="66"/>
      <c r="Q20" s="67">
        <v>26774.85</v>
      </c>
      <c r="R20" s="67"/>
      <c r="S20" s="68">
        <f t="shared" si="3"/>
        <v>26774.85</v>
      </c>
    </row>
    <row r="21" spans="2:19" ht="24" customHeight="1" x14ac:dyDescent="0.25">
      <c r="B21" s="2" t="s">
        <v>352</v>
      </c>
      <c r="C21" s="236" t="s">
        <v>353</v>
      </c>
      <c r="D21" s="93" t="s">
        <v>354</v>
      </c>
      <c r="E21" s="2" t="s">
        <v>355</v>
      </c>
      <c r="F21" s="2" t="s">
        <v>7</v>
      </c>
      <c r="G21" s="186">
        <v>2.63E-2</v>
      </c>
      <c r="H21" s="186">
        <v>0.1845</v>
      </c>
      <c r="I21" s="187">
        <v>45565</v>
      </c>
      <c r="J21" s="187">
        <v>45580</v>
      </c>
      <c r="K21" s="187">
        <v>44279</v>
      </c>
      <c r="L21" s="188" t="s">
        <v>356</v>
      </c>
      <c r="M21" s="79">
        <v>104686.05</v>
      </c>
      <c r="N21" s="67"/>
      <c r="O21" s="67">
        <f t="shared" si="2"/>
        <v>104686.05</v>
      </c>
      <c r="P21" s="66"/>
      <c r="Q21" s="67"/>
      <c r="R21" s="67"/>
      <c r="S21" s="68">
        <f t="shared" si="3"/>
        <v>0</v>
      </c>
    </row>
    <row r="22" spans="2:19" ht="24" customHeight="1" x14ac:dyDescent="0.25">
      <c r="B22" s="2" t="s">
        <v>357</v>
      </c>
      <c r="C22" s="236" t="s">
        <v>353</v>
      </c>
      <c r="D22" s="93" t="s">
        <v>354</v>
      </c>
      <c r="E22" s="2" t="s">
        <v>358</v>
      </c>
      <c r="F22" s="2" t="s">
        <v>7</v>
      </c>
      <c r="G22" s="186">
        <v>2.63E-2</v>
      </c>
      <c r="H22" s="186">
        <v>0.1845</v>
      </c>
      <c r="I22" s="187">
        <v>45565</v>
      </c>
      <c r="J22" s="187">
        <v>45580</v>
      </c>
      <c r="K22" s="187">
        <v>44279</v>
      </c>
      <c r="L22" s="188" t="s">
        <v>356</v>
      </c>
      <c r="M22" s="79">
        <v>26171.51</v>
      </c>
      <c r="N22" s="67"/>
      <c r="O22" s="67">
        <f t="shared" si="2"/>
        <v>26171.51</v>
      </c>
      <c r="P22" s="66"/>
      <c r="Q22" s="67"/>
      <c r="R22" s="67"/>
      <c r="S22" s="68">
        <f t="shared" si="3"/>
        <v>0</v>
      </c>
    </row>
    <row r="23" spans="2:19" ht="15.75" customHeight="1" x14ac:dyDescent="0.25">
      <c r="C23" s="236"/>
      <c r="D23" s="93"/>
      <c r="G23" s="186"/>
      <c r="H23" s="186"/>
      <c r="I23" s="187"/>
      <c r="J23" s="187"/>
      <c r="K23" s="187"/>
      <c r="L23" s="188"/>
      <c r="M23" s="74"/>
      <c r="N23" s="25"/>
      <c r="O23" s="25"/>
      <c r="P23" s="29"/>
      <c r="Q23" s="10"/>
      <c r="R23" s="10"/>
      <c r="S23" s="28"/>
    </row>
    <row r="24" spans="2:19" ht="22.5" customHeight="1" x14ac:dyDescent="0.25">
      <c r="C24" s="92"/>
      <c r="D24" s="92"/>
      <c r="I24" s="116"/>
      <c r="J24" s="116"/>
      <c r="K24" s="116"/>
      <c r="L24" s="5" t="s">
        <v>38</v>
      </c>
      <c r="M24" s="66">
        <f>SUM(M7:M23)</f>
        <v>393142.75</v>
      </c>
      <c r="N24" s="66">
        <f>SUM(N7:N23)</f>
        <v>146436.10999999999</v>
      </c>
      <c r="O24" s="66">
        <f>SUM(O7:O23)</f>
        <v>539578.85999999987</v>
      </c>
      <c r="Q24" s="66">
        <f>SUM(Q7:Q23)</f>
        <v>314294.89999999997</v>
      </c>
      <c r="R24" s="66">
        <f>SUM(R7:R23)</f>
        <v>0</v>
      </c>
      <c r="S24" s="23">
        <f>SUM(S7:S23)</f>
        <v>314294.89999999997</v>
      </c>
    </row>
    <row r="25" spans="2:19" x14ac:dyDescent="0.25">
      <c r="C25" s="92"/>
      <c r="D25" s="92"/>
      <c r="I25" s="116"/>
      <c r="J25" s="116"/>
      <c r="K25" s="116"/>
      <c r="L25" s="5"/>
      <c r="M25" s="66"/>
      <c r="N25" s="66"/>
      <c r="O25" s="66"/>
      <c r="Q25" s="66"/>
      <c r="R25" s="66"/>
      <c r="S25" s="68"/>
    </row>
    <row r="26" spans="2:19" x14ac:dyDescent="0.25">
      <c r="C26" s="92"/>
      <c r="D26" s="92"/>
      <c r="S26" s="27"/>
    </row>
    <row r="27" spans="2:19" x14ac:dyDescent="0.25">
      <c r="B27" s="8" t="s">
        <v>125</v>
      </c>
      <c r="C27" s="92"/>
      <c r="D27" s="92"/>
      <c r="S27" s="27"/>
    </row>
    <row r="28" spans="2:19" ht="33" customHeight="1" x14ac:dyDescent="0.25">
      <c r="B28" s="341" t="s">
        <v>126</v>
      </c>
      <c r="C28" s="341"/>
      <c r="D28" s="341"/>
      <c r="E28" s="341"/>
      <c r="F28" s="341"/>
      <c r="G28" s="117"/>
      <c r="H28" s="117"/>
      <c r="I28" s="111"/>
      <c r="L28" s="5"/>
      <c r="M28" s="66"/>
      <c r="N28" s="66"/>
      <c r="O28" s="66"/>
      <c r="Q28" s="66"/>
      <c r="R28" s="66"/>
      <c r="S28" s="68"/>
    </row>
    <row r="29" spans="2:19" x14ac:dyDescent="0.25">
      <c r="C29" s="92"/>
      <c r="D29" s="92"/>
      <c r="L29" s="5"/>
      <c r="M29" s="66"/>
      <c r="N29" s="66"/>
      <c r="O29" s="66"/>
      <c r="P29" s="29"/>
      <c r="Q29" s="66"/>
      <c r="R29" s="66"/>
      <c r="S29" s="68"/>
    </row>
    <row r="30" spans="2:19" ht="43.5" customHeight="1" x14ac:dyDescent="0.25">
      <c r="B30" s="341" t="s">
        <v>129</v>
      </c>
      <c r="C30" s="341"/>
      <c r="D30" s="341"/>
      <c r="E30" s="341"/>
      <c r="F30" s="341"/>
      <c r="G30" s="117"/>
      <c r="H30" s="117"/>
      <c r="I30" s="111"/>
      <c r="L30" s="5"/>
      <c r="M30" s="66"/>
      <c r="N30" s="66"/>
      <c r="O30" s="66"/>
      <c r="P30" s="29"/>
      <c r="Q30" s="66"/>
      <c r="R30" s="66"/>
      <c r="S30" s="68"/>
    </row>
    <row r="31" spans="2:19" x14ac:dyDescent="0.25">
      <c r="B31" s="108"/>
      <c r="C31" s="108"/>
      <c r="D31" s="108"/>
      <c r="E31" s="108"/>
      <c r="F31" s="108"/>
      <c r="G31" s="117"/>
      <c r="H31" s="117"/>
      <c r="I31" s="111"/>
      <c r="L31" s="5"/>
      <c r="M31" s="66"/>
      <c r="N31" s="66"/>
      <c r="O31" s="66"/>
      <c r="P31" s="29"/>
      <c r="Q31" s="66"/>
      <c r="R31" s="66"/>
      <c r="S31" s="68"/>
    </row>
    <row r="32" spans="2:19" ht="32.25" customHeight="1" x14ac:dyDescent="0.25">
      <c r="B32" s="341" t="s">
        <v>160</v>
      </c>
      <c r="C32" s="341"/>
      <c r="D32" s="341"/>
      <c r="E32" s="341"/>
      <c r="F32" s="341"/>
      <c r="G32" s="193"/>
      <c r="H32" s="193"/>
      <c r="I32" s="193"/>
      <c r="L32" s="5"/>
      <c r="M32" s="66"/>
      <c r="N32" s="66"/>
      <c r="O32" s="66"/>
      <c r="P32" s="29"/>
      <c r="Q32" s="66"/>
      <c r="R32" s="66"/>
      <c r="S32" s="68"/>
    </row>
    <row r="33" spans="2:19" ht="15" customHeight="1" x14ac:dyDescent="0.25">
      <c r="B33" s="347" t="s">
        <v>159</v>
      </c>
      <c r="C33" s="347"/>
      <c r="D33" s="347"/>
      <c r="E33" s="347"/>
      <c r="F33" s="347"/>
      <c r="G33" s="193"/>
      <c r="H33" s="193"/>
      <c r="I33" s="193"/>
      <c r="L33" s="5"/>
      <c r="M33" s="66"/>
      <c r="N33" s="66"/>
      <c r="O33" s="66"/>
      <c r="P33" s="29"/>
      <c r="Q33" s="66"/>
      <c r="R33" s="66"/>
      <c r="S33" s="68"/>
    </row>
    <row r="34" spans="2:19" ht="15" customHeight="1" x14ac:dyDescent="0.25">
      <c r="B34" s="235"/>
      <c r="C34" s="235"/>
      <c r="D34" s="235"/>
      <c r="E34" s="235"/>
      <c r="F34" s="235"/>
      <c r="G34" s="234"/>
      <c r="H34" s="234"/>
      <c r="I34" s="234"/>
      <c r="L34" s="5"/>
      <c r="M34" s="66"/>
      <c r="N34" s="66"/>
      <c r="O34" s="66"/>
      <c r="P34" s="29"/>
      <c r="Q34" s="66"/>
      <c r="R34" s="66"/>
      <c r="S34" s="68"/>
    </row>
    <row r="35" spans="2:19" x14ac:dyDescent="0.25">
      <c r="B35" s="7" t="s">
        <v>109</v>
      </c>
      <c r="C35" s="101" t="s">
        <v>112</v>
      </c>
      <c r="D35" s="101" t="s">
        <v>113</v>
      </c>
      <c r="E35" s="108"/>
      <c r="F35" s="108"/>
      <c r="G35" s="117"/>
      <c r="H35" s="117"/>
      <c r="I35" s="111"/>
      <c r="L35" s="5"/>
      <c r="M35" s="66"/>
      <c r="N35" s="66"/>
      <c r="O35" s="66"/>
      <c r="P35" s="29"/>
      <c r="Q35" s="66"/>
      <c r="R35" s="66"/>
      <c r="S35" s="68"/>
    </row>
    <row r="36" spans="2:19" hidden="1" x14ac:dyDescent="0.25">
      <c r="B36" s="2" t="s">
        <v>110</v>
      </c>
      <c r="C36" s="92" t="s">
        <v>116</v>
      </c>
      <c r="D36" s="92" t="s">
        <v>118</v>
      </c>
      <c r="E36" s="108"/>
      <c r="F36" s="108"/>
      <c r="G36" s="117"/>
      <c r="H36" s="117"/>
      <c r="I36" s="111"/>
      <c r="L36" s="5"/>
      <c r="M36" s="66"/>
      <c r="N36" s="66"/>
      <c r="O36" s="66"/>
      <c r="P36" s="29"/>
      <c r="Q36" s="66"/>
      <c r="R36" s="66"/>
      <c r="S36" s="68"/>
    </row>
    <row r="37" spans="2:19" x14ac:dyDescent="0.25">
      <c r="B37" s="2" t="s">
        <v>110</v>
      </c>
      <c r="C37" s="92" t="s">
        <v>327</v>
      </c>
      <c r="D37" s="92" t="s">
        <v>118</v>
      </c>
      <c r="E37" s="237"/>
      <c r="F37" s="237"/>
      <c r="G37" s="237"/>
      <c r="H37" s="237"/>
      <c r="I37" s="237"/>
      <c r="L37" s="5"/>
      <c r="M37" s="66"/>
      <c r="N37" s="66"/>
      <c r="O37" s="66"/>
      <c r="P37" s="29"/>
      <c r="Q37" s="66"/>
      <c r="R37" s="66"/>
      <c r="S37" s="68"/>
    </row>
    <row r="38" spans="2:19" x14ac:dyDescent="0.25">
      <c r="B38" s="2" t="s">
        <v>111</v>
      </c>
      <c r="C38" s="92" t="s">
        <v>300</v>
      </c>
      <c r="D38" s="92" t="s">
        <v>303</v>
      </c>
      <c r="L38" s="5"/>
      <c r="M38" s="66"/>
      <c r="N38" s="66"/>
      <c r="O38" s="66"/>
      <c r="P38" s="29"/>
      <c r="Q38" s="66"/>
      <c r="R38" s="66"/>
      <c r="S38" s="68"/>
    </row>
    <row r="39" spans="2:19" x14ac:dyDescent="0.25">
      <c r="B39" s="2" t="s">
        <v>230</v>
      </c>
      <c r="C39" s="92" t="s">
        <v>135</v>
      </c>
      <c r="D39" s="92" t="s">
        <v>147</v>
      </c>
      <c r="L39" s="5"/>
      <c r="M39" s="66"/>
      <c r="N39" s="66"/>
      <c r="O39" s="66"/>
      <c r="P39" s="29"/>
      <c r="Q39" s="66"/>
      <c r="R39" s="66"/>
      <c r="S39" s="68"/>
    </row>
    <row r="40" spans="2:19" x14ac:dyDescent="0.25">
      <c r="B40" s="2" t="s">
        <v>235</v>
      </c>
      <c r="C40" s="92" t="s">
        <v>179</v>
      </c>
      <c r="D40" s="92" t="s">
        <v>236</v>
      </c>
      <c r="L40" s="5"/>
      <c r="M40" s="66"/>
      <c r="N40" s="66"/>
      <c r="O40" s="66"/>
      <c r="P40" s="29"/>
      <c r="Q40" s="66"/>
      <c r="R40" s="66"/>
      <c r="S40" s="68"/>
    </row>
    <row r="41" spans="2:19" x14ac:dyDescent="0.25">
      <c r="B41" s="2" t="s">
        <v>240</v>
      </c>
      <c r="C41" s="92" t="s">
        <v>135</v>
      </c>
      <c r="D41" s="92" t="s">
        <v>147</v>
      </c>
      <c r="L41" s="5"/>
      <c r="M41" s="66"/>
      <c r="N41" s="66"/>
      <c r="O41" s="66"/>
      <c r="P41" s="29"/>
      <c r="Q41" s="66"/>
      <c r="R41" s="66"/>
      <c r="S41" s="68"/>
    </row>
    <row r="42" spans="2:19" x14ac:dyDescent="0.25">
      <c r="B42" s="2" t="s">
        <v>279</v>
      </c>
      <c r="C42" s="92" t="s">
        <v>135</v>
      </c>
      <c r="D42" s="92" t="s">
        <v>147</v>
      </c>
      <c r="L42" s="5"/>
      <c r="M42" s="66"/>
      <c r="N42" s="66"/>
      <c r="O42" s="66"/>
      <c r="P42" s="29"/>
      <c r="Q42" s="66"/>
      <c r="R42" s="66"/>
      <c r="S42" s="68"/>
    </row>
    <row r="43" spans="2:19" x14ac:dyDescent="0.25">
      <c r="B43" s="2" t="s">
        <v>281</v>
      </c>
      <c r="C43" s="92" t="s">
        <v>135</v>
      </c>
      <c r="D43" s="92" t="s">
        <v>147</v>
      </c>
      <c r="L43" s="5"/>
      <c r="M43" s="66"/>
      <c r="N43" s="66"/>
      <c r="O43" s="66"/>
      <c r="P43" s="29"/>
      <c r="Q43" s="66"/>
      <c r="R43" s="66"/>
      <c r="S43" s="68"/>
    </row>
    <row r="44" spans="2:19" x14ac:dyDescent="0.25">
      <c r="B44" s="2" t="s">
        <v>286</v>
      </c>
      <c r="C44" s="92" t="s">
        <v>135</v>
      </c>
      <c r="D44" s="92" t="s">
        <v>147</v>
      </c>
      <c r="L44" s="5"/>
      <c r="M44" s="66"/>
      <c r="N44" s="66"/>
      <c r="O44" s="66"/>
      <c r="P44" s="29"/>
      <c r="Q44" s="66"/>
      <c r="R44" s="66"/>
      <c r="S44" s="68"/>
    </row>
    <row r="45" spans="2:19" x14ac:dyDescent="0.25">
      <c r="C45" s="92"/>
      <c r="D45" s="92"/>
      <c r="L45" s="5"/>
      <c r="M45" s="66"/>
      <c r="N45" s="66"/>
      <c r="O45" s="66"/>
      <c r="P45" s="29"/>
      <c r="Q45" s="66"/>
      <c r="R45" s="66"/>
      <c r="S45" s="68"/>
    </row>
    <row r="46" spans="2:19" x14ac:dyDescent="0.25">
      <c r="B46" s="258" t="s">
        <v>298</v>
      </c>
      <c r="C46" s="92"/>
      <c r="D46" s="92"/>
      <c r="L46" s="5"/>
      <c r="M46" s="66"/>
      <c r="N46" s="66"/>
      <c r="O46" s="66"/>
      <c r="P46" s="29"/>
      <c r="Q46" s="66"/>
      <c r="R46" s="66"/>
      <c r="S46" s="68"/>
    </row>
    <row r="47" spans="2:19" x14ac:dyDescent="0.25">
      <c r="B47" s="255" t="s">
        <v>299</v>
      </c>
      <c r="C47" s="92"/>
      <c r="D47" s="92"/>
      <c r="L47" s="5"/>
      <c r="M47" s="66"/>
      <c r="N47" s="66"/>
      <c r="O47" s="66"/>
      <c r="P47" s="29"/>
      <c r="Q47" s="66"/>
      <c r="R47" s="66"/>
      <c r="S47" s="68"/>
    </row>
    <row r="48" spans="2:19" ht="15" customHeight="1" x14ac:dyDescent="0.25">
      <c r="B48" s="10"/>
      <c r="C48" s="94"/>
      <c r="D48" s="94"/>
      <c r="E48" s="10"/>
      <c r="F48" s="10"/>
      <c r="G48" s="10"/>
      <c r="H48" s="10"/>
      <c r="I48" s="10"/>
      <c r="J48" s="10"/>
      <c r="K48" s="10"/>
      <c r="L48" s="10"/>
      <c r="M48" s="10"/>
      <c r="N48" s="10"/>
      <c r="O48" s="10"/>
      <c r="P48" s="10"/>
      <c r="Q48" s="10"/>
      <c r="R48" s="10"/>
      <c r="S48" s="28"/>
    </row>
    <row r="49" spans="2:20" ht="15" customHeight="1" x14ac:dyDescent="0.25">
      <c r="N49" s="48"/>
      <c r="O49" s="48"/>
      <c r="P49" s="48"/>
      <c r="Q49" s="59" t="s">
        <v>90</v>
      </c>
      <c r="R49" s="49"/>
      <c r="S49" s="165"/>
      <c r="T49" s="51"/>
    </row>
    <row r="50" spans="2:20" ht="15" customHeight="1" x14ac:dyDescent="0.25">
      <c r="B50" s="17" t="s">
        <v>39</v>
      </c>
      <c r="C50" s="96" t="s">
        <v>2</v>
      </c>
      <c r="D50" s="96"/>
      <c r="E50" s="96" t="s">
        <v>34</v>
      </c>
      <c r="F50" s="96" t="s">
        <v>35</v>
      </c>
      <c r="G50" s="120"/>
      <c r="H50" s="120"/>
      <c r="I50" s="114"/>
      <c r="J50" s="96"/>
      <c r="K50" s="96"/>
      <c r="L50" s="96" t="s">
        <v>36</v>
      </c>
      <c r="M50" s="96" t="s">
        <v>37</v>
      </c>
      <c r="N50" s="10"/>
      <c r="O50" s="10"/>
      <c r="P50" s="10"/>
      <c r="Q50" s="54" t="s">
        <v>88</v>
      </c>
      <c r="R50" s="52"/>
      <c r="S50" s="53"/>
      <c r="T50" s="51"/>
    </row>
    <row r="51" spans="2:20" x14ac:dyDescent="0.25">
      <c r="B51" s="63"/>
      <c r="C51" s="9"/>
      <c r="D51" s="9"/>
      <c r="E51" s="9"/>
      <c r="F51" s="9"/>
      <c r="G51" s="9"/>
      <c r="H51" s="9"/>
      <c r="I51" s="9"/>
      <c r="J51" s="9"/>
      <c r="K51" s="9"/>
      <c r="L51" s="9"/>
      <c r="M51" s="9"/>
      <c r="Q51" s="59"/>
      <c r="R51" s="50"/>
      <c r="S51" s="50"/>
      <c r="T51" s="51"/>
    </row>
    <row r="52" spans="2:20" x14ac:dyDescent="0.25">
      <c r="B52" s="63"/>
      <c r="C52" s="148"/>
      <c r="D52" s="148"/>
      <c r="E52" s="148"/>
      <c r="F52" s="148"/>
      <c r="G52" s="148"/>
      <c r="H52" s="148"/>
      <c r="I52" s="148"/>
      <c r="J52" s="148"/>
      <c r="K52" s="148"/>
      <c r="L52" s="148"/>
      <c r="M52" s="148"/>
      <c r="Q52" s="59"/>
      <c r="R52" s="50"/>
      <c r="S52" s="50"/>
      <c r="T52" s="51"/>
    </row>
    <row r="53" spans="2:20" x14ac:dyDescent="0.25">
      <c r="B53" s="63"/>
      <c r="C53" s="148"/>
      <c r="D53" s="148"/>
      <c r="E53" s="148"/>
      <c r="F53" s="148"/>
      <c r="G53" s="148"/>
      <c r="H53" s="148"/>
      <c r="I53" s="148"/>
      <c r="J53" s="148"/>
      <c r="K53" s="148"/>
      <c r="L53" s="148"/>
      <c r="M53" s="148"/>
      <c r="Q53" s="59"/>
      <c r="R53" s="50"/>
      <c r="S53" s="50"/>
      <c r="T53" s="51"/>
    </row>
    <row r="54" spans="2:20" x14ac:dyDescent="0.25">
      <c r="B54" s="63"/>
      <c r="C54" s="148"/>
      <c r="D54" s="148"/>
      <c r="E54" s="148"/>
      <c r="F54" s="148"/>
      <c r="G54" s="148"/>
      <c r="H54" s="148"/>
      <c r="I54" s="148"/>
      <c r="J54" s="148"/>
      <c r="K54" s="148"/>
      <c r="L54" s="148"/>
      <c r="M54" s="148"/>
      <c r="Q54" s="59"/>
      <c r="R54" s="50"/>
      <c r="S54" s="50"/>
      <c r="T54" s="51"/>
    </row>
    <row r="55" spans="2:20" x14ac:dyDescent="0.25">
      <c r="B55" s="12"/>
      <c r="C55" s="13"/>
      <c r="D55" s="13"/>
      <c r="E55" s="41"/>
      <c r="F55" s="15"/>
      <c r="G55" s="15"/>
      <c r="H55" s="15"/>
      <c r="I55" s="15"/>
      <c r="J55" s="15"/>
      <c r="K55" s="15"/>
      <c r="L55" s="16"/>
      <c r="M55" s="31"/>
      <c r="N55" s="18"/>
      <c r="O55" s="18"/>
      <c r="P55" s="18"/>
      <c r="Q55" s="309" t="s">
        <v>316</v>
      </c>
      <c r="R55" s="309"/>
      <c r="S55" s="311">
        <f>S24</f>
        <v>314294.89999999997</v>
      </c>
    </row>
  </sheetData>
  <mergeCells count="7">
    <mergeCell ref="B33:F33"/>
    <mergeCell ref="Q2:S2"/>
    <mergeCell ref="Q1:S1"/>
    <mergeCell ref="B28:F28"/>
    <mergeCell ref="B30:F30"/>
    <mergeCell ref="B32:F32"/>
    <mergeCell ref="B11:B12"/>
  </mergeCells>
  <hyperlinks>
    <hyperlink ref="B33" r:id="rId1"/>
  </hyperlinks>
  <printOptions horizontalCentered="1" gridLines="1"/>
  <pageMargins left="0" right="0" top="0.75" bottom="0.75" header="0.3" footer="0.3"/>
  <pageSetup scale="52" orientation="landscape" horizontalDpi="1200" verticalDpi="1200"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9"/>
  <sheetViews>
    <sheetView topLeftCell="B1" zoomScale="90" zoomScaleNormal="90" workbookViewId="0">
      <selection activeCell="B9" sqref="A9:XFD9"/>
    </sheetView>
  </sheetViews>
  <sheetFormatPr defaultColWidth="9.140625" defaultRowHeight="15" x14ac:dyDescent="0.25"/>
  <cols>
    <col min="1" max="1" width="8.140625" style="2" hidden="1" customWidth="1"/>
    <col min="2" max="2" width="57.85546875" style="2" customWidth="1"/>
    <col min="3" max="3" width="25" style="2" bestFit="1" customWidth="1"/>
    <col min="4" max="4" width="13.7109375" style="2" customWidth="1"/>
    <col min="5" max="5" width="18" style="2" customWidth="1"/>
    <col min="6" max="6" width="21.28515625" style="2" customWidth="1"/>
    <col min="7" max="7" width="10.140625" style="2" customWidth="1"/>
    <col min="8" max="8" width="14.140625" style="2" customWidth="1"/>
    <col min="9" max="9" width="13.28515625" style="2" customWidth="1"/>
    <col min="10" max="10" width="14.7109375" style="2" customWidth="1"/>
    <col min="11" max="11" width="10.42578125" style="2" customWidth="1"/>
    <col min="12" max="12" width="18.1406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6.7109375" style="2" customWidth="1"/>
    <col min="20" max="16384" width="9.140625" style="2"/>
  </cols>
  <sheetData>
    <row r="1" spans="1:20" ht="18" customHeight="1" x14ac:dyDescent="0.25">
      <c r="B1" s="1" t="s">
        <v>12</v>
      </c>
      <c r="Q1" s="338" t="s">
        <v>296</v>
      </c>
      <c r="R1" s="338"/>
      <c r="S1" s="338"/>
    </row>
    <row r="2" spans="1:20" ht="18" customHeight="1" x14ac:dyDescent="0.25">
      <c r="B2" s="88" t="s">
        <v>148</v>
      </c>
      <c r="C2" s="182">
        <v>44742</v>
      </c>
      <c r="M2" s="71"/>
      <c r="N2" s="71"/>
      <c r="P2" s="29"/>
      <c r="Q2" s="337" t="s">
        <v>375</v>
      </c>
      <c r="R2" s="337"/>
      <c r="S2" s="337"/>
    </row>
    <row r="3" spans="1:20" ht="18" customHeight="1" thickBot="1" x14ac:dyDescent="0.3">
      <c r="A3" s="2" t="s">
        <v>16</v>
      </c>
      <c r="B3" s="44" t="s">
        <v>66</v>
      </c>
      <c r="C3" s="8"/>
      <c r="D3" s="8"/>
      <c r="E3" s="8"/>
      <c r="P3" s="29"/>
      <c r="Q3" s="45"/>
      <c r="R3" s="30"/>
    </row>
    <row r="4" spans="1:20" ht="18.75" customHeight="1" x14ac:dyDescent="0.25">
      <c r="B4" s="8" t="s">
        <v>174</v>
      </c>
      <c r="M4" s="85" t="s">
        <v>28</v>
      </c>
      <c r="N4" s="85" t="s">
        <v>28</v>
      </c>
      <c r="O4" s="85" t="s">
        <v>28</v>
      </c>
      <c r="P4" s="9"/>
      <c r="Q4" s="89" t="s">
        <v>29</v>
      </c>
      <c r="R4" s="89" t="s">
        <v>31</v>
      </c>
      <c r="S4" s="89" t="s">
        <v>23</v>
      </c>
      <c r="T4" s="7"/>
    </row>
    <row r="5" spans="1:20" ht="15.75" thickBot="1" x14ac:dyDescent="0.3">
      <c r="G5" s="183" t="s">
        <v>295</v>
      </c>
      <c r="H5" s="183" t="s">
        <v>295</v>
      </c>
      <c r="M5" s="86" t="s">
        <v>27</v>
      </c>
      <c r="N5" s="86" t="s">
        <v>26</v>
      </c>
      <c r="O5" s="86" t="s">
        <v>25</v>
      </c>
      <c r="P5" s="9"/>
      <c r="Q5" s="90" t="s">
        <v>30</v>
      </c>
      <c r="R5" s="90" t="s">
        <v>30</v>
      </c>
      <c r="S5" s="90" t="s">
        <v>30</v>
      </c>
      <c r="T5" s="7"/>
    </row>
    <row r="6" spans="1:20" ht="85.5" customHeight="1" thickBot="1" x14ac:dyDescent="0.3">
      <c r="B6" s="84" t="s">
        <v>1</v>
      </c>
      <c r="C6" s="84" t="s">
        <v>389</v>
      </c>
      <c r="D6" s="84" t="s">
        <v>107</v>
      </c>
      <c r="E6" s="84" t="s">
        <v>3</v>
      </c>
      <c r="F6" s="84" t="s">
        <v>4</v>
      </c>
      <c r="G6" s="107" t="s">
        <v>136</v>
      </c>
      <c r="H6" s="107" t="s">
        <v>137</v>
      </c>
      <c r="I6" s="107" t="s">
        <v>133</v>
      </c>
      <c r="J6" s="107" t="s">
        <v>134</v>
      </c>
      <c r="K6" s="107" t="s">
        <v>121</v>
      </c>
      <c r="L6" s="83" t="s">
        <v>5</v>
      </c>
      <c r="M6" s="87" t="s">
        <v>6</v>
      </c>
      <c r="N6" s="87" t="s">
        <v>6</v>
      </c>
      <c r="O6" s="87" t="s">
        <v>6</v>
      </c>
      <c r="P6" s="9"/>
      <c r="Q6" s="91"/>
      <c r="R6" s="97" t="s">
        <v>32</v>
      </c>
      <c r="S6" s="98" t="s">
        <v>33</v>
      </c>
    </row>
    <row r="7" spans="1:20" ht="33" customHeight="1" x14ac:dyDescent="0.25">
      <c r="B7" s="2" t="s">
        <v>8</v>
      </c>
      <c r="C7" s="92" t="s">
        <v>106</v>
      </c>
      <c r="D7" s="92" t="s">
        <v>306</v>
      </c>
      <c r="E7" s="2" t="s">
        <v>307</v>
      </c>
      <c r="F7" s="2" t="s">
        <v>7</v>
      </c>
      <c r="G7" s="186">
        <v>2.63E-2</v>
      </c>
      <c r="H7" s="186">
        <v>0.1845</v>
      </c>
      <c r="I7" s="187">
        <v>44742</v>
      </c>
      <c r="J7" s="187">
        <v>44743</v>
      </c>
      <c r="K7" s="187">
        <v>44378</v>
      </c>
      <c r="L7" s="188" t="s">
        <v>297</v>
      </c>
      <c r="M7" s="65">
        <v>10641.5</v>
      </c>
      <c r="N7" s="67"/>
      <c r="O7" s="67">
        <f t="shared" ref="O7:O18" si="0">M7+N7</f>
        <v>10641.5</v>
      </c>
      <c r="P7" s="67"/>
      <c r="Q7" s="67">
        <v>6496</v>
      </c>
      <c r="R7" s="67"/>
      <c r="S7" s="68">
        <f t="shared" ref="S7:S10" si="1">Q7+R7</f>
        <v>6496</v>
      </c>
    </row>
    <row r="8" spans="1:20" ht="35.25" customHeight="1" x14ac:dyDescent="0.25">
      <c r="B8" s="2" t="s">
        <v>128</v>
      </c>
      <c r="C8" s="226" t="s">
        <v>122</v>
      </c>
      <c r="D8" s="93" t="s">
        <v>308</v>
      </c>
      <c r="E8" s="2" t="s">
        <v>309</v>
      </c>
      <c r="F8" s="2" t="s">
        <v>7</v>
      </c>
      <c r="G8" s="186">
        <v>2.63E-2</v>
      </c>
      <c r="H8" s="186">
        <v>0.1845</v>
      </c>
      <c r="I8" s="187">
        <f>+I7</f>
        <v>44742</v>
      </c>
      <c r="J8" s="187">
        <f t="shared" ref="J8:L8" si="2">+J7</f>
        <v>44743</v>
      </c>
      <c r="K8" s="187">
        <f t="shared" si="2"/>
        <v>44378</v>
      </c>
      <c r="L8" s="188" t="str">
        <f t="shared" si="2"/>
        <v>07/01/21 - 06/30/22</v>
      </c>
      <c r="M8" s="69">
        <v>5861.1</v>
      </c>
      <c r="N8" s="67">
        <f>6215.1+8704.83+5108.53+13757.96+6046.12+6519.92+19855.2+11243.97+21251.44</f>
        <v>98703.07</v>
      </c>
      <c r="O8" s="67">
        <f t="shared" si="0"/>
        <v>104564.17000000001</v>
      </c>
      <c r="P8" s="67"/>
      <c r="Q8" s="67">
        <f>5861.1+6215.1+8704.83+5108.53+13757.96+6046.12+6519.92+19855.2+11243.97+21251.44</f>
        <v>104564.17</v>
      </c>
      <c r="R8" s="67"/>
      <c r="S8" s="68">
        <f t="shared" si="1"/>
        <v>104564.17</v>
      </c>
    </row>
    <row r="9" spans="1:20" ht="28.5" customHeight="1" x14ac:dyDescent="0.25">
      <c r="B9" s="2" t="s">
        <v>223</v>
      </c>
      <c r="C9" s="236" t="s">
        <v>333</v>
      </c>
      <c r="D9" s="93" t="s">
        <v>224</v>
      </c>
      <c r="E9" s="2" t="s">
        <v>225</v>
      </c>
      <c r="F9" s="2" t="s">
        <v>7</v>
      </c>
      <c r="G9" s="186">
        <v>2.63E-2</v>
      </c>
      <c r="H9" s="186">
        <v>0.1845</v>
      </c>
      <c r="I9" s="187">
        <v>44834</v>
      </c>
      <c r="J9" s="187">
        <v>44849</v>
      </c>
      <c r="K9" s="187">
        <v>43614</v>
      </c>
      <c r="L9" s="188" t="s">
        <v>274</v>
      </c>
      <c r="M9" s="69">
        <v>6064.77</v>
      </c>
      <c r="N9" s="67"/>
      <c r="O9" s="67">
        <f t="shared" si="0"/>
        <v>6064.77</v>
      </c>
      <c r="P9" s="67"/>
      <c r="Q9" s="67"/>
      <c r="R9" s="67"/>
      <c r="S9" s="68">
        <f t="shared" si="1"/>
        <v>0</v>
      </c>
    </row>
    <row r="10" spans="1:20" ht="30.75" customHeight="1" x14ac:dyDescent="0.25">
      <c r="B10" s="2" t="s">
        <v>275</v>
      </c>
      <c r="C10" s="236" t="s">
        <v>333</v>
      </c>
      <c r="D10" s="93" t="s">
        <v>224</v>
      </c>
      <c r="E10" s="2" t="s">
        <v>276</v>
      </c>
      <c r="F10" s="2" t="s">
        <v>7</v>
      </c>
      <c r="G10" s="186">
        <v>2.63E-2</v>
      </c>
      <c r="H10" s="186">
        <v>0.1845</v>
      </c>
      <c r="I10" s="187">
        <v>44773</v>
      </c>
      <c r="J10" s="187">
        <v>44788</v>
      </c>
      <c r="K10" s="187">
        <v>43980</v>
      </c>
      <c r="L10" s="188" t="s">
        <v>277</v>
      </c>
      <c r="M10" s="79">
        <v>160.80000000000001</v>
      </c>
      <c r="N10" s="67"/>
      <c r="O10" s="67">
        <f t="shared" si="0"/>
        <v>160.80000000000001</v>
      </c>
      <c r="P10" s="67"/>
      <c r="Q10" s="67"/>
      <c r="R10" s="67"/>
      <c r="S10" s="68">
        <f t="shared" si="1"/>
        <v>0</v>
      </c>
    </row>
    <row r="11" spans="1:20" ht="30.75" customHeight="1" x14ac:dyDescent="0.25">
      <c r="B11" s="2" t="s">
        <v>279</v>
      </c>
      <c r="C11" s="236" t="s">
        <v>333</v>
      </c>
      <c r="D11" s="93" t="s">
        <v>224</v>
      </c>
      <c r="E11" s="2" t="s">
        <v>280</v>
      </c>
      <c r="F11" s="2" t="s">
        <v>7</v>
      </c>
      <c r="G11" s="186">
        <v>2.63E-2</v>
      </c>
      <c r="H11" s="186">
        <v>0.1845</v>
      </c>
      <c r="I11" s="187">
        <v>44592</v>
      </c>
      <c r="J11" s="187">
        <v>44592</v>
      </c>
      <c r="K11" s="187">
        <v>43980</v>
      </c>
      <c r="L11" s="188" t="s">
        <v>332</v>
      </c>
      <c r="M11" s="79">
        <v>3000</v>
      </c>
      <c r="N11" s="67"/>
      <c r="O11" s="67">
        <f t="shared" si="0"/>
        <v>3000</v>
      </c>
      <c r="P11" s="66"/>
      <c r="Q11" s="67"/>
      <c r="R11" s="67"/>
      <c r="S11" s="68">
        <f t="shared" ref="S11:S18" si="3">Q11+R11</f>
        <v>0</v>
      </c>
    </row>
    <row r="12" spans="1:20" ht="30.75" customHeight="1" x14ac:dyDescent="0.25">
      <c r="B12" s="2" t="s">
        <v>281</v>
      </c>
      <c r="C12" s="236" t="s">
        <v>334</v>
      </c>
      <c r="D12" s="93" t="s">
        <v>231</v>
      </c>
      <c r="E12" s="2" t="s">
        <v>282</v>
      </c>
      <c r="F12" s="2" t="s">
        <v>7</v>
      </c>
      <c r="G12" s="186">
        <v>2.63E-2</v>
      </c>
      <c r="H12" s="186">
        <v>0.1845</v>
      </c>
      <c r="I12" s="187">
        <v>44742</v>
      </c>
      <c r="J12" s="187">
        <v>44757</v>
      </c>
      <c r="K12" s="187">
        <v>43979</v>
      </c>
      <c r="L12" s="188" t="s">
        <v>283</v>
      </c>
      <c r="M12" s="79">
        <v>1027</v>
      </c>
      <c r="N12" s="67"/>
      <c r="O12" s="67">
        <f t="shared" si="0"/>
        <v>1027</v>
      </c>
      <c r="P12" s="66"/>
      <c r="Q12" s="67"/>
      <c r="R12" s="67"/>
      <c r="S12" s="68">
        <f t="shared" si="3"/>
        <v>0</v>
      </c>
    </row>
    <row r="13" spans="1:20" ht="30.75" customHeight="1" x14ac:dyDescent="0.25">
      <c r="B13" s="2" t="s">
        <v>321</v>
      </c>
      <c r="C13" s="236" t="s">
        <v>333</v>
      </c>
      <c r="D13" s="93" t="s">
        <v>288</v>
      </c>
      <c r="E13" s="2" t="s">
        <v>322</v>
      </c>
      <c r="F13" s="2" t="s">
        <v>7</v>
      </c>
      <c r="G13" s="186">
        <f>G12:H12</f>
        <v>2.63E-2</v>
      </c>
      <c r="H13" s="186">
        <f>H12</f>
        <v>0.1845</v>
      </c>
      <c r="I13" s="187">
        <v>45199</v>
      </c>
      <c r="J13" s="187">
        <v>45214</v>
      </c>
      <c r="K13" s="187">
        <v>44201</v>
      </c>
      <c r="L13" s="188" t="s">
        <v>323</v>
      </c>
      <c r="M13" s="79">
        <v>5469.3</v>
      </c>
      <c r="N13" s="67"/>
      <c r="O13" s="67">
        <f t="shared" si="0"/>
        <v>5469.3</v>
      </c>
      <c r="P13" s="66"/>
      <c r="Q13" s="67"/>
      <c r="R13" s="67"/>
      <c r="S13" s="68">
        <f t="shared" si="3"/>
        <v>0</v>
      </c>
    </row>
    <row r="14" spans="1:20" ht="30.75" customHeight="1" x14ac:dyDescent="0.25">
      <c r="B14" s="2" t="s">
        <v>326</v>
      </c>
      <c r="C14" s="236" t="s">
        <v>333</v>
      </c>
      <c r="D14" s="93" t="s">
        <v>288</v>
      </c>
      <c r="E14" s="2" t="s">
        <v>329</v>
      </c>
      <c r="F14" s="2" t="s">
        <v>7</v>
      </c>
      <c r="G14" s="186">
        <f>G13:H13</f>
        <v>2.63E-2</v>
      </c>
      <c r="H14" s="186">
        <f>H13</f>
        <v>0.1845</v>
      </c>
      <c r="I14" s="187">
        <v>45199</v>
      </c>
      <c r="J14" s="187">
        <v>45214</v>
      </c>
      <c r="K14" s="187">
        <v>44201</v>
      </c>
      <c r="L14" s="188" t="s">
        <v>323</v>
      </c>
      <c r="M14" s="79">
        <v>1435.69</v>
      </c>
      <c r="N14" s="67"/>
      <c r="O14" s="67">
        <f t="shared" si="0"/>
        <v>1435.69</v>
      </c>
      <c r="P14" s="66"/>
      <c r="Q14" s="67"/>
      <c r="R14" s="67"/>
      <c r="S14" s="68">
        <f t="shared" si="3"/>
        <v>0</v>
      </c>
    </row>
    <row r="15" spans="1:20" ht="30.75" customHeight="1" x14ac:dyDescent="0.25">
      <c r="B15" s="2" t="s">
        <v>370</v>
      </c>
      <c r="C15" s="236" t="s">
        <v>333</v>
      </c>
      <c r="D15" s="93" t="s">
        <v>288</v>
      </c>
      <c r="E15" s="2" t="s">
        <v>331</v>
      </c>
      <c r="F15" s="2" t="s">
        <v>7</v>
      </c>
      <c r="G15" s="186">
        <f>G14:H14</f>
        <v>2.63E-2</v>
      </c>
      <c r="H15" s="186">
        <f>H14</f>
        <v>0.1845</v>
      </c>
      <c r="I15" s="187">
        <v>45199</v>
      </c>
      <c r="J15" s="187">
        <v>45214</v>
      </c>
      <c r="K15" s="187">
        <v>44201</v>
      </c>
      <c r="L15" s="188" t="s">
        <v>325</v>
      </c>
      <c r="M15" s="79">
        <v>6795.81</v>
      </c>
      <c r="N15" s="67"/>
      <c r="O15" s="67">
        <f t="shared" ref="O15" si="4">M15+N15</f>
        <v>6795.81</v>
      </c>
      <c r="P15" s="66"/>
      <c r="Q15" s="67"/>
      <c r="R15" s="67"/>
      <c r="S15" s="68">
        <f t="shared" ref="S15" si="5">Q15+R15</f>
        <v>0</v>
      </c>
    </row>
    <row r="16" spans="1:20" ht="30.75" customHeight="1" x14ac:dyDescent="0.25">
      <c r="B16" s="2" t="s">
        <v>287</v>
      </c>
      <c r="C16" s="236" t="s">
        <v>333</v>
      </c>
      <c r="D16" s="93" t="s">
        <v>288</v>
      </c>
      <c r="E16" s="2" t="s">
        <v>289</v>
      </c>
      <c r="F16" s="2" t="s">
        <v>7</v>
      </c>
      <c r="G16" s="186">
        <v>2.63E-2</v>
      </c>
      <c r="H16" s="186">
        <v>0.1845</v>
      </c>
      <c r="I16" s="187">
        <v>45199</v>
      </c>
      <c r="J16" s="187">
        <v>45199</v>
      </c>
      <c r="K16" s="187">
        <v>44201</v>
      </c>
      <c r="L16" s="188" t="s">
        <v>320</v>
      </c>
      <c r="M16" s="79">
        <v>26774.85</v>
      </c>
      <c r="N16" s="67"/>
      <c r="O16" s="67">
        <f t="shared" si="0"/>
        <v>26774.85</v>
      </c>
      <c r="P16" s="66"/>
      <c r="Q16" s="67">
        <v>12579.39</v>
      </c>
      <c r="R16" s="67"/>
      <c r="S16" s="68">
        <f t="shared" si="3"/>
        <v>12579.39</v>
      </c>
    </row>
    <row r="17" spans="2:19" ht="30.75" customHeight="1" x14ac:dyDescent="0.25">
      <c r="B17" s="2" t="s">
        <v>352</v>
      </c>
      <c r="C17" s="236" t="s">
        <v>353</v>
      </c>
      <c r="D17" s="93" t="s">
        <v>354</v>
      </c>
      <c r="E17" s="2" t="s">
        <v>355</v>
      </c>
      <c r="F17" s="2" t="s">
        <v>7</v>
      </c>
      <c r="G17" s="186">
        <v>2.63E-2</v>
      </c>
      <c r="H17" s="186">
        <v>0.1845</v>
      </c>
      <c r="I17" s="187">
        <v>45565</v>
      </c>
      <c r="J17" s="187">
        <v>45580</v>
      </c>
      <c r="K17" s="187">
        <v>44279</v>
      </c>
      <c r="L17" s="188" t="s">
        <v>356</v>
      </c>
      <c r="M17" s="79">
        <v>49183.71</v>
      </c>
      <c r="N17" s="67"/>
      <c r="O17" s="67">
        <f t="shared" si="0"/>
        <v>49183.71</v>
      </c>
      <c r="P17" s="66"/>
      <c r="Q17" s="67"/>
      <c r="R17" s="67"/>
      <c r="S17" s="68">
        <f t="shared" si="3"/>
        <v>0</v>
      </c>
    </row>
    <row r="18" spans="2:19" ht="30.75" customHeight="1" x14ac:dyDescent="0.25">
      <c r="B18" s="2" t="s">
        <v>357</v>
      </c>
      <c r="C18" s="236" t="s">
        <v>353</v>
      </c>
      <c r="D18" s="93" t="s">
        <v>354</v>
      </c>
      <c r="E18" s="2" t="s">
        <v>358</v>
      </c>
      <c r="F18" s="2" t="s">
        <v>7</v>
      </c>
      <c r="G18" s="186">
        <v>2.63E-2</v>
      </c>
      <c r="H18" s="186">
        <v>0.1845</v>
      </c>
      <c r="I18" s="187">
        <v>45565</v>
      </c>
      <c r="J18" s="187">
        <v>45580</v>
      </c>
      <c r="K18" s="187">
        <v>44279</v>
      </c>
      <c r="L18" s="188" t="s">
        <v>356</v>
      </c>
      <c r="M18" s="79">
        <v>12295.93</v>
      </c>
      <c r="N18" s="67"/>
      <c r="O18" s="67">
        <f t="shared" si="0"/>
        <v>12295.93</v>
      </c>
      <c r="P18" s="66"/>
      <c r="Q18" s="67"/>
      <c r="R18" s="67"/>
      <c r="S18" s="68">
        <f t="shared" si="3"/>
        <v>0</v>
      </c>
    </row>
    <row r="19" spans="2:19" x14ac:dyDescent="0.25">
      <c r="C19" s="93"/>
      <c r="D19" s="93"/>
      <c r="I19" s="116"/>
      <c r="J19" s="116"/>
      <c r="K19" s="116"/>
      <c r="L19" s="93"/>
      <c r="M19" s="25"/>
      <c r="N19" s="25"/>
      <c r="O19" s="25"/>
      <c r="P19" s="29"/>
      <c r="Q19" s="25"/>
      <c r="R19" s="25"/>
      <c r="S19" s="26"/>
    </row>
    <row r="20" spans="2:19" ht="21.75" customHeight="1" x14ac:dyDescent="0.25">
      <c r="B20" s="29"/>
      <c r="C20" s="92"/>
      <c r="D20" s="92"/>
      <c r="L20" s="5" t="s">
        <v>38</v>
      </c>
      <c r="M20" s="66">
        <f>SUM(M7:M19)</f>
        <v>128710.45999999999</v>
      </c>
      <c r="N20" s="66">
        <f>SUM(N7:N19)</f>
        <v>98703.07</v>
      </c>
      <c r="O20" s="66">
        <f>SUM(O7:O19)</f>
        <v>227413.53</v>
      </c>
      <c r="Q20" s="66">
        <f>SUM(Q7:Q19)</f>
        <v>123639.56</v>
      </c>
      <c r="R20" s="66">
        <f>SUM(R7:R19)</f>
        <v>0</v>
      </c>
      <c r="S20" s="23">
        <f>SUM(S7:S19)</f>
        <v>123639.56</v>
      </c>
    </row>
    <row r="21" spans="2:19" x14ac:dyDescent="0.25">
      <c r="C21" s="92"/>
      <c r="D21" s="92"/>
      <c r="L21" s="5"/>
      <c r="S21" s="27"/>
    </row>
    <row r="22" spans="2:19" x14ac:dyDescent="0.25">
      <c r="B22" s="8" t="s">
        <v>125</v>
      </c>
      <c r="C22" s="92"/>
      <c r="D22" s="92"/>
      <c r="L22" s="5"/>
      <c r="M22" s="66"/>
      <c r="N22" s="66"/>
      <c r="O22" s="66"/>
      <c r="Q22" s="66"/>
      <c r="R22" s="66"/>
      <c r="S22" s="68"/>
    </row>
    <row r="23" spans="2:19" ht="33" customHeight="1" x14ac:dyDescent="0.25">
      <c r="B23" s="341" t="s">
        <v>126</v>
      </c>
      <c r="C23" s="341"/>
      <c r="D23" s="341"/>
      <c r="E23" s="341"/>
      <c r="F23" s="341"/>
      <c r="G23" s="117"/>
      <c r="H23" s="117"/>
      <c r="I23" s="111"/>
      <c r="L23" s="5"/>
      <c r="M23" s="66"/>
      <c r="N23" s="66"/>
      <c r="O23" s="66"/>
      <c r="Q23" s="66"/>
      <c r="R23" s="66"/>
      <c r="S23" s="68"/>
    </row>
    <row r="24" spans="2:19" x14ac:dyDescent="0.25">
      <c r="C24" s="92"/>
      <c r="D24" s="92"/>
      <c r="L24" s="5"/>
      <c r="M24" s="66"/>
      <c r="N24" s="66"/>
      <c r="O24" s="66"/>
      <c r="Q24" s="66"/>
      <c r="R24" s="66"/>
      <c r="S24" s="68"/>
    </row>
    <row r="25" spans="2:19" ht="70.5" customHeight="1" x14ac:dyDescent="0.25">
      <c r="B25" s="341" t="s">
        <v>129</v>
      </c>
      <c r="C25" s="341"/>
      <c r="D25" s="341"/>
      <c r="E25" s="341"/>
      <c r="F25" s="341"/>
      <c r="G25" s="117"/>
      <c r="H25" s="117"/>
      <c r="I25" s="111"/>
      <c r="L25" s="5"/>
      <c r="M25" s="66"/>
      <c r="N25" s="66"/>
      <c r="O25" s="66"/>
      <c r="Q25" s="66"/>
      <c r="R25" s="66"/>
      <c r="S25" s="68"/>
    </row>
    <row r="26" spans="2:19" x14ac:dyDescent="0.25">
      <c r="B26" s="108"/>
      <c r="C26" s="108"/>
      <c r="D26" s="108"/>
      <c r="E26" s="108"/>
      <c r="F26" s="108"/>
      <c r="G26" s="117"/>
      <c r="H26" s="117"/>
      <c r="I26" s="111"/>
      <c r="L26" s="5"/>
      <c r="M26" s="66"/>
      <c r="N26" s="66"/>
      <c r="O26" s="66"/>
      <c r="Q26" s="66"/>
      <c r="R26" s="66"/>
      <c r="S26" s="68"/>
    </row>
    <row r="27" spans="2:19" ht="30.75" customHeight="1" x14ac:dyDescent="0.25">
      <c r="B27" s="341" t="s">
        <v>160</v>
      </c>
      <c r="C27" s="341"/>
      <c r="D27" s="341"/>
      <c r="E27" s="341"/>
      <c r="F27" s="341"/>
      <c r="G27" s="193"/>
      <c r="H27" s="193"/>
      <c r="I27" s="193"/>
      <c r="L27" s="5"/>
      <c r="M27" s="66"/>
      <c r="N27" s="66"/>
      <c r="O27" s="66"/>
      <c r="Q27" s="66"/>
      <c r="R27" s="66"/>
      <c r="S27" s="68"/>
    </row>
    <row r="28" spans="2:19" ht="19.899999999999999" customHeight="1" x14ac:dyDescent="0.25">
      <c r="B28" s="347" t="s">
        <v>159</v>
      </c>
      <c r="C28" s="341"/>
      <c r="D28" s="341"/>
      <c r="E28" s="341"/>
      <c r="F28" s="341"/>
      <c r="G28" s="193"/>
      <c r="H28" s="193"/>
      <c r="I28" s="193"/>
      <c r="L28" s="5"/>
      <c r="M28" s="66"/>
      <c r="N28" s="66"/>
      <c r="O28" s="66"/>
      <c r="Q28" s="66"/>
      <c r="R28" s="66"/>
      <c r="S28" s="68"/>
    </row>
    <row r="29" spans="2:19" ht="15" customHeight="1" x14ac:dyDescent="0.25">
      <c r="B29" s="195"/>
      <c r="C29" s="195"/>
      <c r="D29" s="195"/>
      <c r="E29" s="195"/>
      <c r="F29" s="195"/>
      <c r="G29" s="195"/>
      <c r="H29" s="195"/>
      <c r="I29" s="195"/>
      <c r="L29" s="5"/>
      <c r="M29" s="66"/>
      <c r="N29" s="66"/>
      <c r="O29" s="66"/>
      <c r="Q29" s="66"/>
      <c r="R29" s="66"/>
      <c r="S29" s="68"/>
    </row>
    <row r="30" spans="2:19" x14ac:dyDescent="0.25">
      <c r="B30" s="7" t="s">
        <v>109</v>
      </c>
      <c r="C30" s="101" t="s">
        <v>112</v>
      </c>
      <c r="D30" s="101" t="s">
        <v>113</v>
      </c>
      <c r="E30" s="108"/>
      <c r="F30" s="108"/>
      <c r="G30" s="117"/>
      <c r="H30" s="117"/>
      <c r="I30" s="111"/>
      <c r="L30" s="5"/>
      <c r="M30" s="66"/>
      <c r="N30" s="66"/>
      <c r="O30" s="66"/>
      <c r="Q30" s="66"/>
      <c r="R30" s="66"/>
      <c r="S30" s="68"/>
    </row>
    <row r="31" spans="2:19" hidden="1" x14ac:dyDescent="0.25">
      <c r="B31" s="2" t="s">
        <v>110</v>
      </c>
      <c r="C31" s="92" t="s">
        <v>116</v>
      </c>
      <c r="D31" s="92" t="s">
        <v>118</v>
      </c>
      <c r="E31" s="108"/>
      <c r="F31" s="108"/>
      <c r="G31" s="117"/>
      <c r="H31" s="117"/>
      <c r="I31" s="111"/>
      <c r="L31" s="5"/>
      <c r="M31" s="66"/>
      <c r="N31" s="66"/>
      <c r="O31" s="66"/>
      <c r="Q31" s="66"/>
      <c r="R31" s="66"/>
      <c r="S31" s="68"/>
    </row>
    <row r="32" spans="2:19" x14ac:dyDescent="0.25">
      <c r="B32" s="2" t="s">
        <v>110</v>
      </c>
      <c r="C32" s="92" t="s">
        <v>327</v>
      </c>
      <c r="D32" s="92" t="s">
        <v>118</v>
      </c>
      <c r="E32" s="305"/>
      <c r="F32" s="305"/>
      <c r="G32" s="305"/>
      <c r="H32" s="305"/>
      <c r="I32" s="305"/>
      <c r="L32" s="5"/>
      <c r="M32" s="66"/>
      <c r="N32" s="66"/>
      <c r="O32" s="66"/>
      <c r="Q32" s="66"/>
      <c r="R32" s="66"/>
      <c r="S32" s="68"/>
    </row>
    <row r="33" spans="2:20" x14ac:dyDescent="0.25">
      <c r="B33" s="2" t="s">
        <v>111</v>
      </c>
      <c r="C33" s="92" t="s">
        <v>300</v>
      </c>
      <c r="D33" s="92" t="s">
        <v>303</v>
      </c>
      <c r="L33" s="5"/>
      <c r="M33" s="66"/>
      <c r="N33" s="66"/>
      <c r="O33" s="66"/>
      <c r="Q33" s="66"/>
      <c r="R33" s="66"/>
      <c r="S33" s="68"/>
    </row>
    <row r="34" spans="2:20" x14ac:dyDescent="0.25">
      <c r="B34" s="2" t="s">
        <v>230</v>
      </c>
      <c r="C34" s="92" t="s">
        <v>135</v>
      </c>
      <c r="D34" s="92" t="s">
        <v>147</v>
      </c>
      <c r="L34" s="5"/>
      <c r="M34" s="66"/>
      <c r="N34" s="66"/>
      <c r="O34" s="66"/>
      <c r="Q34" s="66"/>
      <c r="R34" s="66"/>
      <c r="S34" s="68"/>
    </row>
    <row r="35" spans="2:20" x14ac:dyDescent="0.25">
      <c r="B35" s="2" t="s">
        <v>275</v>
      </c>
      <c r="C35" s="92" t="s">
        <v>135</v>
      </c>
      <c r="D35" s="92" t="s">
        <v>147</v>
      </c>
      <c r="L35" s="5"/>
      <c r="M35" s="66"/>
      <c r="N35" s="66"/>
      <c r="O35" s="66"/>
      <c r="Q35" s="66"/>
      <c r="R35" s="66"/>
      <c r="S35" s="68"/>
    </row>
    <row r="36" spans="2:20" x14ac:dyDescent="0.25">
      <c r="B36" s="2" t="s">
        <v>279</v>
      </c>
      <c r="C36" s="92" t="s">
        <v>135</v>
      </c>
      <c r="D36" s="92" t="s">
        <v>147</v>
      </c>
      <c r="L36" s="5"/>
      <c r="M36" s="66"/>
      <c r="N36" s="66"/>
      <c r="O36" s="66"/>
      <c r="Q36" s="66"/>
      <c r="R36" s="66"/>
      <c r="S36" s="68"/>
    </row>
    <row r="37" spans="2:20" x14ac:dyDescent="0.25">
      <c r="B37" s="2" t="s">
        <v>281</v>
      </c>
      <c r="C37" s="92" t="s">
        <v>135</v>
      </c>
      <c r="D37" s="92" t="s">
        <v>147</v>
      </c>
      <c r="L37" s="5"/>
      <c r="M37" s="66"/>
      <c r="N37" s="66"/>
      <c r="O37" s="66"/>
      <c r="Q37" s="66"/>
      <c r="R37" s="66"/>
      <c r="S37" s="68"/>
    </row>
    <row r="38" spans="2:20" x14ac:dyDescent="0.25">
      <c r="B38" s="2" t="s">
        <v>286</v>
      </c>
      <c r="C38" s="92" t="s">
        <v>135</v>
      </c>
      <c r="D38" s="92" t="s">
        <v>147</v>
      </c>
      <c r="L38" s="5"/>
      <c r="M38" s="66"/>
      <c r="N38" s="66"/>
      <c r="O38" s="66"/>
      <c r="Q38" s="66"/>
      <c r="R38" s="66"/>
      <c r="S38" s="68"/>
    </row>
    <row r="39" spans="2:20" x14ac:dyDescent="0.25">
      <c r="C39" s="92"/>
      <c r="D39" s="92"/>
      <c r="L39" s="5"/>
      <c r="M39" s="66"/>
      <c r="N39" s="66"/>
      <c r="O39" s="66"/>
      <c r="Q39" s="66"/>
      <c r="R39" s="66"/>
      <c r="S39" s="68"/>
    </row>
    <row r="40" spans="2:20" x14ac:dyDescent="0.25">
      <c r="B40" s="258" t="s">
        <v>298</v>
      </c>
      <c r="C40" s="92"/>
      <c r="D40" s="92"/>
      <c r="L40" s="5"/>
      <c r="M40" s="66"/>
      <c r="N40" s="66"/>
      <c r="O40" s="66"/>
      <c r="Q40" s="66"/>
      <c r="R40" s="66"/>
      <c r="S40" s="68"/>
    </row>
    <row r="41" spans="2:20" x14ac:dyDescent="0.25">
      <c r="B41" s="336" t="s">
        <v>299</v>
      </c>
      <c r="C41" s="336"/>
      <c r="D41" s="336"/>
      <c r="E41" s="336"/>
      <c r="F41" s="336"/>
      <c r="G41" s="336"/>
      <c r="H41" s="336"/>
      <c r="L41" s="5"/>
      <c r="M41" s="66"/>
      <c r="N41" s="66"/>
      <c r="O41" s="66"/>
      <c r="Q41" s="66"/>
      <c r="R41" s="66"/>
      <c r="S41" s="68"/>
    </row>
    <row r="42" spans="2:20" ht="15" customHeight="1" x14ac:dyDescent="0.25">
      <c r="B42" s="10"/>
      <c r="C42" s="10"/>
      <c r="D42" s="10"/>
      <c r="E42" s="10"/>
      <c r="F42" s="10"/>
      <c r="G42" s="10"/>
      <c r="H42" s="10"/>
      <c r="I42" s="10"/>
      <c r="J42" s="10"/>
      <c r="K42" s="10"/>
      <c r="L42" s="10"/>
      <c r="M42" s="10"/>
      <c r="N42" s="29"/>
      <c r="O42" s="29"/>
      <c r="P42" s="29"/>
      <c r="Q42" s="29"/>
      <c r="R42" s="29"/>
      <c r="S42" s="27"/>
    </row>
    <row r="43" spans="2:20" ht="15" customHeight="1" x14ac:dyDescent="0.25">
      <c r="N43" s="109"/>
      <c r="O43" s="109"/>
      <c r="P43" s="109"/>
      <c r="Q43" s="166" t="s">
        <v>90</v>
      </c>
      <c r="R43" s="163"/>
      <c r="S43" s="164"/>
    </row>
    <row r="44" spans="2:20" ht="15" customHeight="1" x14ac:dyDescent="0.25">
      <c r="B44" s="17" t="s">
        <v>39</v>
      </c>
      <c r="C44" s="96" t="s">
        <v>2</v>
      </c>
      <c r="D44" s="96"/>
      <c r="E44" s="96" t="s">
        <v>34</v>
      </c>
      <c r="F44" s="96" t="s">
        <v>35</v>
      </c>
      <c r="G44" s="120"/>
      <c r="H44" s="120"/>
      <c r="I44" s="114"/>
      <c r="J44" s="96"/>
      <c r="K44" s="96"/>
      <c r="L44" s="96" t="s">
        <v>36</v>
      </c>
      <c r="M44" s="96" t="s">
        <v>37</v>
      </c>
      <c r="N44" s="47"/>
      <c r="O44" s="47"/>
      <c r="P44" s="47"/>
      <c r="Q44" s="54" t="s">
        <v>88</v>
      </c>
      <c r="R44" s="52"/>
      <c r="S44" s="53"/>
      <c r="T44" s="51"/>
    </row>
    <row r="45" spans="2:20" x14ac:dyDescent="0.25">
      <c r="B45" s="63"/>
      <c r="C45" s="9"/>
      <c r="D45" s="9"/>
      <c r="E45" s="9"/>
      <c r="F45" s="9"/>
      <c r="G45" s="9"/>
      <c r="H45" s="9"/>
      <c r="I45" s="9"/>
      <c r="J45" s="9"/>
      <c r="K45" s="9"/>
      <c r="L45" s="9"/>
      <c r="M45" s="9"/>
      <c r="N45" s="45"/>
      <c r="O45" s="45"/>
      <c r="P45" s="45"/>
      <c r="Q45" s="59"/>
      <c r="R45" s="50"/>
      <c r="S45" s="50"/>
      <c r="T45" s="51"/>
    </row>
    <row r="46" spans="2:20" x14ac:dyDescent="0.25">
      <c r="B46" s="63"/>
      <c r="C46" s="9"/>
      <c r="D46" s="9"/>
      <c r="E46" s="9"/>
      <c r="F46" s="9"/>
      <c r="G46" s="9"/>
      <c r="H46" s="9"/>
      <c r="I46" s="9"/>
      <c r="J46" s="9"/>
      <c r="K46" s="9"/>
      <c r="L46" s="9"/>
      <c r="M46" s="9"/>
      <c r="N46" s="45"/>
      <c r="O46" s="45"/>
      <c r="P46" s="45"/>
      <c r="R46" s="50"/>
      <c r="S46" s="50"/>
      <c r="T46" s="51"/>
    </row>
    <row r="47" spans="2:20" ht="15" customHeight="1" x14ac:dyDescent="0.25">
      <c r="B47" s="12"/>
      <c r="C47" s="13"/>
      <c r="D47" s="13"/>
      <c r="E47" s="41"/>
      <c r="F47" s="15"/>
      <c r="G47" s="15"/>
      <c r="H47" s="15"/>
      <c r="I47" s="15"/>
      <c r="J47" s="15"/>
      <c r="K47" s="15"/>
      <c r="L47" s="16"/>
      <c r="M47" s="20"/>
      <c r="N47" s="18"/>
      <c r="O47" s="18"/>
      <c r="P47" s="18"/>
    </row>
    <row r="48" spans="2:20" x14ac:dyDescent="0.25">
      <c r="B48" s="36"/>
      <c r="C48" s="40"/>
      <c r="D48" s="40"/>
      <c r="E48" s="41"/>
      <c r="F48" s="38"/>
      <c r="G48" s="38"/>
      <c r="H48" s="38"/>
      <c r="I48" s="38"/>
      <c r="J48" s="38"/>
      <c r="K48" s="38"/>
      <c r="L48" s="39"/>
      <c r="M48" s="34"/>
      <c r="N48" s="104"/>
      <c r="O48" s="29"/>
      <c r="P48" s="29"/>
    </row>
    <row r="49" spans="2:19" x14ac:dyDescent="0.25">
      <c r="B49" s="36"/>
      <c r="C49" s="40"/>
      <c r="D49" s="40"/>
      <c r="E49" s="41"/>
      <c r="F49" s="38"/>
      <c r="G49" s="38"/>
      <c r="H49" s="38"/>
      <c r="I49" s="38"/>
      <c r="J49" s="38"/>
      <c r="K49" s="38"/>
      <c r="L49" s="39"/>
      <c r="M49" s="34"/>
      <c r="N49" s="104"/>
      <c r="O49" s="29"/>
      <c r="P49" s="29"/>
    </row>
    <row r="50" spans="2:19" x14ac:dyDescent="0.25">
      <c r="C50" s="40"/>
      <c r="D50" s="40"/>
      <c r="E50" s="41"/>
      <c r="F50" s="69"/>
      <c r="G50" s="69"/>
      <c r="H50" s="69"/>
      <c r="I50" s="69"/>
      <c r="J50" s="69"/>
      <c r="K50" s="69"/>
      <c r="L50" s="33"/>
      <c r="M50" s="31"/>
      <c r="N50" s="104"/>
    </row>
    <row r="51" spans="2:19" x14ac:dyDescent="0.25">
      <c r="C51" s="40"/>
      <c r="D51" s="40"/>
      <c r="E51" s="41"/>
      <c r="F51" s="69"/>
      <c r="G51" s="69"/>
      <c r="H51" s="69"/>
      <c r="I51" s="69"/>
      <c r="J51" s="69"/>
      <c r="K51" s="69"/>
      <c r="L51" s="33"/>
      <c r="M51" s="31"/>
      <c r="N51" s="104"/>
    </row>
    <row r="52" spans="2:19" x14ac:dyDescent="0.25">
      <c r="C52" s="40"/>
      <c r="D52" s="40"/>
      <c r="E52" s="41"/>
      <c r="F52" s="69"/>
      <c r="G52" s="69"/>
      <c r="H52" s="69"/>
      <c r="I52" s="69"/>
      <c r="J52" s="69"/>
      <c r="K52" s="69"/>
      <c r="L52" s="33"/>
      <c r="M52" s="31"/>
      <c r="N52" s="104"/>
    </row>
    <row r="53" spans="2:19" x14ac:dyDescent="0.25">
      <c r="C53" s="40"/>
      <c r="D53" s="40"/>
      <c r="E53" s="41"/>
      <c r="F53" s="69"/>
      <c r="G53" s="69"/>
      <c r="H53" s="69"/>
      <c r="I53" s="69"/>
      <c r="J53" s="69"/>
      <c r="K53" s="69"/>
      <c r="L53" s="33"/>
      <c r="M53" s="31"/>
      <c r="N53" s="104"/>
    </row>
    <row r="54" spans="2:19" x14ac:dyDescent="0.25">
      <c r="C54" s="40"/>
      <c r="D54" s="40"/>
      <c r="E54" s="41"/>
      <c r="F54" s="69"/>
      <c r="G54" s="69"/>
      <c r="H54" s="69"/>
      <c r="I54" s="69"/>
      <c r="J54" s="69"/>
      <c r="K54" s="69"/>
      <c r="L54" s="33"/>
      <c r="M54" s="31"/>
      <c r="N54" s="104"/>
    </row>
    <row r="55" spans="2:19" ht="18.75" customHeight="1" x14ac:dyDescent="0.25">
      <c r="Q55" s="309" t="s">
        <v>316</v>
      </c>
      <c r="R55" s="309"/>
      <c r="S55" s="311">
        <f>S20</f>
        <v>123639.56</v>
      </c>
    </row>
    <row r="56" spans="2:19" ht="15" customHeight="1" x14ac:dyDescent="0.25">
      <c r="E56" s="21"/>
      <c r="F56" s="102"/>
      <c r="G56" s="102"/>
      <c r="H56" s="102"/>
      <c r="I56" s="102"/>
      <c r="J56" s="102"/>
      <c r="K56" s="102"/>
    </row>
    <row r="59" spans="2:19" ht="15" customHeight="1" x14ac:dyDescent="0.25"/>
  </sheetData>
  <mergeCells count="7">
    <mergeCell ref="B41:H41"/>
    <mergeCell ref="B28:F28"/>
    <mergeCell ref="Q2:S2"/>
    <mergeCell ref="Q1:S1"/>
    <mergeCell ref="B25:F25"/>
    <mergeCell ref="B23:F23"/>
    <mergeCell ref="B27:F27"/>
  </mergeCells>
  <hyperlinks>
    <hyperlink ref="B28" r:id="rId1"/>
  </hyperlinks>
  <printOptions horizontalCentered="1" gridLines="1"/>
  <pageMargins left="0" right="0" top="0.75" bottom="0.75" header="0.3" footer="0.3"/>
  <pageSetup scale="52" orientation="landscape" horizontalDpi="1200" verticalDpi="120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4"/>
  <sheetViews>
    <sheetView topLeftCell="B1" zoomScale="90" zoomScaleNormal="90" workbookViewId="0">
      <selection activeCell="B9" sqref="B9:O9"/>
    </sheetView>
  </sheetViews>
  <sheetFormatPr defaultColWidth="9.140625" defaultRowHeight="15" x14ac:dyDescent="0.25"/>
  <cols>
    <col min="1" max="1" width="9.140625" style="2" hidden="1" customWidth="1"/>
    <col min="2" max="2" width="59.7109375" style="2" customWidth="1"/>
    <col min="3" max="3" width="28.7109375" style="2" customWidth="1"/>
    <col min="4" max="4" width="13.7109375" style="2" customWidth="1"/>
    <col min="5" max="5" width="18.5703125" style="2" customWidth="1"/>
    <col min="6" max="6" width="21.85546875" style="2" customWidth="1"/>
    <col min="7" max="7" width="11.7109375" style="2" customWidth="1"/>
    <col min="8" max="8" width="13.140625" style="2" customWidth="1"/>
    <col min="9" max="9" width="13.85546875" style="2" customWidth="1"/>
    <col min="10" max="10" width="16" style="2" customWidth="1"/>
    <col min="11" max="11" width="10.28515625" style="2" customWidth="1"/>
    <col min="12" max="12" width="18.140625" style="2" customWidth="1"/>
    <col min="13" max="13" width="13.28515625" style="2" bestFit="1" customWidth="1"/>
    <col min="14" max="14" width="13.7109375" style="2" customWidth="1"/>
    <col min="15" max="15" width="14.42578125" style="2" customWidth="1"/>
    <col min="16" max="16" width="3.140625" style="2" customWidth="1"/>
    <col min="17" max="17" width="14.7109375" style="2" customWidth="1"/>
    <col min="18" max="18" width="14.140625" style="2" customWidth="1"/>
    <col min="19" max="19" width="16.7109375" style="2" customWidth="1"/>
    <col min="20" max="16384" width="9.140625" style="2"/>
  </cols>
  <sheetData>
    <row r="1" spans="1:20" ht="15.6" customHeight="1" x14ac:dyDescent="0.25">
      <c r="B1" s="1" t="s">
        <v>168</v>
      </c>
      <c r="Q1" s="338" t="s">
        <v>296</v>
      </c>
      <c r="R1" s="338"/>
      <c r="S1" s="338"/>
    </row>
    <row r="2" spans="1:20" x14ac:dyDescent="0.25">
      <c r="B2" s="88" t="s">
        <v>148</v>
      </c>
      <c r="C2" s="182">
        <v>44742</v>
      </c>
      <c r="M2" s="71"/>
      <c r="N2" s="71"/>
      <c r="P2" s="29"/>
      <c r="Q2" s="337" t="s">
        <v>375</v>
      </c>
      <c r="R2" s="337"/>
      <c r="S2" s="337"/>
    </row>
    <row r="3" spans="1:20" ht="15.75" thickBot="1" x14ac:dyDescent="0.3">
      <c r="A3" s="2" t="s">
        <v>16</v>
      </c>
      <c r="B3" s="44" t="s">
        <v>72</v>
      </c>
      <c r="C3" s="8"/>
      <c r="D3" s="8"/>
      <c r="E3" s="8"/>
      <c r="P3" s="29"/>
      <c r="Q3" s="45"/>
      <c r="R3" s="30"/>
    </row>
    <row r="4" spans="1:20" x14ac:dyDescent="0.25">
      <c r="B4" s="8" t="s">
        <v>174</v>
      </c>
      <c r="M4" s="85" t="s">
        <v>28</v>
      </c>
      <c r="N4" s="85" t="s">
        <v>28</v>
      </c>
      <c r="O4" s="85" t="s">
        <v>28</v>
      </c>
      <c r="P4" s="9"/>
      <c r="Q4" s="89" t="s">
        <v>29</v>
      </c>
      <c r="R4" s="89" t="s">
        <v>31</v>
      </c>
      <c r="S4" s="89" t="s">
        <v>23</v>
      </c>
      <c r="T4" s="7"/>
    </row>
    <row r="5" spans="1:20" ht="15.75" thickBot="1" x14ac:dyDescent="0.3">
      <c r="G5" s="183" t="s">
        <v>295</v>
      </c>
      <c r="H5" s="183" t="s">
        <v>295</v>
      </c>
      <c r="M5" s="86" t="s">
        <v>27</v>
      </c>
      <c r="N5" s="86" t="s">
        <v>26</v>
      </c>
      <c r="O5" s="86" t="s">
        <v>25</v>
      </c>
      <c r="P5" s="9"/>
      <c r="Q5" s="90" t="s">
        <v>30</v>
      </c>
      <c r="R5" s="90" t="s">
        <v>30</v>
      </c>
      <c r="S5" s="90" t="s">
        <v>30</v>
      </c>
      <c r="T5" s="7"/>
    </row>
    <row r="6" spans="1:20" ht="85.5" customHeight="1" thickBot="1" x14ac:dyDescent="0.3">
      <c r="B6" s="84" t="s">
        <v>1</v>
      </c>
      <c r="C6" s="84" t="s">
        <v>389</v>
      </c>
      <c r="D6" s="84" t="s">
        <v>107</v>
      </c>
      <c r="E6" s="84" t="s">
        <v>3</v>
      </c>
      <c r="F6" s="84" t="s">
        <v>4</v>
      </c>
      <c r="G6" s="107" t="s">
        <v>136</v>
      </c>
      <c r="H6" s="107" t="s">
        <v>137</v>
      </c>
      <c r="I6" s="107" t="s">
        <v>133</v>
      </c>
      <c r="J6" s="107" t="s">
        <v>134</v>
      </c>
      <c r="K6" s="107" t="s">
        <v>121</v>
      </c>
      <c r="L6" s="83" t="s">
        <v>5</v>
      </c>
      <c r="M6" s="87" t="s">
        <v>6</v>
      </c>
      <c r="N6" s="87" t="s">
        <v>6</v>
      </c>
      <c r="O6" s="87" t="s">
        <v>6</v>
      </c>
      <c r="P6" s="9"/>
      <c r="Q6" s="91"/>
      <c r="R6" s="97" t="s">
        <v>32</v>
      </c>
      <c r="S6" s="98" t="s">
        <v>33</v>
      </c>
    </row>
    <row r="7" spans="1:20" ht="32.450000000000003" customHeight="1" x14ac:dyDescent="0.25">
      <c r="B7" s="2" t="s">
        <v>128</v>
      </c>
      <c r="C7" s="95" t="s">
        <v>122</v>
      </c>
      <c r="D7" s="93" t="s">
        <v>308</v>
      </c>
      <c r="E7" s="2" t="s">
        <v>307</v>
      </c>
      <c r="F7" s="2" t="s">
        <v>7</v>
      </c>
      <c r="G7" s="186">
        <v>2.63E-2</v>
      </c>
      <c r="H7" s="186">
        <v>0.1845</v>
      </c>
      <c r="I7" s="187">
        <v>44377</v>
      </c>
      <c r="J7" s="187">
        <v>44743</v>
      </c>
      <c r="K7" s="187">
        <v>44378</v>
      </c>
      <c r="L7" s="188" t="s">
        <v>297</v>
      </c>
      <c r="M7" s="70">
        <v>418719.36</v>
      </c>
      <c r="N7" s="70"/>
      <c r="O7" s="67">
        <f t="shared" ref="O7:O12" si="0">M7+N7</f>
        <v>418719.36</v>
      </c>
      <c r="P7" s="42"/>
      <c r="Q7" s="43">
        <v>418719.36</v>
      </c>
      <c r="R7" s="67">
        <v>0</v>
      </c>
      <c r="S7" s="68">
        <f>Q7+R7</f>
        <v>418719.36</v>
      </c>
    </row>
    <row r="8" spans="1:20" ht="30" customHeight="1" x14ac:dyDescent="0.25">
      <c r="B8" s="2" t="s">
        <v>130</v>
      </c>
      <c r="C8" s="95" t="s">
        <v>131</v>
      </c>
      <c r="D8" s="93" t="s">
        <v>310</v>
      </c>
      <c r="E8" s="2" t="s">
        <v>309</v>
      </c>
      <c r="F8" s="2" t="s">
        <v>7</v>
      </c>
      <c r="G8" s="186">
        <v>2.63E-2</v>
      </c>
      <c r="H8" s="186">
        <v>0.1845</v>
      </c>
      <c r="I8" s="187">
        <f t="shared" ref="I8:L8" si="1">+I7</f>
        <v>44377</v>
      </c>
      <c r="J8" s="187">
        <f t="shared" si="1"/>
        <v>44743</v>
      </c>
      <c r="K8" s="187">
        <f t="shared" si="1"/>
        <v>44378</v>
      </c>
      <c r="L8" s="188" t="str">
        <f t="shared" si="1"/>
        <v>07/01/21 - 06/30/22</v>
      </c>
      <c r="M8" s="70">
        <v>8724.77</v>
      </c>
      <c r="N8" s="70"/>
      <c r="O8" s="67">
        <f t="shared" si="0"/>
        <v>8724.77</v>
      </c>
      <c r="P8" s="42"/>
      <c r="Q8" s="43">
        <v>8724.77</v>
      </c>
      <c r="R8" s="67"/>
      <c r="S8" s="68">
        <f>Q8+R8</f>
        <v>8724.77</v>
      </c>
    </row>
    <row r="9" spans="1:20" ht="30" customHeight="1" x14ac:dyDescent="0.25">
      <c r="B9" s="334" t="s">
        <v>387</v>
      </c>
      <c r="C9" s="327" t="s">
        <v>373</v>
      </c>
      <c r="D9" s="328" t="s">
        <v>372</v>
      </c>
      <c r="E9" s="29" t="s">
        <v>374</v>
      </c>
      <c r="F9" s="2" t="s">
        <v>7</v>
      </c>
      <c r="G9" s="186">
        <v>2.63E-2</v>
      </c>
      <c r="H9" s="186">
        <v>0.1845</v>
      </c>
      <c r="I9" s="187">
        <v>45199</v>
      </c>
      <c r="J9" s="187">
        <v>45214</v>
      </c>
      <c r="K9" s="187">
        <v>44378</v>
      </c>
      <c r="L9" s="188" t="s">
        <v>325</v>
      </c>
      <c r="M9" s="70">
        <v>250691.76</v>
      </c>
      <c r="N9" s="70"/>
      <c r="O9" s="67">
        <f t="shared" si="0"/>
        <v>250691.76</v>
      </c>
      <c r="P9" s="42"/>
      <c r="Q9" s="43">
        <v>125345.88</v>
      </c>
      <c r="R9" s="67"/>
      <c r="S9" s="68">
        <f>SUM(Q9:R9)</f>
        <v>125345.88</v>
      </c>
    </row>
    <row r="10" spans="1:20" ht="30" customHeight="1" x14ac:dyDescent="0.25">
      <c r="B10" s="334" t="s">
        <v>386</v>
      </c>
      <c r="C10" s="327" t="s">
        <v>388</v>
      </c>
      <c r="D10" s="328" t="s">
        <v>384</v>
      </c>
      <c r="E10" s="29" t="s">
        <v>385</v>
      </c>
      <c r="F10" s="2" t="s">
        <v>7</v>
      </c>
      <c r="G10" s="186">
        <v>2.63E-2</v>
      </c>
      <c r="H10" s="186">
        <v>0.1845</v>
      </c>
      <c r="I10" s="187">
        <v>45199</v>
      </c>
      <c r="J10" s="187">
        <v>45214</v>
      </c>
      <c r="K10" s="187">
        <v>44378</v>
      </c>
      <c r="L10" s="188" t="s">
        <v>325</v>
      </c>
      <c r="M10" s="70">
        <v>10703.62</v>
      </c>
      <c r="N10" s="70"/>
      <c r="O10" s="67">
        <f t="shared" si="0"/>
        <v>10703.62</v>
      </c>
      <c r="P10" s="42"/>
      <c r="Q10" s="43">
        <v>5351.81</v>
      </c>
      <c r="R10" s="67"/>
      <c r="S10" s="68">
        <f>SUM(Q10:R10)</f>
        <v>5351.81</v>
      </c>
    </row>
    <row r="11" spans="1:20" ht="30" customHeight="1" x14ac:dyDescent="0.25">
      <c r="B11" s="2" t="s">
        <v>223</v>
      </c>
      <c r="C11" s="236" t="s">
        <v>333</v>
      </c>
      <c r="D11" s="93" t="s">
        <v>224</v>
      </c>
      <c r="E11" s="2" t="s">
        <v>225</v>
      </c>
      <c r="F11" s="2" t="s">
        <v>7</v>
      </c>
      <c r="G11" s="186">
        <v>2.63E-2</v>
      </c>
      <c r="H11" s="186">
        <v>0.1845</v>
      </c>
      <c r="I11" s="187">
        <v>44834</v>
      </c>
      <c r="J11" s="187">
        <v>44849</v>
      </c>
      <c r="K11" s="187">
        <v>43614</v>
      </c>
      <c r="L11" s="188" t="s">
        <v>274</v>
      </c>
      <c r="M11" s="70">
        <v>28106.04</v>
      </c>
      <c r="N11" s="70"/>
      <c r="O11" s="67">
        <f t="shared" si="0"/>
        <v>28106.04</v>
      </c>
      <c r="P11" s="42"/>
      <c r="Q11" s="43"/>
      <c r="R11" s="67"/>
      <c r="S11" s="68">
        <f>Q11+R11</f>
        <v>0</v>
      </c>
    </row>
    <row r="12" spans="1:20" ht="30" customHeight="1" x14ac:dyDescent="0.25">
      <c r="B12" s="2" t="s">
        <v>275</v>
      </c>
      <c r="C12" s="236" t="s">
        <v>333</v>
      </c>
      <c r="D12" s="93" t="s">
        <v>224</v>
      </c>
      <c r="E12" s="2" t="s">
        <v>276</v>
      </c>
      <c r="F12" s="2" t="s">
        <v>7</v>
      </c>
      <c r="G12" s="186">
        <v>2.63E-2</v>
      </c>
      <c r="H12" s="186">
        <v>0.1845</v>
      </c>
      <c r="I12" s="187">
        <v>44773</v>
      </c>
      <c r="J12" s="187">
        <v>44788</v>
      </c>
      <c r="K12" s="187">
        <v>43980</v>
      </c>
      <c r="L12" s="188" t="s">
        <v>277</v>
      </c>
      <c r="M12" s="79">
        <v>1438.94</v>
      </c>
      <c r="N12" s="70"/>
      <c r="O12" s="67">
        <f t="shared" si="0"/>
        <v>1438.94</v>
      </c>
      <c r="P12" s="42"/>
      <c r="Q12" s="43"/>
      <c r="R12" s="67"/>
      <c r="S12" s="68">
        <f>Q12+R12</f>
        <v>0</v>
      </c>
    </row>
    <row r="13" spans="1:20" ht="30" customHeight="1" x14ac:dyDescent="0.25">
      <c r="B13" s="2" t="s">
        <v>279</v>
      </c>
      <c r="C13" s="236" t="s">
        <v>333</v>
      </c>
      <c r="D13" s="93" t="s">
        <v>224</v>
      </c>
      <c r="E13" s="2" t="s">
        <v>280</v>
      </c>
      <c r="F13" s="2" t="s">
        <v>7</v>
      </c>
      <c r="G13" s="186">
        <v>2.63E-2</v>
      </c>
      <c r="H13" s="186">
        <v>0.1845</v>
      </c>
      <c r="I13" s="187">
        <v>44592</v>
      </c>
      <c r="J13" s="187">
        <v>44592</v>
      </c>
      <c r="K13" s="187">
        <v>43980</v>
      </c>
      <c r="L13" s="188" t="s">
        <v>332</v>
      </c>
      <c r="M13" s="79">
        <v>3000</v>
      </c>
      <c r="N13" s="67"/>
      <c r="O13" s="67">
        <f t="shared" ref="O13:O21" si="2">M13+N13</f>
        <v>3000</v>
      </c>
      <c r="P13" s="66"/>
      <c r="Q13" s="67">
        <v>3000</v>
      </c>
      <c r="R13" s="67"/>
      <c r="S13" s="68">
        <f t="shared" ref="S13:S21" si="3">Q13+R13</f>
        <v>3000</v>
      </c>
    </row>
    <row r="14" spans="1:20" ht="30" customHeight="1" x14ac:dyDescent="0.25">
      <c r="B14" s="2" t="s">
        <v>281</v>
      </c>
      <c r="C14" s="236" t="s">
        <v>334</v>
      </c>
      <c r="D14" s="93" t="s">
        <v>231</v>
      </c>
      <c r="E14" s="2" t="s">
        <v>282</v>
      </c>
      <c r="F14" s="2" t="s">
        <v>7</v>
      </c>
      <c r="G14" s="186">
        <v>2.63E-2</v>
      </c>
      <c r="H14" s="186">
        <v>0.1845</v>
      </c>
      <c r="I14" s="187">
        <v>44742</v>
      </c>
      <c r="J14" s="187">
        <v>44757</v>
      </c>
      <c r="K14" s="187">
        <v>43979</v>
      </c>
      <c r="L14" s="188" t="s">
        <v>283</v>
      </c>
      <c r="M14" s="79">
        <v>1027</v>
      </c>
      <c r="N14" s="67"/>
      <c r="O14" s="67">
        <f t="shared" si="2"/>
        <v>1027</v>
      </c>
      <c r="P14" s="66"/>
      <c r="Q14" s="67"/>
      <c r="R14" s="67"/>
      <c r="S14" s="68">
        <f t="shared" si="3"/>
        <v>0</v>
      </c>
    </row>
    <row r="15" spans="1:20" ht="30" customHeight="1" x14ac:dyDescent="0.25">
      <c r="B15" s="2" t="s">
        <v>321</v>
      </c>
      <c r="C15" s="236" t="s">
        <v>333</v>
      </c>
      <c r="D15" s="93" t="s">
        <v>288</v>
      </c>
      <c r="E15" s="2" t="s">
        <v>322</v>
      </c>
      <c r="F15" s="2" t="s">
        <v>7</v>
      </c>
      <c r="G15" s="186">
        <f>G14:H14</f>
        <v>2.63E-2</v>
      </c>
      <c r="H15" s="186">
        <f>H14</f>
        <v>0.1845</v>
      </c>
      <c r="I15" s="187">
        <v>45199</v>
      </c>
      <c r="J15" s="187">
        <v>45214</v>
      </c>
      <c r="K15" s="187">
        <v>44201</v>
      </c>
      <c r="L15" s="188" t="s">
        <v>323</v>
      </c>
      <c r="M15" s="79">
        <v>23328.38</v>
      </c>
      <c r="N15" s="67"/>
      <c r="O15" s="67">
        <f t="shared" si="2"/>
        <v>23328.38</v>
      </c>
      <c r="P15" s="66"/>
      <c r="Q15" s="67"/>
      <c r="R15" s="67"/>
      <c r="S15" s="68">
        <f t="shared" si="3"/>
        <v>0</v>
      </c>
    </row>
    <row r="16" spans="1:20" ht="30" customHeight="1" x14ac:dyDescent="0.25">
      <c r="B16" s="2" t="s">
        <v>324</v>
      </c>
      <c r="C16" s="236" t="s">
        <v>333</v>
      </c>
      <c r="D16" s="93" t="s">
        <v>288</v>
      </c>
      <c r="E16" s="2" t="s">
        <v>329</v>
      </c>
      <c r="F16" s="2" t="s">
        <v>7</v>
      </c>
      <c r="G16" s="186">
        <f>G15:H15</f>
        <v>2.63E-2</v>
      </c>
      <c r="H16" s="186">
        <f>H15</f>
        <v>0.1845</v>
      </c>
      <c r="I16" s="187">
        <v>45199</v>
      </c>
      <c r="J16" s="187">
        <v>45214</v>
      </c>
      <c r="K16" s="187">
        <v>44201</v>
      </c>
      <c r="L16" s="188" t="s">
        <v>325</v>
      </c>
      <c r="M16" s="79">
        <v>2911</v>
      </c>
      <c r="N16" s="67"/>
      <c r="O16" s="67">
        <f t="shared" si="2"/>
        <v>2911</v>
      </c>
      <c r="P16" s="66"/>
      <c r="Q16" s="67"/>
      <c r="R16" s="67"/>
      <c r="S16" s="68">
        <f t="shared" si="3"/>
        <v>0</v>
      </c>
    </row>
    <row r="17" spans="2:19" ht="30" customHeight="1" x14ac:dyDescent="0.25">
      <c r="B17" s="2" t="s">
        <v>326</v>
      </c>
      <c r="C17" s="236" t="s">
        <v>333</v>
      </c>
      <c r="D17" s="93" t="s">
        <v>288</v>
      </c>
      <c r="E17" s="2" t="s">
        <v>330</v>
      </c>
      <c r="F17" s="2" t="s">
        <v>7</v>
      </c>
      <c r="G17" s="186">
        <f>G16:H16</f>
        <v>2.63E-2</v>
      </c>
      <c r="H17" s="186">
        <f>H16</f>
        <v>0.1845</v>
      </c>
      <c r="I17" s="187">
        <v>45199</v>
      </c>
      <c r="J17" s="187">
        <v>45214</v>
      </c>
      <c r="K17" s="187">
        <v>44201</v>
      </c>
      <c r="L17" s="188" t="s">
        <v>323</v>
      </c>
      <c r="M17" s="79">
        <v>6123.7</v>
      </c>
      <c r="N17" s="67"/>
      <c r="O17" s="67">
        <f t="shared" si="2"/>
        <v>6123.7</v>
      </c>
      <c r="P17" s="66"/>
      <c r="Q17" s="67"/>
      <c r="R17" s="67"/>
      <c r="S17" s="68">
        <f t="shared" si="3"/>
        <v>0</v>
      </c>
    </row>
    <row r="18" spans="2:19" ht="30" customHeight="1" x14ac:dyDescent="0.25">
      <c r="B18" s="2" t="s">
        <v>370</v>
      </c>
      <c r="C18" s="236" t="s">
        <v>333</v>
      </c>
      <c r="D18" s="93" t="s">
        <v>288</v>
      </c>
      <c r="E18" s="2" t="s">
        <v>331</v>
      </c>
      <c r="F18" s="2" t="s">
        <v>7</v>
      </c>
      <c r="G18" s="186">
        <f>G17:H17</f>
        <v>2.63E-2</v>
      </c>
      <c r="H18" s="186">
        <f>H17</f>
        <v>0.1845</v>
      </c>
      <c r="I18" s="187">
        <v>45199</v>
      </c>
      <c r="J18" s="187">
        <v>45214</v>
      </c>
      <c r="K18" s="187">
        <v>44201</v>
      </c>
      <c r="L18" s="188" t="s">
        <v>325</v>
      </c>
      <c r="M18" s="79">
        <v>28985.52</v>
      </c>
      <c r="N18" s="67"/>
      <c r="O18" s="67">
        <f t="shared" si="2"/>
        <v>28985.52</v>
      </c>
      <c r="P18" s="66"/>
      <c r="Q18" s="67"/>
      <c r="R18" s="67"/>
      <c r="S18" s="68">
        <f t="shared" si="3"/>
        <v>0</v>
      </c>
    </row>
    <row r="19" spans="2:19" ht="30" customHeight="1" x14ac:dyDescent="0.25">
      <c r="B19" s="2" t="s">
        <v>287</v>
      </c>
      <c r="C19" s="236" t="s">
        <v>333</v>
      </c>
      <c r="D19" s="93" t="s">
        <v>288</v>
      </c>
      <c r="E19" s="2" t="s">
        <v>289</v>
      </c>
      <c r="F19" s="2" t="s">
        <v>7</v>
      </c>
      <c r="G19" s="186">
        <v>2.63E-2</v>
      </c>
      <c r="H19" s="186">
        <v>0.1845</v>
      </c>
      <c r="I19" s="187">
        <v>45199</v>
      </c>
      <c r="J19" s="187">
        <v>45199</v>
      </c>
      <c r="K19" s="187">
        <v>44201</v>
      </c>
      <c r="L19" s="188" t="s">
        <v>320</v>
      </c>
      <c r="M19" s="79">
        <v>53655.28</v>
      </c>
      <c r="N19" s="67"/>
      <c r="O19" s="67">
        <f t="shared" si="2"/>
        <v>53655.28</v>
      </c>
      <c r="P19" s="66"/>
      <c r="Q19" s="67">
        <v>53655.28</v>
      </c>
      <c r="R19" s="67"/>
      <c r="S19" s="68">
        <f t="shared" si="3"/>
        <v>53655.28</v>
      </c>
    </row>
    <row r="20" spans="2:19" ht="30" customHeight="1" x14ac:dyDescent="0.25">
      <c r="B20" s="2" t="s">
        <v>352</v>
      </c>
      <c r="C20" s="236" t="s">
        <v>353</v>
      </c>
      <c r="D20" s="93" t="s">
        <v>354</v>
      </c>
      <c r="E20" s="2" t="s">
        <v>355</v>
      </c>
      <c r="F20" s="2" t="s">
        <v>7</v>
      </c>
      <c r="G20" s="186">
        <v>2.63E-2</v>
      </c>
      <c r="H20" s="186">
        <v>0.1845</v>
      </c>
      <c r="I20" s="187">
        <v>45565</v>
      </c>
      <c r="J20" s="187">
        <v>45580</v>
      </c>
      <c r="K20" s="187">
        <v>44279</v>
      </c>
      <c r="L20" s="188" t="s">
        <v>356</v>
      </c>
      <c r="M20" s="79">
        <v>209784.88</v>
      </c>
      <c r="N20" s="67"/>
      <c r="O20" s="67">
        <f t="shared" si="2"/>
        <v>209784.88</v>
      </c>
      <c r="P20" s="66"/>
      <c r="Q20" s="67"/>
      <c r="R20" s="67"/>
      <c r="S20" s="68">
        <f t="shared" si="3"/>
        <v>0</v>
      </c>
    </row>
    <row r="21" spans="2:19" ht="30" customHeight="1" x14ac:dyDescent="0.25">
      <c r="B21" s="2" t="s">
        <v>357</v>
      </c>
      <c r="C21" s="236" t="s">
        <v>353</v>
      </c>
      <c r="D21" s="93" t="s">
        <v>354</v>
      </c>
      <c r="E21" s="2" t="s">
        <v>358</v>
      </c>
      <c r="F21" s="2" t="s">
        <v>7</v>
      </c>
      <c r="G21" s="186">
        <v>2.63E-2</v>
      </c>
      <c r="H21" s="186">
        <v>0.1845</v>
      </c>
      <c r="I21" s="187">
        <v>45565</v>
      </c>
      <c r="J21" s="187">
        <v>45580</v>
      </c>
      <c r="K21" s="187">
        <v>44279</v>
      </c>
      <c r="L21" s="188" t="s">
        <v>356</v>
      </c>
      <c r="M21" s="79">
        <v>52446.22</v>
      </c>
      <c r="N21" s="67"/>
      <c r="O21" s="67">
        <f t="shared" si="2"/>
        <v>52446.22</v>
      </c>
      <c r="P21" s="66"/>
      <c r="Q21" s="67"/>
      <c r="R21" s="67"/>
      <c r="S21" s="68">
        <f t="shared" si="3"/>
        <v>0</v>
      </c>
    </row>
    <row r="22" spans="2:19" x14ac:dyDescent="0.25">
      <c r="C22" s="93"/>
      <c r="D22" s="93"/>
      <c r="G22" s="202"/>
      <c r="H22" s="186" t="s">
        <v>100</v>
      </c>
      <c r="I22" s="187"/>
      <c r="J22" s="187"/>
      <c r="K22" s="187"/>
      <c r="L22" s="188"/>
      <c r="M22" s="25"/>
      <c r="N22" s="25"/>
      <c r="O22" s="25"/>
      <c r="P22" s="29"/>
      <c r="Q22" s="25"/>
      <c r="R22" s="25"/>
      <c r="S22" s="26"/>
    </row>
    <row r="23" spans="2:19" ht="22.5" customHeight="1" x14ac:dyDescent="0.25">
      <c r="B23" s="29"/>
      <c r="C23" s="92"/>
      <c r="D23" s="92"/>
      <c r="I23" s="116"/>
      <c r="J23" s="116"/>
      <c r="K23" s="116"/>
      <c r="L23" s="5" t="s">
        <v>38</v>
      </c>
      <c r="M23" s="66">
        <f>SUM(M7:M22)</f>
        <v>1099646.47</v>
      </c>
      <c r="N23" s="66">
        <f>SUM(N7:N22)</f>
        <v>0</v>
      </c>
      <c r="O23" s="66">
        <f>SUM(O7:O22)</f>
        <v>1099646.47</v>
      </c>
      <c r="P23" s="66"/>
      <c r="Q23" s="66">
        <f t="shared" ref="Q23:S23" si="4">SUM(Q7:Q22)</f>
        <v>614797.10000000009</v>
      </c>
      <c r="R23" s="66">
        <f t="shared" si="4"/>
        <v>0</v>
      </c>
      <c r="S23" s="23">
        <f t="shared" si="4"/>
        <v>614797.10000000009</v>
      </c>
    </row>
    <row r="24" spans="2:19" x14ac:dyDescent="0.25">
      <c r="B24" s="29"/>
      <c r="C24" s="92"/>
      <c r="D24" s="92"/>
      <c r="I24" s="116"/>
      <c r="J24" s="116"/>
      <c r="K24" s="116"/>
      <c r="L24" s="5"/>
      <c r="M24" s="66"/>
      <c r="N24" s="66"/>
      <c r="O24" s="66"/>
      <c r="P24" s="66"/>
      <c r="Q24" s="66"/>
      <c r="R24" s="66"/>
      <c r="S24" s="68"/>
    </row>
    <row r="25" spans="2:19" x14ac:dyDescent="0.25">
      <c r="C25" s="92"/>
      <c r="D25" s="92"/>
      <c r="L25" s="5"/>
      <c r="M25" s="66"/>
      <c r="N25" s="66"/>
      <c r="O25" s="66"/>
      <c r="Q25" s="66"/>
      <c r="R25" s="66"/>
      <c r="S25" s="68"/>
    </row>
    <row r="26" spans="2:19" x14ac:dyDescent="0.25">
      <c r="B26" s="8" t="s">
        <v>125</v>
      </c>
      <c r="C26" s="92"/>
      <c r="D26" s="92"/>
      <c r="L26" s="5"/>
      <c r="M26" s="66"/>
      <c r="N26" s="66"/>
      <c r="O26" s="66"/>
      <c r="Q26" s="66"/>
      <c r="R26" s="66"/>
      <c r="S26" s="68"/>
    </row>
    <row r="27" spans="2:19" ht="33" customHeight="1" x14ac:dyDescent="0.25">
      <c r="B27" s="341" t="s">
        <v>126</v>
      </c>
      <c r="C27" s="341"/>
      <c r="D27" s="341"/>
      <c r="E27" s="341"/>
      <c r="F27" s="341"/>
      <c r="G27" s="117"/>
      <c r="H27" s="117"/>
      <c r="I27" s="111"/>
      <c r="L27" s="5"/>
      <c r="M27" s="66"/>
      <c r="N27" s="66"/>
      <c r="O27" s="66"/>
      <c r="Q27" s="66"/>
      <c r="R27" s="66"/>
      <c r="S27" s="68"/>
    </row>
    <row r="28" spans="2:19" x14ac:dyDescent="0.25">
      <c r="C28" s="92"/>
      <c r="D28" s="92"/>
      <c r="L28" s="5"/>
      <c r="M28" s="66"/>
      <c r="N28" s="66"/>
      <c r="O28" s="66"/>
      <c r="Q28" s="66"/>
      <c r="R28" s="66"/>
      <c r="S28" s="68"/>
    </row>
    <row r="29" spans="2:19" ht="45.75" customHeight="1" x14ac:dyDescent="0.25">
      <c r="B29" s="341" t="s">
        <v>129</v>
      </c>
      <c r="C29" s="341"/>
      <c r="D29" s="341"/>
      <c r="E29" s="341"/>
      <c r="F29" s="341"/>
      <c r="G29" s="117"/>
      <c r="H29" s="117"/>
      <c r="I29" s="111"/>
      <c r="L29" s="5"/>
      <c r="M29" s="66"/>
      <c r="N29" s="66"/>
      <c r="O29" s="66"/>
      <c r="Q29" s="66"/>
      <c r="R29" s="66"/>
      <c r="S29" s="68"/>
    </row>
    <row r="30" spans="2:19" x14ac:dyDescent="0.25">
      <c r="B30" s="108"/>
      <c r="C30" s="108"/>
      <c r="D30" s="108"/>
      <c r="E30" s="108"/>
      <c r="F30" s="108"/>
      <c r="G30" s="117"/>
      <c r="H30" s="117"/>
      <c r="I30" s="111"/>
      <c r="L30" s="5"/>
      <c r="M30" s="66"/>
      <c r="N30" s="66"/>
      <c r="O30" s="66"/>
      <c r="Q30" s="66"/>
      <c r="R30" s="66"/>
      <c r="S30" s="68"/>
    </row>
    <row r="31" spans="2:19" ht="31.5" customHeight="1" x14ac:dyDescent="0.25">
      <c r="B31" s="341" t="s">
        <v>160</v>
      </c>
      <c r="C31" s="341"/>
      <c r="D31" s="341"/>
      <c r="E31" s="341"/>
      <c r="F31" s="341"/>
      <c r="G31" s="193"/>
      <c r="H31" s="193"/>
      <c r="I31" s="193"/>
      <c r="L31" s="5"/>
      <c r="M31" s="66"/>
      <c r="N31" s="66"/>
      <c r="O31" s="66"/>
      <c r="Q31" s="66"/>
      <c r="R31" s="66"/>
      <c r="S31" s="68"/>
    </row>
    <row r="32" spans="2:19" ht="15" customHeight="1" x14ac:dyDescent="0.25">
      <c r="B32" s="347" t="s">
        <v>159</v>
      </c>
      <c r="C32" s="341"/>
      <c r="D32" s="341"/>
      <c r="E32" s="341"/>
      <c r="F32" s="341"/>
      <c r="G32" s="193"/>
      <c r="H32" s="193"/>
      <c r="I32" s="193"/>
      <c r="L32" s="5"/>
      <c r="M32" s="66"/>
      <c r="N32" s="66"/>
      <c r="O32" s="66"/>
      <c r="Q32" s="66"/>
      <c r="R32" s="66"/>
      <c r="S32" s="68"/>
    </row>
    <row r="33" spans="2:20" ht="15" customHeight="1" x14ac:dyDescent="0.25">
      <c r="B33" s="195"/>
      <c r="C33" s="195"/>
      <c r="D33" s="195"/>
      <c r="E33" s="195"/>
      <c r="F33" s="195"/>
      <c r="G33" s="195"/>
      <c r="H33" s="195"/>
      <c r="I33" s="195"/>
      <c r="L33" s="5"/>
      <c r="M33" s="66"/>
      <c r="N33" s="66"/>
      <c r="O33" s="66"/>
      <c r="Q33" s="66"/>
      <c r="R33" s="66"/>
      <c r="S33" s="68"/>
    </row>
    <row r="34" spans="2:20" x14ac:dyDescent="0.25">
      <c r="B34" s="7" t="s">
        <v>109</v>
      </c>
      <c r="C34" s="101" t="s">
        <v>112</v>
      </c>
      <c r="D34" s="101" t="s">
        <v>113</v>
      </c>
      <c r="E34" s="108"/>
      <c r="F34" s="108"/>
      <c r="G34" s="117"/>
      <c r="H34" s="117"/>
      <c r="I34" s="111"/>
      <c r="L34" s="5"/>
      <c r="M34" s="66"/>
      <c r="N34" s="66"/>
      <c r="O34" s="66"/>
      <c r="Q34" s="66"/>
      <c r="R34" s="66"/>
      <c r="S34" s="68"/>
    </row>
    <row r="35" spans="2:20" x14ac:dyDescent="0.25">
      <c r="C35" s="92"/>
      <c r="D35" s="92"/>
      <c r="E35" s="108"/>
      <c r="F35" s="108"/>
      <c r="G35" s="117"/>
      <c r="H35" s="117"/>
      <c r="I35" s="111"/>
      <c r="L35" s="5"/>
      <c r="M35" s="66"/>
      <c r="N35" s="66"/>
      <c r="O35" s="66"/>
      <c r="Q35" s="66"/>
      <c r="R35" s="66"/>
      <c r="S35" s="68"/>
    </row>
    <row r="36" spans="2:20" x14ac:dyDescent="0.25">
      <c r="B36" s="2" t="s">
        <v>111</v>
      </c>
      <c r="C36" s="92" t="s">
        <v>300</v>
      </c>
      <c r="D36" s="92" t="s">
        <v>303</v>
      </c>
      <c r="L36" s="5"/>
      <c r="M36" s="66"/>
      <c r="N36" s="66"/>
      <c r="O36" s="66"/>
      <c r="Q36" s="66"/>
      <c r="R36" s="66"/>
      <c r="S36" s="68"/>
    </row>
    <row r="37" spans="2:20" x14ac:dyDescent="0.25">
      <c r="B37" s="2" t="s">
        <v>230</v>
      </c>
      <c r="C37" s="92" t="s">
        <v>135</v>
      </c>
      <c r="D37" s="92" t="s">
        <v>147</v>
      </c>
      <c r="L37" s="5"/>
      <c r="M37" s="66"/>
      <c r="N37" s="66"/>
      <c r="O37" s="66"/>
      <c r="Q37" s="66"/>
      <c r="R37" s="66"/>
      <c r="S37" s="68"/>
    </row>
    <row r="38" spans="2:20" x14ac:dyDescent="0.25">
      <c r="B38" s="2" t="s">
        <v>275</v>
      </c>
      <c r="C38" s="92" t="s">
        <v>135</v>
      </c>
      <c r="D38" s="92" t="s">
        <v>147</v>
      </c>
      <c r="L38" s="5"/>
      <c r="M38" s="66"/>
      <c r="N38" s="66"/>
      <c r="O38" s="66"/>
      <c r="Q38" s="66"/>
      <c r="R38" s="66"/>
      <c r="S38" s="68"/>
    </row>
    <row r="39" spans="2:20" x14ac:dyDescent="0.25">
      <c r="B39" s="2" t="s">
        <v>279</v>
      </c>
      <c r="C39" s="92" t="s">
        <v>135</v>
      </c>
      <c r="D39" s="92" t="s">
        <v>147</v>
      </c>
      <c r="L39" s="5"/>
      <c r="M39" s="66"/>
      <c r="N39" s="66"/>
      <c r="O39" s="66"/>
      <c r="Q39" s="66"/>
      <c r="R39" s="66"/>
      <c r="S39" s="68"/>
    </row>
    <row r="40" spans="2:20" x14ac:dyDescent="0.25">
      <c r="B40" s="2" t="s">
        <v>281</v>
      </c>
      <c r="C40" s="92" t="s">
        <v>135</v>
      </c>
      <c r="D40" s="92" t="s">
        <v>147</v>
      </c>
      <c r="L40" s="5"/>
      <c r="M40" s="66"/>
      <c r="N40" s="66"/>
      <c r="O40" s="66"/>
      <c r="Q40" s="66"/>
      <c r="R40" s="66"/>
      <c r="S40" s="68"/>
    </row>
    <row r="41" spans="2:20" x14ac:dyDescent="0.25">
      <c r="B41" s="2" t="s">
        <v>286</v>
      </c>
      <c r="C41" s="92" t="s">
        <v>135</v>
      </c>
      <c r="D41" s="92" t="s">
        <v>147</v>
      </c>
      <c r="L41" s="5"/>
      <c r="M41" s="66"/>
      <c r="N41" s="66"/>
      <c r="O41" s="66"/>
      <c r="Q41" s="66"/>
      <c r="R41" s="66"/>
      <c r="S41" s="68"/>
    </row>
    <row r="42" spans="2:20" x14ac:dyDescent="0.25">
      <c r="C42" s="92"/>
      <c r="D42" s="92"/>
      <c r="L42" s="5"/>
      <c r="M42" s="66"/>
      <c r="N42" s="66"/>
      <c r="O42" s="66"/>
      <c r="Q42" s="66"/>
      <c r="R42" s="66"/>
      <c r="S42" s="68"/>
    </row>
    <row r="43" spans="2:20" x14ac:dyDescent="0.25">
      <c r="B43" s="258" t="s">
        <v>298</v>
      </c>
      <c r="C43" s="92"/>
      <c r="D43" s="92"/>
      <c r="L43" s="5"/>
      <c r="M43" s="66"/>
      <c r="N43" s="66"/>
      <c r="O43" s="66"/>
      <c r="Q43" s="66"/>
      <c r="R43" s="66"/>
      <c r="S43" s="68"/>
    </row>
    <row r="44" spans="2:20" x14ac:dyDescent="0.25">
      <c r="B44" s="336" t="s">
        <v>299</v>
      </c>
      <c r="C44" s="336"/>
      <c r="D44" s="336"/>
      <c r="E44" s="336"/>
      <c r="F44" s="336"/>
      <c r="G44" s="336"/>
      <c r="H44" s="336"/>
      <c r="L44" s="5"/>
      <c r="M44" s="66"/>
      <c r="N44" s="66"/>
      <c r="O44" s="66"/>
      <c r="Q44" s="66"/>
      <c r="R44" s="66"/>
      <c r="S44" s="68"/>
    </row>
    <row r="45" spans="2:20" ht="15" customHeight="1" x14ac:dyDescent="0.25">
      <c r="B45" s="10"/>
      <c r="C45" s="10"/>
      <c r="D45" s="10"/>
      <c r="E45" s="10"/>
      <c r="F45" s="10"/>
      <c r="G45" s="10"/>
      <c r="H45" s="10"/>
      <c r="I45" s="10"/>
      <c r="J45" s="10"/>
      <c r="K45" s="10"/>
      <c r="L45" s="10"/>
      <c r="M45" s="10"/>
      <c r="N45" s="29"/>
      <c r="O45" s="29"/>
      <c r="P45" s="29"/>
      <c r="Q45" s="29"/>
      <c r="R45" s="29"/>
      <c r="S45" s="27"/>
    </row>
    <row r="46" spans="2:20" ht="15" customHeight="1" x14ac:dyDescent="0.25">
      <c r="N46" s="109"/>
      <c r="O46" s="109"/>
      <c r="P46" s="109"/>
      <c r="Q46" s="166" t="s">
        <v>90</v>
      </c>
      <c r="R46" s="163"/>
      <c r="S46" s="164"/>
    </row>
    <row r="47" spans="2:20" ht="15" customHeight="1" x14ac:dyDescent="0.25">
      <c r="B47" s="17" t="s">
        <v>39</v>
      </c>
      <c r="C47" s="96" t="s">
        <v>2</v>
      </c>
      <c r="D47" s="96"/>
      <c r="E47" s="96" t="s">
        <v>34</v>
      </c>
      <c r="F47" s="96" t="s">
        <v>35</v>
      </c>
      <c r="G47" s="120"/>
      <c r="H47" s="120"/>
      <c r="I47" s="114"/>
      <c r="J47" s="96"/>
      <c r="K47" s="96"/>
      <c r="L47" s="96" t="s">
        <v>36</v>
      </c>
      <c r="M47" s="96" t="s">
        <v>37</v>
      </c>
      <c r="N47" s="47"/>
      <c r="O47" s="47"/>
      <c r="P47" s="47"/>
      <c r="Q47" s="54" t="s">
        <v>88</v>
      </c>
      <c r="R47" s="52"/>
      <c r="S47" s="53"/>
      <c r="T47" s="51"/>
    </row>
    <row r="48" spans="2:20" x14ac:dyDescent="0.25">
      <c r="B48" s="63"/>
      <c r="C48" s="9"/>
      <c r="D48" s="9"/>
      <c r="E48" s="9"/>
      <c r="F48" s="9"/>
      <c r="G48" s="9"/>
      <c r="H48" s="9"/>
      <c r="I48" s="9"/>
      <c r="J48" s="9"/>
      <c r="K48" s="9"/>
      <c r="L48" s="9"/>
      <c r="M48" s="9"/>
      <c r="N48" s="45"/>
      <c r="O48" s="45"/>
      <c r="P48" s="45"/>
      <c r="Q48" s="59"/>
      <c r="R48" s="50"/>
      <c r="S48" s="50"/>
      <c r="T48" s="51"/>
    </row>
    <row r="49" spans="2:20" x14ac:dyDescent="0.25">
      <c r="B49" s="63"/>
      <c r="C49" s="9"/>
      <c r="D49" s="9"/>
      <c r="E49" s="9"/>
      <c r="F49" s="9"/>
      <c r="G49" s="9"/>
      <c r="H49" s="9"/>
      <c r="I49" s="9"/>
      <c r="J49" s="9"/>
      <c r="K49" s="9"/>
      <c r="L49" s="9"/>
      <c r="M49" s="9"/>
      <c r="N49" s="45"/>
      <c r="O49" s="45"/>
      <c r="P49" s="45"/>
      <c r="R49" s="51"/>
      <c r="S49" s="51"/>
      <c r="T49" s="51"/>
    </row>
    <row r="50" spans="2:20" x14ac:dyDescent="0.25">
      <c r="B50" s="12"/>
      <c r="C50" s="13"/>
      <c r="D50" s="13"/>
      <c r="E50" s="41"/>
      <c r="F50" s="15"/>
      <c r="G50" s="15"/>
      <c r="H50" s="15"/>
      <c r="I50" s="15"/>
      <c r="J50" s="15"/>
      <c r="K50" s="15"/>
      <c r="L50" s="16"/>
      <c r="M50" s="20"/>
      <c r="N50" s="18"/>
      <c r="O50" s="18"/>
      <c r="P50" s="18"/>
      <c r="Q50" s="51"/>
      <c r="R50" s="51"/>
      <c r="S50" s="51"/>
      <c r="T50" s="51"/>
    </row>
    <row r="51" spans="2:20" x14ac:dyDescent="0.25">
      <c r="B51" s="12"/>
      <c r="C51" s="13"/>
      <c r="D51" s="13"/>
      <c r="E51" s="41"/>
      <c r="F51" s="15"/>
      <c r="G51" s="15"/>
      <c r="H51" s="15"/>
      <c r="I51" s="15"/>
      <c r="J51" s="15"/>
      <c r="K51" s="15"/>
      <c r="L51" s="16"/>
      <c r="M51" s="20"/>
      <c r="N51" s="18"/>
      <c r="O51" s="18"/>
      <c r="P51" s="18"/>
      <c r="Q51" s="51"/>
      <c r="R51" s="51"/>
      <c r="S51" s="51"/>
      <c r="T51" s="51"/>
    </row>
    <row r="52" spans="2:20" x14ac:dyDescent="0.25">
      <c r="B52" s="12"/>
      <c r="C52" s="13"/>
      <c r="D52" s="13"/>
      <c r="E52" s="41"/>
      <c r="F52" s="15"/>
      <c r="G52" s="15"/>
      <c r="H52" s="15"/>
      <c r="I52" s="15"/>
      <c r="J52" s="15"/>
      <c r="K52" s="15"/>
      <c r="L52" s="16"/>
      <c r="M52" s="20"/>
      <c r="N52" s="18"/>
      <c r="O52" s="18"/>
      <c r="P52" s="18"/>
      <c r="Q52" s="51"/>
      <c r="R52" s="51"/>
      <c r="S52" s="51"/>
      <c r="T52" s="51"/>
    </row>
    <row r="53" spans="2:20" x14ac:dyDescent="0.25">
      <c r="B53" s="12"/>
      <c r="C53" s="13"/>
      <c r="D53" s="13"/>
      <c r="E53" s="41"/>
      <c r="F53" s="15"/>
      <c r="G53" s="15"/>
      <c r="H53" s="15"/>
      <c r="I53" s="15"/>
      <c r="J53" s="15"/>
      <c r="K53" s="15"/>
      <c r="L53" s="16"/>
      <c r="M53" s="20"/>
      <c r="N53" s="18"/>
      <c r="O53" s="18"/>
      <c r="P53" s="18"/>
      <c r="Q53" s="51"/>
      <c r="R53" s="51"/>
      <c r="S53" s="51"/>
      <c r="T53" s="51"/>
    </row>
    <row r="54" spans="2:20" x14ac:dyDescent="0.25">
      <c r="B54" s="12"/>
      <c r="C54" s="13"/>
      <c r="D54" s="13"/>
      <c r="E54" s="41"/>
      <c r="F54" s="15"/>
      <c r="G54" s="15"/>
      <c r="H54" s="15"/>
      <c r="I54" s="15"/>
      <c r="J54" s="15"/>
      <c r="K54" s="15"/>
      <c r="L54" s="16"/>
      <c r="M54" s="20"/>
      <c r="N54" s="18"/>
      <c r="O54" s="18"/>
      <c r="P54" s="18"/>
      <c r="Q54" s="51"/>
      <c r="R54" s="51"/>
      <c r="S54" s="51"/>
      <c r="T54" s="51"/>
    </row>
    <row r="55" spans="2:20" x14ac:dyDescent="0.25">
      <c r="C55" s="40"/>
      <c r="D55" s="40"/>
      <c r="E55" s="41"/>
      <c r="F55" s="69"/>
      <c r="G55" s="69"/>
      <c r="H55" s="69"/>
      <c r="I55" s="69"/>
      <c r="J55" s="69"/>
      <c r="K55" s="69"/>
      <c r="L55" s="33"/>
      <c r="M55" s="35"/>
      <c r="N55" s="37"/>
      <c r="O55" s="37"/>
      <c r="P55" s="29"/>
      <c r="Q55" s="309" t="s">
        <v>316</v>
      </c>
      <c r="R55" s="309"/>
      <c r="S55" s="311">
        <f>S23</f>
        <v>614797.10000000009</v>
      </c>
    </row>
    <row r="56" spans="2:20" ht="15" customHeight="1" x14ac:dyDescent="0.25">
      <c r="B56" s="36"/>
      <c r="C56" s="40"/>
      <c r="D56" s="40"/>
      <c r="E56" s="41"/>
      <c r="F56" s="38"/>
      <c r="G56" s="38"/>
      <c r="H56" s="38"/>
      <c r="I56" s="38"/>
      <c r="J56" s="38"/>
      <c r="K56" s="38"/>
      <c r="L56" s="33"/>
      <c r="M56" s="31"/>
      <c r="N56" s="99"/>
      <c r="O56" s="99"/>
      <c r="P56" s="29"/>
    </row>
    <row r="57" spans="2:20" x14ac:dyDescent="0.25">
      <c r="B57" s="36"/>
      <c r="C57" s="40"/>
      <c r="D57" s="40"/>
      <c r="E57" s="41"/>
      <c r="F57" s="38"/>
      <c r="G57" s="38"/>
      <c r="H57" s="38"/>
      <c r="I57" s="38"/>
      <c r="J57" s="38"/>
      <c r="K57" s="38"/>
      <c r="L57" s="33"/>
      <c r="M57" s="31"/>
      <c r="N57" s="99"/>
      <c r="O57" s="99"/>
      <c r="P57" s="29"/>
    </row>
    <row r="58" spans="2:20" x14ac:dyDescent="0.25">
      <c r="B58" s="36"/>
      <c r="C58" s="40"/>
      <c r="D58" s="40"/>
      <c r="E58" s="41"/>
      <c r="F58" s="38"/>
      <c r="G58" s="38"/>
      <c r="H58" s="38"/>
      <c r="I58" s="38"/>
      <c r="J58" s="38"/>
      <c r="K58" s="38"/>
      <c r="L58" s="33"/>
      <c r="M58" s="31"/>
      <c r="N58" s="99"/>
      <c r="O58" s="99"/>
      <c r="P58" s="29"/>
    </row>
    <row r="59" spans="2:20" ht="16.5" customHeight="1" x14ac:dyDescent="0.25">
      <c r="B59" s="36"/>
      <c r="C59" s="40"/>
      <c r="D59" s="40"/>
      <c r="E59" s="41"/>
      <c r="F59" s="38"/>
      <c r="G59" s="38"/>
      <c r="H59" s="38"/>
      <c r="I59" s="38"/>
      <c r="J59" s="38"/>
      <c r="K59" s="38"/>
      <c r="L59" s="39"/>
      <c r="M59" s="20"/>
      <c r="N59" s="99"/>
      <c r="O59" s="99"/>
      <c r="P59" s="29"/>
    </row>
    <row r="60" spans="2:20" ht="15" hidden="1" customHeight="1" x14ac:dyDescent="0.25"/>
    <row r="61" spans="2:20" ht="15" customHeight="1" x14ac:dyDescent="0.25">
      <c r="E61" s="21"/>
      <c r="F61" s="102"/>
      <c r="G61" s="102"/>
      <c r="H61" s="102"/>
      <c r="I61" s="102"/>
      <c r="J61" s="102"/>
      <c r="K61" s="102"/>
    </row>
    <row r="64" spans="2:20" ht="15" customHeight="1" x14ac:dyDescent="0.25"/>
  </sheetData>
  <mergeCells count="7">
    <mergeCell ref="B44:H44"/>
    <mergeCell ref="B32:F32"/>
    <mergeCell ref="Q2:S2"/>
    <mergeCell ref="Q1:S1"/>
    <mergeCell ref="B27:F27"/>
    <mergeCell ref="B29:F29"/>
    <mergeCell ref="B31:F31"/>
  </mergeCells>
  <hyperlinks>
    <hyperlink ref="B32" r:id="rId1"/>
  </hyperlinks>
  <printOptions horizontalCentered="1" gridLines="1"/>
  <pageMargins left="0" right="0" top="0.75" bottom="0.75" header="0.3" footer="0.3"/>
  <pageSetup scale="53" orientation="landscape" horizontalDpi="1200" verticalDpi="1200"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5"/>
  <sheetViews>
    <sheetView topLeftCell="C7" zoomScale="90" zoomScaleNormal="90" workbookViewId="0">
      <selection activeCell="S26" sqref="S26"/>
    </sheetView>
  </sheetViews>
  <sheetFormatPr defaultColWidth="9.140625" defaultRowHeight="15" x14ac:dyDescent="0.25"/>
  <cols>
    <col min="1" max="1" width="7.5703125" style="2" hidden="1" customWidth="1"/>
    <col min="2" max="2" width="61.85546875" style="2" customWidth="1"/>
    <col min="3" max="3" width="27.140625" style="2" customWidth="1"/>
    <col min="4" max="4" width="13.7109375" style="2" customWidth="1"/>
    <col min="5" max="5" width="17.85546875" style="2" customWidth="1"/>
    <col min="6" max="6" width="21.42578125" style="2" customWidth="1"/>
    <col min="7" max="7" width="10.140625" style="2" customWidth="1"/>
    <col min="8" max="8" width="14.42578125" style="2" customWidth="1"/>
    <col min="9" max="9" width="13.28515625" style="2" customWidth="1"/>
    <col min="10" max="10" width="14.7109375" style="2" customWidth="1"/>
    <col min="11" max="11" width="10.42578125" style="2" customWidth="1"/>
    <col min="12" max="12" width="17.5703125" style="2" customWidth="1"/>
    <col min="13" max="13" width="14" style="2" bestFit="1" customWidth="1"/>
    <col min="14" max="14" width="13.7109375" style="2" customWidth="1"/>
    <col min="15" max="15" width="14.42578125" style="2" customWidth="1"/>
    <col min="16" max="16" width="3.140625" style="2" customWidth="1"/>
    <col min="17" max="17" width="14" style="2" customWidth="1"/>
    <col min="18" max="18" width="14.140625" style="2" customWidth="1"/>
    <col min="19" max="19" width="16.7109375" style="2" customWidth="1"/>
    <col min="20" max="16384" width="9.140625" style="2"/>
  </cols>
  <sheetData>
    <row r="1" spans="1:20" ht="18" customHeight="1" x14ac:dyDescent="0.25">
      <c r="B1" s="1" t="s">
        <v>43</v>
      </c>
      <c r="Q1" s="338" t="s">
        <v>296</v>
      </c>
      <c r="R1" s="338"/>
      <c r="S1" s="338"/>
    </row>
    <row r="2" spans="1:20" ht="18" customHeight="1" x14ac:dyDescent="0.25">
      <c r="B2" s="88" t="s">
        <v>148</v>
      </c>
      <c r="C2" s="182">
        <v>44742</v>
      </c>
      <c r="M2" s="71"/>
      <c r="N2" s="71"/>
      <c r="P2" s="29"/>
      <c r="Q2" s="337" t="s">
        <v>375</v>
      </c>
      <c r="R2" s="337"/>
      <c r="S2" s="337"/>
    </row>
    <row r="3" spans="1:20" ht="18" customHeight="1" thickBot="1" x14ac:dyDescent="0.3">
      <c r="A3" s="2" t="s">
        <v>16</v>
      </c>
      <c r="B3" s="44" t="s">
        <v>64</v>
      </c>
      <c r="C3" s="8"/>
      <c r="D3" s="8"/>
      <c r="E3" s="8"/>
      <c r="P3" s="29"/>
      <c r="Q3" s="45"/>
      <c r="R3" s="30"/>
    </row>
    <row r="4" spans="1:20" ht="18.75" customHeight="1" x14ac:dyDescent="0.25">
      <c r="B4" s="8" t="s">
        <v>174</v>
      </c>
      <c r="M4" s="85" t="s">
        <v>28</v>
      </c>
      <c r="N4" s="85" t="s">
        <v>28</v>
      </c>
      <c r="O4" s="85" t="s">
        <v>28</v>
      </c>
      <c r="P4" s="9"/>
      <c r="Q4" s="89" t="s">
        <v>29</v>
      </c>
      <c r="R4" s="89" t="s">
        <v>31</v>
      </c>
      <c r="S4" s="89" t="s">
        <v>23</v>
      </c>
      <c r="T4" s="7"/>
    </row>
    <row r="5" spans="1:20" ht="15.75" thickBot="1" x14ac:dyDescent="0.3">
      <c r="G5" s="183" t="s">
        <v>295</v>
      </c>
      <c r="H5" s="183" t="s">
        <v>295</v>
      </c>
      <c r="M5" s="86" t="s">
        <v>27</v>
      </c>
      <c r="N5" s="86" t="s">
        <v>26</v>
      </c>
      <c r="O5" s="86" t="s">
        <v>25</v>
      </c>
      <c r="P5" s="9"/>
      <c r="Q5" s="90" t="s">
        <v>30</v>
      </c>
      <c r="R5" s="90" t="s">
        <v>30</v>
      </c>
      <c r="S5" s="90" t="s">
        <v>30</v>
      </c>
      <c r="T5" s="7"/>
    </row>
    <row r="6" spans="1:20" ht="85.5" customHeight="1" thickBot="1" x14ac:dyDescent="0.3">
      <c r="B6" s="84" t="s">
        <v>1</v>
      </c>
      <c r="C6" s="84" t="s">
        <v>389</v>
      </c>
      <c r="D6" s="84" t="s">
        <v>107</v>
      </c>
      <c r="E6" s="84" t="s">
        <v>3</v>
      </c>
      <c r="F6" s="84" t="s">
        <v>4</v>
      </c>
      <c r="G6" s="107" t="s">
        <v>136</v>
      </c>
      <c r="H6" s="107" t="s">
        <v>137</v>
      </c>
      <c r="I6" s="107" t="s">
        <v>133</v>
      </c>
      <c r="J6" s="107" t="s">
        <v>134</v>
      </c>
      <c r="K6" s="107" t="s">
        <v>121</v>
      </c>
      <c r="L6" s="83" t="s">
        <v>5</v>
      </c>
      <c r="M6" s="87" t="s">
        <v>6</v>
      </c>
      <c r="N6" s="87" t="s">
        <v>6</v>
      </c>
      <c r="O6" s="87" t="s">
        <v>6</v>
      </c>
      <c r="P6" s="9"/>
      <c r="Q6" s="91"/>
      <c r="R6" s="97" t="s">
        <v>32</v>
      </c>
      <c r="S6" s="98" t="s">
        <v>33</v>
      </c>
    </row>
    <row r="7" spans="1:20" ht="24.75" customHeight="1" x14ac:dyDescent="0.25">
      <c r="A7" s="2">
        <v>4201</v>
      </c>
      <c r="B7" s="2" t="s">
        <v>8</v>
      </c>
      <c r="C7" s="92" t="s">
        <v>106</v>
      </c>
      <c r="D7" s="92" t="s">
        <v>306</v>
      </c>
      <c r="E7" s="2" t="s">
        <v>307</v>
      </c>
      <c r="F7" s="2" t="s">
        <v>7</v>
      </c>
      <c r="G7" s="186">
        <v>2.63E-2</v>
      </c>
      <c r="H7" s="186">
        <v>0.1845</v>
      </c>
      <c r="I7" s="187">
        <v>44742</v>
      </c>
      <c r="J7" s="187">
        <v>44743</v>
      </c>
      <c r="K7" s="187">
        <v>44378</v>
      </c>
      <c r="L7" s="188" t="s">
        <v>297</v>
      </c>
      <c r="M7" s="65">
        <v>491265</v>
      </c>
      <c r="N7" s="207"/>
      <c r="O7" s="67">
        <f t="shared" ref="O7:O23" si="0">M7+N7</f>
        <v>491265</v>
      </c>
      <c r="P7" s="67"/>
      <c r="Q7" s="67">
        <f>72476.64+123945.66+112985.45+100422.75</f>
        <v>409830.5</v>
      </c>
      <c r="R7" s="67"/>
      <c r="S7" s="68">
        <f t="shared" ref="S7:S21" si="1">Q7+R7</f>
        <v>409830.5</v>
      </c>
    </row>
    <row r="8" spans="1:20" ht="29.25" customHeight="1" x14ac:dyDescent="0.25">
      <c r="A8" s="2">
        <v>4253</v>
      </c>
      <c r="B8" s="2" t="s">
        <v>128</v>
      </c>
      <c r="C8" s="95" t="s">
        <v>122</v>
      </c>
      <c r="D8" s="93" t="s">
        <v>310</v>
      </c>
      <c r="E8" s="2" t="s">
        <v>309</v>
      </c>
      <c r="F8" s="2" t="s">
        <v>7</v>
      </c>
      <c r="G8" s="186">
        <v>2.63E-2</v>
      </c>
      <c r="H8" s="186">
        <v>0.1845</v>
      </c>
      <c r="I8" s="187">
        <f>+I7</f>
        <v>44742</v>
      </c>
      <c r="J8" s="187">
        <f t="shared" ref="J8:L8" si="2">+J7</f>
        <v>44743</v>
      </c>
      <c r="K8" s="187">
        <f t="shared" si="2"/>
        <v>44378</v>
      </c>
      <c r="L8" s="189" t="str">
        <f t="shared" si="2"/>
        <v>07/01/21 - 06/30/22</v>
      </c>
      <c r="M8" s="65">
        <v>8111.25</v>
      </c>
      <c r="N8" s="67">
        <f>15207.5+14851.8</f>
        <v>30059.3</v>
      </c>
      <c r="O8" s="67">
        <f t="shared" si="0"/>
        <v>38170.550000000003</v>
      </c>
      <c r="P8" s="67"/>
      <c r="Q8" s="67">
        <f>8111.25+15207.5+14851.8</f>
        <v>38170.550000000003</v>
      </c>
      <c r="R8" s="67">
        <v>0</v>
      </c>
      <c r="S8" s="68">
        <f t="shared" si="1"/>
        <v>38170.550000000003</v>
      </c>
    </row>
    <row r="9" spans="1:20" ht="29.25" customHeight="1" x14ac:dyDescent="0.25">
      <c r="B9" s="330" t="s">
        <v>371</v>
      </c>
      <c r="C9" s="236" t="s">
        <v>373</v>
      </c>
      <c r="D9" s="331" t="s">
        <v>372</v>
      </c>
      <c r="E9" s="29" t="s">
        <v>374</v>
      </c>
      <c r="F9" s="2" t="s">
        <v>7</v>
      </c>
      <c r="G9" s="186">
        <v>2.63E-2</v>
      </c>
      <c r="H9" s="186">
        <v>0.1845</v>
      </c>
      <c r="I9" s="187">
        <v>45199</v>
      </c>
      <c r="J9" s="187">
        <v>45214</v>
      </c>
      <c r="K9" s="187">
        <v>44378</v>
      </c>
      <c r="L9" s="188" t="s">
        <v>325</v>
      </c>
      <c r="M9" s="70">
        <v>10382.200000000001</v>
      </c>
      <c r="N9" s="70"/>
      <c r="O9" s="67">
        <f>M9+N9</f>
        <v>10382.200000000001</v>
      </c>
      <c r="P9" s="67"/>
      <c r="Q9" s="67">
        <v>10382.200000000001</v>
      </c>
      <c r="R9" s="67"/>
      <c r="S9" s="68">
        <f t="shared" si="1"/>
        <v>10382.200000000001</v>
      </c>
    </row>
    <row r="10" spans="1:20" ht="30" customHeight="1" x14ac:dyDescent="0.25">
      <c r="B10" s="2" t="s">
        <v>223</v>
      </c>
      <c r="C10" s="236" t="s">
        <v>333</v>
      </c>
      <c r="D10" s="93" t="s">
        <v>224</v>
      </c>
      <c r="E10" s="2" t="s">
        <v>225</v>
      </c>
      <c r="F10" s="2" t="s">
        <v>7</v>
      </c>
      <c r="G10" s="186">
        <v>2.63E-2</v>
      </c>
      <c r="H10" s="186">
        <v>0.1845</v>
      </c>
      <c r="I10" s="187">
        <v>44834</v>
      </c>
      <c r="J10" s="187">
        <v>44849</v>
      </c>
      <c r="K10" s="187">
        <v>43614</v>
      </c>
      <c r="L10" s="188" t="s">
        <v>274</v>
      </c>
      <c r="M10" s="65">
        <v>175878.25</v>
      </c>
      <c r="N10" s="67"/>
      <c r="O10" s="67">
        <f t="shared" si="0"/>
        <v>175878.25</v>
      </c>
      <c r="P10" s="67"/>
      <c r="Q10" s="67">
        <v>149801</v>
      </c>
      <c r="R10" s="67"/>
      <c r="S10" s="68">
        <f t="shared" si="1"/>
        <v>149801</v>
      </c>
    </row>
    <row r="11" spans="1:20" ht="30" customHeight="1" x14ac:dyDescent="0.25">
      <c r="B11" s="2" t="s">
        <v>241</v>
      </c>
      <c r="C11" s="236" t="s">
        <v>242</v>
      </c>
      <c r="D11" s="93" t="s">
        <v>164</v>
      </c>
      <c r="E11" s="2" t="s">
        <v>254</v>
      </c>
      <c r="F11" s="2" t="s">
        <v>7</v>
      </c>
      <c r="G11" s="186">
        <v>2.63E-2</v>
      </c>
      <c r="H11" s="186">
        <v>0.1845</v>
      </c>
      <c r="I11" s="187">
        <v>44393</v>
      </c>
      <c r="J11" s="187">
        <v>44408</v>
      </c>
      <c r="K11" s="187">
        <v>42644</v>
      </c>
      <c r="L11" s="188" t="s">
        <v>273</v>
      </c>
      <c r="M11" s="79">
        <v>356894</v>
      </c>
      <c r="N11" s="67"/>
      <c r="O11" s="67">
        <f t="shared" si="0"/>
        <v>356894</v>
      </c>
      <c r="P11" s="67"/>
      <c r="Q11" s="67">
        <v>0</v>
      </c>
      <c r="R11" s="67"/>
      <c r="S11" s="68">
        <f t="shared" si="1"/>
        <v>0</v>
      </c>
    </row>
    <row r="12" spans="1:20" ht="30" customHeight="1" x14ac:dyDescent="0.25">
      <c r="B12" s="2" t="s">
        <v>275</v>
      </c>
      <c r="C12" s="236" t="s">
        <v>333</v>
      </c>
      <c r="D12" s="93" t="s">
        <v>224</v>
      </c>
      <c r="E12" s="2" t="s">
        <v>276</v>
      </c>
      <c r="F12" s="2" t="s">
        <v>7</v>
      </c>
      <c r="G12" s="186">
        <v>2.63E-2</v>
      </c>
      <c r="H12" s="186">
        <v>0.1845</v>
      </c>
      <c r="I12" s="187">
        <v>44773</v>
      </c>
      <c r="J12" s="187">
        <v>44788</v>
      </c>
      <c r="K12" s="187">
        <v>43980</v>
      </c>
      <c r="L12" s="188" t="s">
        <v>277</v>
      </c>
      <c r="M12" s="79">
        <v>7893.65</v>
      </c>
      <c r="N12" s="70"/>
      <c r="O12" s="67">
        <f t="shared" si="0"/>
        <v>7893.65</v>
      </c>
      <c r="P12" s="67"/>
      <c r="Q12" s="67">
        <v>0</v>
      </c>
      <c r="R12" s="67"/>
      <c r="S12" s="68">
        <f t="shared" si="1"/>
        <v>0</v>
      </c>
    </row>
    <row r="13" spans="1:20" ht="30" customHeight="1" x14ac:dyDescent="0.25">
      <c r="B13" s="2" t="s">
        <v>279</v>
      </c>
      <c r="C13" s="236" t="s">
        <v>333</v>
      </c>
      <c r="D13" s="93" t="s">
        <v>224</v>
      </c>
      <c r="E13" s="2" t="s">
        <v>280</v>
      </c>
      <c r="F13" s="2" t="s">
        <v>7</v>
      </c>
      <c r="G13" s="186">
        <v>2.63E-2</v>
      </c>
      <c r="H13" s="186">
        <v>0.1845</v>
      </c>
      <c r="I13" s="187">
        <v>44592</v>
      </c>
      <c r="J13" s="187">
        <v>44592</v>
      </c>
      <c r="K13" s="187">
        <v>43980</v>
      </c>
      <c r="L13" s="188" t="s">
        <v>332</v>
      </c>
      <c r="M13" s="79">
        <v>3000</v>
      </c>
      <c r="N13" s="67"/>
      <c r="O13" s="67">
        <f t="shared" si="0"/>
        <v>3000</v>
      </c>
      <c r="P13" s="66"/>
      <c r="Q13" s="67"/>
      <c r="R13" s="67"/>
      <c r="S13" s="68">
        <f t="shared" si="1"/>
        <v>0</v>
      </c>
    </row>
    <row r="14" spans="1:20" ht="30" customHeight="1" x14ac:dyDescent="0.25">
      <c r="B14" s="2" t="s">
        <v>281</v>
      </c>
      <c r="C14" s="236" t="s">
        <v>334</v>
      </c>
      <c r="D14" s="93" t="s">
        <v>231</v>
      </c>
      <c r="E14" s="2" t="s">
        <v>282</v>
      </c>
      <c r="F14" s="2" t="s">
        <v>7</v>
      </c>
      <c r="G14" s="186">
        <v>2.63E-2</v>
      </c>
      <c r="H14" s="186">
        <v>0.1845</v>
      </c>
      <c r="I14" s="187">
        <v>44742</v>
      </c>
      <c r="J14" s="187">
        <v>44757</v>
      </c>
      <c r="K14" s="187">
        <v>43979</v>
      </c>
      <c r="L14" s="188" t="s">
        <v>283</v>
      </c>
      <c r="M14" s="79">
        <v>1027</v>
      </c>
      <c r="N14" s="67"/>
      <c r="O14" s="67">
        <f t="shared" si="0"/>
        <v>1027</v>
      </c>
      <c r="P14" s="66"/>
      <c r="Q14" s="67">
        <v>1027</v>
      </c>
      <c r="R14" s="67"/>
      <c r="S14" s="68">
        <f t="shared" si="1"/>
        <v>1027</v>
      </c>
    </row>
    <row r="15" spans="1:20" ht="30" customHeight="1" x14ac:dyDescent="0.25">
      <c r="B15" s="2" t="s">
        <v>321</v>
      </c>
      <c r="C15" s="236" t="s">
        <v>333</v>
      </c>
      <c r="D15" s="93" t="s">
        <v>288</v>
      </c>
      <c r="E15" s="2" t="s">
        <v>322</v>
      </c>
      <c r="F15" s="2" t="s">
        <v>7</v>
      </c>
      <c r="G15" s="186">
        <f>G14:H14</f>
        <v>2.63E-2</v>
      </c>
      <c r="H15" s="186">
        <f>H14</f>
        <v>0.1845</v>
      </c>
      <c r="I15" s="187">
        <v>45199</v>
      </c>
      <c r="J15" s="187">
        <v>45214</v>
      </c>
      <c r="K15" s="187">
        <v>44201</v>
      </c>
      <c r="L15" s="188" t="s">
        <v>323</v>
      </c>
      <c r="M15" s="79">
        <v>157787.01</v>
      </c>
      <c r="N15" s="67"/>
      <c r="O15" s="67">
        <f t="shared" si="0"/>
        <v>157787.01</v>
      </c>
      <c r="P15" s="66"/>
      <c r="Q15" s="67"/>
      <c r="R15" s="67"/>
      <c r="S15" s="68">
        <f t="shared" si="1"/>
        <v>0</v>
      </c>
    </row>
    <row r="16" spans="1:20" ht="30" customHeight="1" x14ac:dyDescent="0.25">
      <c r="B16" s="2" t="s">
        <v>324</v>
      </c>
      <c r="C16" s="236" t="s">
        <v>333</v>
      </c>
      <c r="D16" s="93" t="s">
        <v>288</v>
      </c>
      <c r="E16" s="2" t="s">
        <v>329</v>
      </c>
      <c r="F16" s="2" t="s">
        <v>7</v>
      </c>
      <c r="G16" s="186">
        <f>G15:H15</f>
        <v>2.63E-2</v>
      </c>
      <c r="H16" s="186">
        <f>H15</f>
        <v>0.1845</v>
      </c>
      <c r="I16" s="187">
        <v>45199</v>
      </c>
      <c r="J16" s="187">
        <v>45214</v>
      </c>
      <c r="K16" s="187">
        <v>44201</v>
      </c>
      <c r="L16" s="188" t="s">
        <v>325</v>
      </c>
      <c r="M16" s="79">
        <v>11644</v>
      </c>
      <c r="N16" s="67"/>
      <c r="O16" s="67">
        <f t="shared" si="0"/>
        <v>11644</v>
      </c>
      <c r="P16" s="66"/>
      <c r="Q16" s="67"/>
      <c r="R16" s="67"/>
      <c r="S16" s="68">
        <f t="shared" si="1"/>
        <v>0</v>
      </c>
    </row>
    <row r="17" spans="2:19" ht="30" customHeight="1" x14ac:dyDescent="0.25">
      <c r="B17" s="2" t="s">
        <v>326</v>
      </c>
      <c r="C17" s="236" t="s">
        <v>333</v>
      </c>
      <c r="D17" s="93" t="s">
        <v>288</v>
      </c>
      <c r="E17" s="2" t="s">
        <v>330</v>
      </c>
      <c r="F17" s="2" t="s">
        <v>7</v>
      </c>
      <c r="G17" s="186">
        <f>G16:H16</f>
        <v>2.63E-2</v>
      </c>
      <c r="H17" s="186">
        <f>H16</f>
        <v>0.1845</v>
      </c>
      <c r="I17" s="187">
        <v>45199</v>
      </c>
      <c r="J17" s="187">
        <v>45214</v>
      </c>
      <c r="K17" s="187">
        <v>44201</v>
      </c>
      <c r="L17" s="188" t="s">
        <v>323</v>
      </c>
      <c r="M17" s="79">
        <v>41419.089999999997</v>
      </c>
      <c r="N17" s="67"/>
      <c r="O17" s="67">
        <f t="shared" si="0"/>
        <v>41419.089999999997</v>
      </c>
      <c r="P17" s="66"/>
      <c r="Q17" s="67">
        <v>33784</v>
      </c>
      <c r="R17" s="67"/>
      <c r="S17" s="68">
        <f t="shared" si="1"/>
        <v>33784</v>
      </c>
    </row>
    <row r="18" spans="2:19" ht="30" customHeight="1" x14ac:dyDescent="0.25">
      <c r="B18" s="2" t="s">
        <v>370</v>
      </c>
      <c r="C18" s="236" t="s">
        <v>333</v>
      </c>
      <c r="D18" s="93" t="s">
        <v>288</v>
      </c>
      <c r="E18" s="2" t="s">
        <v>331</v>
      </c>
      <c r="F18" s="2" t="s">
        <v>7</v>
      </c>
      <c r="G18" s="186">
        <f>G17:H17</f>
        <v>2.63E-2</v>
      </c>
      <c r="H18" s="186">
        <f>H17</f>
        <v>0.1845</v>
      </c>
      <c r="I18" s="187">
        <v>45199</v>
      </c>
      <c r="J18" s="187">
        <v>45214</v>
      </c>
      <c r="K18" s="187">
        <v>44201</v>
      </c>
      <c r="L18" s="188" t="s">
        <v>325</v>
      </c>
      <c r="M18" s="79">
        <v>196050.36</v>
      </c>
      <c r="N18" s="67"/>
      <c r="O18" s="67">
        <f t="shared" si="0"/>
        <v>196050.36</v>
      </c>
      <c r="P18" s="66"/>
      <c r="Q18" s="67"/>
      <c r="R18" s="67"/>
      <c r="S18" s="68">
        <f t="shared" si="1"/>
        <v>0</v>
      </c>
    </row>
    <row r="19" spans="2:19" ht="30" customHeight="1" x14ac:dyDescent="0.25">
      <c r="B19" s="2" t="s">
        <v>287</v>
      </c>
      <c r="C19" s="236" t="s">
        <v>333</v>
      </c>
      <c r="D19" s="93" t="s">
        <v>288</v>
      </c>
      <c r="E19" s="2" t="s">
        <v>289</v>
      </c>
      <c r="F19" s="2" t="s">
        <v>7</v>
      </c>
      <c r="G19" s="186">
        <v>2.63E-2</v>
      </c>
      <c r="H19" s="186">
        <v>0.1845</v>
      </c>
      <c r="I19" s="187">
        <v>45199</v>
      </c>
      <c r="J19" s="187">
        <v>45199</v>
      </c>
      <c r="K19" s="187">
        <v>44201</v>
      </c>
      <c r="L19" s="188" t="s">
        <v>320</v>
      </c>
      <c r="M19" s="79">
        <v>362910.12</v>
      </c>
      <c r="N19" s="67"/>
      <c r="O19" s="67">
        <f t="shared" si="0"/>
        <v>362910.12</v>
      </c>
      <c r="P19" s="66"/>
      <c r="Q19" s="67">
        <f>181820.98+159783.37</f>
        <v>341604.35</v>
      </c>
      <c r="R19" s="67"/>
      <c r="S19" s="68">
        <f t="shared" si="1"/>
        <v>341604.35</v>
      </c>
    </row>
    <row r="20" spans="2:19" ht="30" customHeight="1" x14ac:dyDescent="0.25">
      <c r="B20" s="2" t="s">
        <v>352</v>
      </c>
      <c r="C20" s="236" t="s">
        <v>353</v>
      </c>
      <c r="D20" s="93" t="s">
        <v>354</v>
      </c>
      <c r="E20" s="2" t="s">
        <v>355</v>
      </c>
      <c r="F20" s="2" t="s">
        <v>7</v>
      </c>
      <c r="G20" s="186">
        <v>2.63E-2</v>
      </c>
      <c r="H20" s="186">
        <v>0.1845</v>
      </c>
      <c r="I20" s="187">
        <v>45565</v>
      </c>
      <c r="J20" s="187">
        <v>45580</v>
      </c>
      <c r="K20" s="187">
        <v>44279</v>
      </c>
      <c r="L20" s="188" t="s">
        <v>356</v>
      </c>
      <c r="M20" s="79">
        <v>1418929.41</v>
      </c>
      <c r="N20" s="67"/>
      <c r="O20" s="67">
        <f t="shared" si="0"/>
        <v>1418929.41</v>
      </c>
      <c r="P20" s="66"/>
      <c r="Q20" s="67"/>
      <c r="R20" s="67"/>
      <c r="S20" s="68">
        <f t="shared" si="1"/>
        <v>0</v>
      </c>
    </row>
    <row r="21" spans="2:19" ht="30" customHeight="1" x14ac:dyDescent="0.25">
      <c r="B21" s="2" t="s">
        <v>357</v>
      </c>
      <c r="C21" s="236" t="s">
        <v>353</v>
      </c>
      <c r="D21" s="93" t="s">
        <v>354</v>
      </c>
      <c r="E21" s="2" t="s">
        <v>358</v>
      </c>
      <c r="F21" s="2" t="s">
        <v>7</v>
      </c>
      <c r="G21" s="186">
        <v>2.63E-2</v>
      </c>
      <c r="H21" s="186">
        <v>0.1845</v>
      </c>
      <c r="I21" s="187">
        <v>45565</v>
      </c>
      <c r="J21" s="187">
        <v>45580</v>
      </c>
      <c r="K21" s="187">
        <v>44279</v>
      </c>
      <c r="L21" s="188" t="s">
        <v>356</v>
      </c>
      <c r="M21" s="79">
        <v>354732.35</v>
      </c>
      <c r="N21" s="67"/>
      <c r="O21" s="67">
        <f t="shared" si="0"/>
        <v>354732.35</v>
      </c>
      <c r="P21" s="66"/>
      <c r="Q21" s="67"/>
      <c r="R21" s="67"/>
      <c r="S21" s="68">
        <f t="shared" si="1"/>
        <v>0</v>
      </c>
    </row>
    <row r="22" spans="2:19" ht="30" customHeight="1" x14ac:dyDescent="0.25">
      <c r="B22" s="2" t="s">
        <v>363</v>
      </c>
      <c r="C22" s="236" t="s">
        <v>333</v>
      </c>
      <c r="D22" s="93" t="s">
        <v>288</v>
      </c>
      <c r="E22" s="2" t="s">
        <v>364</v>
      </c>
      <c r="F22" s="2" t="s">
        <v>7</v>
      </c>
      <c r="G22" s="186">
        <v>2.63E-2</v>
      </c>
      <c r="H22" s="186">
        <v>0.1845</v>
      </c>
      <c r="I22" s="187">
        <v>45199</v>
      </c>
      <c r="J22" s="187">
        <v>45214</v>
      </c>
      <c r="K22" s="187">
        <v>44201</v>
      </c>
      <c r="L22" s="188" t="s">
        <v>365</v>
      </c>
      <c r="M22" s="79">
        <v>3339.73</v>
      </c>
      <c r="N22" s="67"/>
      <c r="O22" s="67">
        <f t="shared" si="0"/>
        <v>3339.73</v>
      </c>
      <c r="P22" s="66"/>
      <c r="Q22" s="67"/>
      <c r="R22" s="67"/>
      <c r="S22" s="68"/>
    </row>
    <row r="23" spans="2:19" ht="30" customHeight="1" x14ac:dyDescent="0.25">
      <c r="B23" s="2" t="s">
        <v>366</v>
      </c>
      <c r="C23" s="236" t="s">
        <v>333</v>
      </c>
      <c r="D23" s="93" t="s">
        <v>367</v>
      </c>
      <c r="E23" s="2" t="s">
        <v>368</v>
      </c>
      <c r="F23" s="2" t="s">
        <v>7</v>
      </c>
      <c r="G23" s="186">
        <v>2.63E-2</v>
      </c>
      <c r="H23" s="186">
        <v>0.1845</v>
      </c>
      <c r="I23" s="187">
        <v>45199</v>
      </c>
      <c r="J23" s="187">
        <v>45214</v>
      </c>
      <c r="K23" s="187">
        <v>44201</v>
      </c>
      <c r="L23" s="188" t="s">
        <v>369</v>
      </c>
      <c r="M23" s="79">
        <v>23145.42</v>
      </c>
      <c r="N23" s="67"/>
      <c r="O23" s="67">
        <f t="shared" si="0"/>
        <v>23145.42</v>
      </c>
      <c r="P23" s="66"/>
      <c r="Q23" s="67"/>
      <c r="R23" s="67"/>
      <c r="S23" s="68"/>
    </row>
    <row r="24" spans="2:19" ht="16.149999999999999" customHeight="1" x14ac:dyDescent="0.25">
      <c r="C24" s="95"/>
      <c r="D24" s="199"/>
      <c r="G24" s="186"/>
      <c r="H24" s="186"/>
      <c r="I24" s="187"/>
      <c r="J24" s="187"/>
      <c r="K24" s="187"/>
      <c r="L24" s="188"/>
      <c r="M24" s="25"/>
      <c r="N24" s="25"/>
      <c r="O24" s="208"/>
      <c r="P24" s="29"/>
      <c r="Q24" s="25"/>
      <c r="R24" s="25"/>
      <c r="S24" s="26"/>
    </row>
    <row r="25" spans="2:19" ht="22.5" customHeight="1" x14ac:dyDescent="0.25">
      <c r="C25" s="92"/>
      <c r="D25" s="92"/>
      <c r="I25" s="116"/>
      <c r="J25" s="116"/>
      <c r="K25" s="116"/>
      <c r="L25" s="5" t="s">
        <v>38</v>
      </c>
      <c r="M25" s="66">
        <f>SUM(M7:M24)</f>
        <v>3624408.84</v>
      </c>
      <c r="N25" s="66">
        <f>SUM(N7:N24)</f>
        <v>30059.3</v>
      </c>
      <c r="O25" s="66">
        <f>SUM(O7:O24)</f>
        <v>3654468.1399999997</v>
      </c>
      <c r="Q25" s="66">
        <f>SUM(Q7:Q24)</f>
        <v>984599.6</v>
      </c>
      <c r="R25" s="66">
        <f>SUM(R7:R24)</f>
        <v>0</v>
      </c>
      <c r="S25" s="23">
        <f>SUM(S7:S24)</f>
        <v>984599.6</v>
      </c>
    </row>
    <row r="26" spans="2:19" x14ac:dyDescent="0.25">
      <c r="C26" s="92"/>
      <c r="D26" s="92"/>
      <c r="L26" s="5"/>
      <c r="M26" s="66"/>
      <c r="N26" s="66"/>
      <c r="O26" s="66"/>
      <c r="Q26" s="66"/>
      <c r="R26" s="66"/>
      <c r="S26" s="68"/>
    </row>
    <row r="27" spans="2:19" x14ac:dyDescent="0.25">
      <c r="C27" s="92"/>
      <c r="D27" s="92"/>
      <c r="L27" s="5"/>
      <c r="M27" s="66"/>
      <c r="N27" s="66"/>
      <c r="O27" s="66"/>
      <c r="Q27" s="66"/>
      <c r="R27" s="66"/>
      <c r="S27" s="68"/>
    </row>
    <row r="28" spans="2:19" ht="33" customHeight="1" x14ac:dyDescent="0.25">
      <c r="B28" s="8" t="s">
        <v>125</v>
      </c>
      <c r="C28" s="92"/>
      <c r="D28" s="92"/>
      <c r="L28" s="5"/>
      <c r="M28" s="66"/>
      <c r="N28" s="66"/>
      <c r="O28" s="66"/>
      <c r="Q28" s="66"/>
      <c r="R28" s="66"/>
      <c r="S28" s="68"/>
    </row>
    <row r="29" spans="2:19" ht="28.5" customHeight="1" x14ac:dyDescent="0.25">
      <c r="B29" s="341" t="s">
        <v>126</v>
      </c>
      <c r="C29" s="341"/>
      <c r="D29" s="341"/>
      <c r="E29" s="341"/>
      <c r="F29" s="341"/>
      <c r="G29" s="117"/>
      <c r="H29" s="117"/>
      <c r="I29" s="111"/>
      <c r="L29" s="5"/>
      <c r="M29" s="66"/>
      <c r="N29" s="66"/>
      <c r="O29" s="66"/>
      <c r="Q29" s="66"/>
      <c r="R29" s="66"/>
      <c r="S29" s="68"/>
    </row>
    <row r="30" spans="2:19" x14ac:dyDescent="0.25">
      <c r="C30" s="92"/>
      <c r="D30" s="92"/>
      <c r="L30" s="5"/>
      <c r="M30" s="66"/>
      <c r="N30" s="66"/>
      <c r="O30" s="66"/>
      <c r="Q30" s="66"/>
      <c r="R30" s="66"/>
      <c r="S30" s="68"/>
    </row>
    <row r="31" spans="2:19" ht="44.25" customHeight="1" x14ac:dyDescent="0.25">
      <c r="B31" s="341" t="s">
        <v>129</v>
      </c>
      <c r="C31" s="341"/>
      <c r="D31" s="341"/>
      <c r="E31" s="341"/>
      <c r="F31" s="341"/>
      <c r="G31" s="117"/>
      <c r="H31" s="117"/>
      <c r="I31" s="111"/>
      <c r="L31" s="5"/>
      <c r="M31" s="66"/>
      <c r="N31" s="66"/>
      <c r="O31" s="66"/>
      <c r="Q31" s="66"/>
      <c r="R31" s="66"/>
      <c r="S31" s="68"/>
    </row>
    <row r="32" spans="2:19" x14ac:dyDescent="0.25">
      <c r="B32" s="108"/>
      <c r="C32" s="108"/>
      <c r="D32" s="108"/>
      <c r="E32" s="108"/>
      <c r="F32" s="108"/>
      <c r="G32" s="117"/>
      <c r="H32" s="117"/>
      <c r="I32" s="111"/>
      <c r="L32" s="5"/>
      <c r="M32" s="66"/>
      <c r="N32" s="66"/>
      <c r="O32" s="66"/>
      <c r="Q32" s="66"/>
      <c r="R32" s="66"/>
      <c r="S32" s="68"/>
    </row>
    <row r="33" spans="2:19" ht="29.25" customHeight="1" x14ac:dyDescent="0.25">
      <c r="B33" s="341" t="s">
        <v>160</v>
      </c>
      <c r="C33" s="341"/>
      <c r="D33" s="341"/>
      <c r="E33" s="341"/>
      <c r="F33" s="341"/>
      <c r="G33" s="193"/>
      <c r="H33" s="193"/>
      <c r="I33" s="193"/>
      <c r="L33" s="5"/>
      <c r="M33" s="66"/>
      <c r="N33" s="66"/>
      <c r="O33" s="66"/>
      <c r="Q33" s="66"/>
      <c r="R33" s="66"/>
      <c r="S33" s="68"/>
    </row>
    <row r="34" spans="2:19" ht="15" customHeight="1" x14ac:dyDescent="0.25">
      <c r="B34" s="347" t="s">
        <v>159</v>
      </c>
      <c r="C34" s="341"/>
      <c r="D34" s="341"/>
      <c r="E34" s="341"/>
      <c r="F34" s="341"/>
      <c r="G34" s="193"/>
      <c r="H34" s="193"/>
      <c r="I34" s="193"/>
      <c r="L34" s="5"/>
      <c r="M34" s="66"/>
      <c r="N34" s="66"/>
      <c r="O34" s="66"/>
      <c r="Q34" s="66"/>
      <c r="R34" s="66"/>
      <c r="S34" s="68"/>
    </row>
    <row r="35" spans="2:19" ht="15" customHeight="1" x14ac:dyDescent="0.25">
      <c r="B35" s="195"/>
      <c r="C35" s="195"/>
      <c r="D35" s="195"/>
      <c r="E35" s="195"/>
      <c r="F35" s="195"/>
      <c r="G35" s="195"/>
      <c r="H35" s="195"/>
      <c r="I35" s="195"/>
      <c r="L35" s="5"/>
      <c r="M35" s="66"/>
      <c r="N35" s="66"/>
      <c r="O35" s="66"/>
      <c r="Q35" s="66"/>
      <c r="R35" s="66"/>
      <c r="S35" s="68"/>
    </row>
    <row r="36" spans="2:19" x14ac:dyDescent="0.25">
      <c r="B36" s="7" t="s">
        <v>109</v>
      </c>
      <c r="C36" s="101" t="s">
        <v>112</v>
      </c>
      <c r="D36" s="101" t="s">
        <v>113</v>
      </c>
      <c r="E36" s="108"/>
      <c r="F36" s="108"/>
      <c r="G36" s="117"/>
      <c r="H36" s="117"/>
      <c r="I36" s="111"/>
      <c r="L36" s="5"/>
      <c r="M36" s="66"/>
      <c r="N36" s="66"/>
      <c r="O36" s="66"/>
      <c r="Q36" s="66"/>
      <c r="R36" s="66"/>
      <c r="S36" s="68"/>
    </row>
    <row r="37" spans="2:19" x14ac:dyDescent="0.25">
      <c r="B37" s="2" t="s">
        <v>110</v>
      </c>
      <c r="C37" s="92" t="s">
        <v>327</v>
      </c>
      <c r="D37" s="92" t="s">
        <v>118</v>
      </c>
      <c r="E37" s="108"/>
      <c r="F37" s="108"/>
      <c r="G37" s="117"/>
      <c r="H37" s="117"/>
      <c r="I37" s="111"/>
      <c r="L37" s="5"/>
      <c r="M37" s="66"/>
      <c r="N37" s="66"/>
      <c r="O37" s="66"/>
      <c r="Q37" s="66"/>
      <c r="R37" s="66"/>
      <c r="S37" s="68"/>
    </row>
    <row r="38" spans="2:19" x14ac:dyDescent="0.25">
      <c r="B38" s="2" t="s">
        <v>230</v>
      </c>
      <c r="C38" s="92" t="s">
        <v>135</v>
      </c>
      <c r="D38" s="92" t="s">
        <v>147</v>
      </c>
      <c r="L38" s="5"/>
      <c r="M38" s="66"/>
      <c r="N38" s="66"/>
      <c r="O38" s="66"/>
      <c r="Q38" s="66"/>
      <c r="R38" s="66"/>
      <c r="S38" s="68"/>
    </row>
    <row r="39" spans="2:19" x14ac:dyDescent="0.25">
      <c r="B39" s="2" t="s">
        <v>240</v>
      </c>
      <c r="C39" s="92" t="s">
        <v>135</v>
      </c>
      <c r="D39" s="92" t="s">
        <v>147</v>
      </c>
      <c r="L39" s="5"/>
      <c r="M39" s="66"/>
      <c r="N39" s="66"/>
      <c r="O39" s="66"/>
      <c r="Q39" s="66"/>
      <c r="R39" s="66"/>
      <c r="S39" s="68"/>
    </row>
    <row r="40" spans="2:19" x14ac:dyDescent="0.25">
      <c r="B40" s="2" t="s">
        <v>275</v>
      </c>
      <c r="C40" s="92" t="s">
        <v>135</v>
      </c>
      <c r="D40" s="92" t="s">
        <v>147</v>
      </c>
      <c r="L40" s="5"/>
      <c r="M40" s="66"/>
      <c r="N40" s="66"/>
      <c r="O40" s="66"/>
      <c r="Q40" s="66"/>
      <c r="R40" s="66"/>
      <c r="S40" s="68"/>
    </row>
    <row r="41" spans="2:19" x14ac:dyDescent="0.25">
      <c r="B41" s="2" t="s">
        <v>279</v>
      </c>
      <c r="C41" s="92" t="s">
        <v>135</v>
      </c>
      <c r="D41" s="92" t="s">
        <v>147</v>
      </c>
      <c r="L41" s="5"/>
      <c r="M41" s="66"/>
      <c r="N41" s="66"/>
      <c r="O41" s="66"/>
      <c r="Q41" s="66"/>
      <c r="R41" s="66"/>
      <c r="S41" s="68"/>
    </row>
    <row r="42" spans="2:19" x14ac:dyDescent="0.25">
      <c r="B42" s="2" t="s">
        <v>281</v>
      </c>
      <c r="C42" s="92" t="s">
        <v>135</v>
      </c>
      <c r="D42" s="92" t="s">
        <v>147</v>
      </c>
      <c r="L42" s="5"/>
      <c r="M42" s="66"/>
      <c r="N42" s="66"/>
      <c r="O42" s="66"/>
      <c r="Q42" s="66"/>
      <c r="R42" s="66"/>
      <c r="S42" s="68"/>
    </row>
    <row r="43" spans="2:19" x14ac:dyDescent="0.25">
      <c r="B43" s="2" t="s">
        <v>286</v>
      </c>
      <c r="C43" s="92" t="s">
        <v>135</v>
      </c>
      <c r="D43" s="92" t="s">
        <v>147</v>
      </c>
      <c r="L43" s="5"/>
      <c r="M43" s="66"/>
      <c r="N43" s="66"/>
      <c r="O43" s="66"/>
      <c r="Q43" s="66"/>
      <c r="R43" s="66"/>
      <c r="S43" s="68"/>
    </row>
    <row r="44" spans="2:19" x14ac:dyDescent="0.25">
      <c r="C44" s="92"/>
      <c r="D44" s="92"/>
      <c r="L44" s="5"/>
      <c r="M44" s="66"/>
      <c r="N44" s="66"/>
      <c r="O44" s="66"/>
      <c r="Q44" s="66"/>
      <c r="R44" s="66"/>
      <c r="S44" s="68"/>
    </row>
    <row r="45" spans="2:19" x14ac:dyDescent="0.25">
      <c r="B45" s="258" t="s">
        <v>298</v>
      </c>
      <c r="C45" s="92"/>
      <c r="D45" s="92"/>
      <c r="L45" s="5"/>
      <c r="M45" s="66"/>
      <c r="N45" s="66"/>
      <c r="O45" s="66"/>
      <c r="Q45" s="66"/>
      <c r="R45" s="66"/>
      <c r="S45" s="68"/>
    </row>
    <row r="46" spans="2:19" x14ac:dyDescent="0.25">
      <c r="B46" s="336" t="s">
        <v>299</v>
      </c>
      <c r="C46" s="336"/>
      <c r="D46" s="336"/>
      <c r="E46" s="336"/>
      <c r="F46" s="336"/>
      <c r="G46" s="336"/>
      <c r="H46" s="336"/>
      <c r="L46" s="5"/>
      <c r="M46" s="66"/>
      <c r="N46" s="66"/>
      <c r="O46" s="66"/>
      <c r="Q46" s="66"/>
      <c r="R46" s="66"/>
      <c r="S46" s="68"/>
    </row>
    <row r="47" spans="2:19" x14ac:dyDescent="0.25">
      <c r="B47" s="10"/>
      <c r="C47" s="94"/>
      <c r="D47" s="94"/>
      <c r="E47" s="10"/>
      <c r="F47" s="10"/>
      <c r="G47" s="10"/>
      <c r="H47" s="10"/>
      <c r="I47" s="10"/>
      <c r="J47" s="10"/>
      <c r="K47" s="10"/>
      <c r="L47" s="10"/>
      <c r="M47" s="10"/>
      <c r="N47" s="29"/>
      <c r="O47" s="29"/>
      <c r="P47" s="29"/>
      <c r="Q47" s="29"/>
      <c r="R47" s="29"/>
      <c r="S47" s="27"/>
    </row>
    <row r="48" spans="2:19" ht="15" customHeight="1" x14ac:dyDescent="0.25">
      <c r="N48" s="109"/>
      <c r="O48" s="109"/>
      <c r="P48" s="109"/>
      <c r="Q48" s="166" t="s">
        <v>90</v>
      </c>
      <c r="R48" s="163"/>
      <c r="S48" s="164"/>
    </row>
    <row r="49" spans="2:20" ht="15" customHeight="1" x14ac:dyDescent="0.25">
      <c r="B49" s="17" t="s">
        <v>39</v>
      </c>
      <c r="C49" s="96" t="s">
        <v>2</v>
      </c>
      <c r="D49" s="96"/>
      <c r="E49" s="96" t="s">
        <v>34</v>
      </c>
      <c r="F49" s="96" t="s">
        <v>35</v>
      </c>
      <c r="G49" s="120"/>
      <c r="H49" s="120"/>
      <c r="I49" s="114"/>
      <c r="J49" s="96"/>
      <c r="K49" s="96"/>
      <c r="L49" s="96" t="s">
        <v>36</v>
      </c>
      <c r="M49" s="96" t="s">
        <v>37</v>
      </c>
      <c r="N49" s="47"/>
      <c r="O49" s="47"/>
      <c r="P49" s="47"/>
      <c r="Q49" s="54" t="s">
        <v>88</v>
      </c>
      <c r="R49" s="52"/>
      <c r="S49" s="53"/>
      <c r="T49" s="51"/>
    </row>
    <row r="50" spans="2:20" ht="15" customHeight="1" x14ac:dyDescent="0.25">
      <c r="B50" s="63"/>
      <c r="C50" s="9"/>
      <c r="D50" s="9"/>
      <c r="E50" s="9"/>
      <c r="F50" s="9"/>
      <c r="G50" s="9"/>
      <c r="H50" s="9"/>
      <c r="I50" s="9"/>
      <c r="J50" s="9"/>
      <c r="K50" s="9"/>
      <c r="L50" s="9"/>
      <c r="M50" s="9"/>
      <c r="N50" s="45"/>
      <c r="O50" s="45"/>
      <c r="P50" s="45"/>
      <c r="Q50" s="59"/>
      <c r="R50" s="50"/>
      <c r="S50" s="50"/>
      <c r="T50" s="51"/>
    </row>
    <row r="51" spans="2:20" x14ac:dyDescent="0.25">
      <c r="B51" s="63"/>
      <c r="C51" s="9"/>
      <c r="D51" s="9"/>
      <c r="E51" s="9"/>
      <c r="F51" s="9"/>
      <c r="G51" s="9"/>
      <c r="H51" s="9"/>
      <c r="I51" s="9"/>
      <c r="J51" s="9"/>
      <c r="K51" s="9"/>
      <c r="L51" s="9"/>
      <c r="M51" s="9"/>
      <c r="N51" s="45"/>
      <c r="O51" s="45"/>
      <c r="P51" s="45"/>
      <c r="R51" s="51"/>
      <c r="S51" s="51"/>
      <c r="T51" s="51"/>
    </row>
    <row r="52" spans="2:20" x14ac:dyDescent="0.25">
      <c r="B52" s="63"/>
      <c r="C52" s="148"/>
      <c r="D52" s="148"/>
      <c r="E52" s="148"/>
      <c r="F52" s="148"/>
      <c r="G52" s="148"/>
      <c r="H52" s="148"/>
      <c r="I52" s="148"/>
      <c r="J52" s="148"/>
      <c r="K52" s="148"/>
      <c r="L52" s="148"/>
      <c r="M52" s="148"/>
      <c r="N52" s="45"/>
      <c r="O52" s="45"/>
      <c r="P52" s="45"/>
      <c r="R52" s="51"/>
      <c r="S52" s="51"/>
      <c r="T52" s="51"/>
    </row>
    <row r="53" spans="2:20" x14ac:dyDescent="0.25">
      <c r="B53" s="63"/>
      <c r="C53" s="148"/>
      <c r="D53" s="148"/>
      <c r="E53" s="148"/>
      <c r="F53" s="148"/>
      <c r="G53" s="148"/>
      <c r="H53" s="148"/>
      <c r="I53" s="148"/>
      <c r="J53" s="148"/>
      <c r="K53" s="148"/>
      <c r="L53" s="148"/>
      <c r="M53" s="148"/>
      <c r="N53" s="45"/>
      <c r="O53" s="45"/>
      <c r="P53" s="45"/>
      <c r="R53" s="51"/>
      <c r="S53" s="51"/>
      <c r="T53" s="51"/>
    </row>
    <row r="54" spans="2:20" x14ac:dyDescent="0.25">
      <c r="B54" s="63"/>
      <c r="C54" s="148"/>
      <c r="D54" s="148"/>
      <c r="E54" s="148"/>
      <c r="F54" s="148"/>
      <c r="G54" s="148"/>
      <c r="H54" s="148"/>
      <c r="I54" s="148"/>
      <c r="J54" s="148"/>
      <c r="K54" s="148"/>
      <c r="L54" s="148"/>
      <c r="M54" s="148"/>
      <c r="N54" s="45"/>
      <c r="O54" s="45"/>
      <c r="P54" s="45"/>
      <c r="R54" s="51"/>
      <c r="S54" s="51"/>
      <c r="T54" s="51"/>
    </row>
    <row r="55" spans="2:20" x14ac:dyDescent="0.25">
      <c r="C55" s="40"/>
      <c r="D55" s="40"/>
      <c r="E55" s="41"/>
      <c r="F55" s="69"/>
      <c r="G55" s="69"/>
      <c r="H55" s="69"/>
      <c r="I55" s="69"/>
      <c r="J55" s="69"/>
      <c r="K55" s="69"/>
      <c r="L55" s="33"/>
      <c r="M55" s="31"/>
      <c r="N55" s="105"/>
      <c r="Q55" s="309" t="s">
        <v>316</v>
      </c>
      <c r="R55" s="309"/>
      <c r="S55" s="311">
        <f>S25</f>
        <v>984599.6</v>
      </c>
    </row>
    <row r="56" spans="2:20" x14ac:dyDescent="0.25">
      <c r="C56" s="40"/>
      <c r="D56" s="40"/>
      <c r="E56" s="41"/>
      <c r="F56" s="69"/>
      <c r="G56" s="69"/>
      <c r="H56" s="69"/>
      <c r="I56" s="69"/>
      <c r="J56" s="69"/>
      <c r="K56" s="69"/>
      <c r="L56" s="33"/>
      <c r="M56" s="35"/>
      <c r="N56" s="37"/>
      <c r="O56" s="37"/>
      <c r="P56" s="29"/>
    </row>
    <row r="57" spans="2:20" ht="15" customHeight="1" x14ac:dyDescent="0.25">
      <c r="B57" s="36"/>
      <c r="C57" s="40"/>
      <c r="D57" s="40"/>
      <c r="E57" s="41"/>
      <c r="F57" s="38"/>
      <c r="G57" s="38"/>
      <c r="H57" s="38"/>
      <c r="I57" s="38"/>
      <c r="J57" s="38"/>
      <c r="K57" s="38"/>
      <c r="L57" s="33"/>
      <c r="M57" s="31"/>
      <c r="N57" s="99"/>
      <c r="O57" s="99"/>
      <c r="P57" s="29"/>
    </row>
    <row r="58" spans="2:20" x14ac:dyDescent="0.25">
      <c r="B58" s="36"/>
      <c r="C58" s="40"/>
      <c r="D58" s="40"/>
      <c r="E58" s="41"/>
      <c r="F58" s="38"/>
      <c r="G58" s="38"/>
      <c r="H58" s="38"/>
      <c r="I58" s="38"/>
      <c r="J58" s="38"/>
      <c r="K58" s="38"/>
      <c r="L58" s="33"/>
      <c r="M58" s="31"/>
      <c r="N58" s="99"/>
      <c r="O58" s="99"/>
      <c r="P58" s="29"/>
    </row>
    <row r="59" spans="2:20" x14ac:dyDescent="0.25">
      <c r="B59" s="36"/>
      <c r="C59" s="40"/>
      <c r="D59" s="40"/>
      <c r="E59" s="41"/>
      <c r="F59" s="38"/>
      <c r="G59" s="38"/>
      <c r="H59" s="38"/>
      <c r="I59" s="38"/>
      <c r="J59" s="38"/>
      <c r="K59" s="38"/>
      <c r="L59" s="33"/>
      <c r="M59" s="31"/>
      <c r="N59" s="99"/>
      <c r="O59" s="99"/>
      <c r="P59" s="29"/>
    </row>
    <row r="60" spans="2:20" ht="16.5" customHeight="1" x14ac:dyDescent="0.25">
      <c r="B60" s="36"/>
      <c r="C60" s="40"/>
      <c r="D60" s="40"/>
      <c r="E60" s="41"/>
      <c r="F60" s="38"/>
      <c r="G60" s="38"/>
      <c r="H60" s="38"/>
      <c r="I60" s="38"/>
      <c r="J60" s="38"/>
      <c r="K60" s="38"/>
      <c r="L60" s="39"/>
      <c r="M60" s="20"/>
      <c r="N60" s="99"/>
      <c r="O60" s="99"/>
      <c r="P60" s="29"/>
    </row>
    <row r="61" spans="2:20" ht="15" hidden="1" customHeight="1" x14ac:dyDescent="0.25"/>
    <row r="62" spans="2:20" ht="15" customHeight="1" x14ac:dyDescent="0.25">
      <c r="E62" s="21"/>
      <c r="F62" s="102"/>
      <c r="G62" s="102"/>
      <c r="H62" s="102"/>
      <c r="I62" s="102"/>
      <c r="J62" s="102"/>
      <c r="K62" s="102"/>
    </row>
    <row r="65" ht="15" customHeight="1" x14ac:dyDescent="0.25"/>
  </sheetData>
  <mergeCells count="7">
    <mergeCell ref="B46:H46"/>
    <mergeCell ref="B34:F34"/>
    <mergeCell ref="Q2:S2"/>
    <mergeCell ref="Q1:S1"/>
    <mergeCell ref="B29:F29"/>
    <mergeCell ref="B31:F31"/>
    <mergeCell ref="B33:F33"/>
  </mergeCells>
  <hyperlinks>
    <hyperlink ref="B34" r:id="rId1"/>
  </hyperlinks>
  <printOptions horizontalCentered="1" gridLines="1"/>
  <pageMargins left="0" right="0" top="0.75" bottom="0.75" header="0.3" footer="0.3"/>
  <pageSetup scale="51" orientation="landscape"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53</vt:i4>
      </vt:variant>
      <vt:variant>
        <vt:lpstr>Named Ranges</vt:lpstr>
      </vt:variant>
      <vt:variant>
        <vt:i4>52</vt:i4>
      </vt:variant>
    </vt:vector>
  </HeadingPairs>
  <TitlesOfParts>
    <vt:vector size="105" baseType="lpstr">
      <vt:lpstr>Consolidated</vt:lpstr>
      <vt:lpstr>#0664 Academy Positive Learning</vt:lpstr>
      <vt:lpstr>#1461 Inlet Grove Comm. HS </vt:lpstr>
      <vt:lpstr>#1571 South Tech Charter Acad</vt:lpstr>
      <vt:lpstr>#1571 South Tech Academy</vt:lpstr>
      <vt:lpstr>#2521 Ed Venture </vt:lpstr>
      <vt:lpstr>#2531 Potentials </vt:lpstr>
      <vt:lpstr>#2791 The Learning Center @ Els</vt:lpstr>
      <vt:lpstr>#2801 Palm Beach Maritime Acad </vt:lpstr>
      <vt:lpstr>#2911 Western Academy</vt:lpstr>
      <vt:lpstr>#2941 Palm Beach School Autism </vt:lpstr>
      <vt:lpstr>#3083 The Learning Acad @ Els </vt:lpstr>
      <vt:lpstr>#3345 Gulfstream Goodwill Life </vt:lpstr>
      <vt:lpstr>#3381 Imagine Schools </vt:lpstr>
      <vt:lpstr>#3382 Glades Academy </vt:lpstr>
      <vt:lpstr>#3385 Bright Futures Academy </vt:lpstr>
      <vt:lpstr>#3386 Toussaint L'Ouverture </vt:lpstr>
      <vt:lpstr>#3391 Seagull Academy Ind. Liv</vt:lpstr>
      <vt:lpstr>#3394 Montessori Acad Early  </vt:lpstr>
      <vt:lpstr>#3395 Somerset Academy JFK </vt:lpstr>
      <vt:lpstr>#3396 G-Star of the Arts </vt:lpstr>
      <vt:lpstr>#3398 Everglades Preparatory </vt:lpstr>
      <vt:lpstr>#3400 Believers Academy </vt:lpstr>
      <vt:lpstr>#3401 Quantum High School </vt:lpstr>
      <vt:lpstr>#3413 Somerset Acad Boca East</vt:lpstr>
      <vt:lpstr>#3421 Worthington High School</vt:lpstr>
      <vt:lpstr> #3431 Renaissance CS @ WPB</vt:lpstr>
      <vt:lpstr>#3441 South Tech Preparatory A </vt:lpstr>
      <vt:lpstr>#3924 PB Maritime Academy HS </vt:lpstr>
      <vt:lpstr>#3941 Ben Gamla </vt:lpstr>
      <vt:lpstr>#3961 Gardens Schl Tech Arts</vt:lpstr>
      <vt:lpstr>#3971 Palm Beach Preparatory  </vt:lpstr>
      <vt:lpstr>#4000 Palms West Charter School</vt:lpstr>
      <vt:lpstr>#4001 Renaissance CS @ Welling </vt:lpstr>
      <vt:lpstr>#4002 Renaissance CS @ Summit </vt:lpstr>
      <vt:lpstr>#4012 Somerset Canyons Middle  </vt:lpstr>
      <vt:lpstr>#4013 Somerset Acad Canyons HS </vt:lpstr>
      <vt:lpstr>#4020 Franklin Academy "B" </vt:lpstr>
      <vt:lpstr>#4030 Olympus International Aca</vt:lpstr>
      <vt:lpstr>#4031 Somerset Academy Wellingt</vt:lpstr>
      <vt:lpstr>#4041 Somerset Acad Boca Middle</vt:lpstr>
      <vt:lpstr>#4050 Renaissance CS @ Cypress</vt:lpstr>
      <vt:lpstr>#4051 Renaissance CS @ Central </vt:lpstr>
      <vt:lpstr>#4061 Franklin Academy - PBG</vt:lpstr>
      <vt:lpstr>#4080 University Prep Academy</vt:lpstr>
      <vt:lpstr>#4081 Florida Futures Academy N</vt:lpstr>
      <vt:lpstr>#4090 Sprts Leadership Mgmt</vt:lpstr>
      <vt:lpstr>#4091 Somerset Acad Lakes</vt:lpstr>
      <vt:lpstr>#4100 ConnectionsEd.CenterPB</vt:lpstr>
      <vt:lpstr>#4102 Bridge Prep Academy</vt:lpstr>
      <vt:lpstr>#4103 SLAM Boca MiddleHigh</vt:lpstr>
      <vt:lpstr>#4111 SLAM Academy High School</vt:lpstr>
      <vt:lpstr>#4121 South Tech Success</vt:lpstr>
      <vt:lpstr>' #3431 Renaissance CS @ WPB'!Print_Area</vt:lpstr>
      <vt:lpstr>'#0664 Academy Positive Learning'!Print_Area</vt:lpstr>
      <vt:lpstr>'#1461 Inlet Grove Comm. HS '!Print_Area</vt:lpstr>
      <vt:lpstr>'#1571 South Tech Academy'!Print_Area</vt:lpstr>
      <vt:lpstr>'#1571 South Tech Charter Acad'!Print_Area</vt:lpstr>
      <vt:lpstr>'#2521 Ed Venture '!Print_Area</vt:lpstr>
      <vt:lpstr>'#2531 Potentials '!Print_Area</vt:lpstr>
      <vt:lpstr>'#2791 The Learning Center @ Els'!Print_Area</vt:lpstr>
      <vt:lpstr>'#2801 Palm Beach Maritime Acad '!Print_Area</vt:lpstr>
      <vt:lpstr>'#2911 Western Academy'!Print_Area</vt:lpstr>
      <vt:lpstr>'#2941 Palm Beach School Autism '!Print_Area</vt:lpstr>
      <vt:lpstr>'#3083 The Learning Acad @ Els '!Print_Area</vt:lpstr>
      <vt:lpstr>'#3345 Gulfstream Goodwill Life '!Print_Area</vt:lpstr>
      <vt:lpstr>'#3381 Imagine Schools '!Print_Area</vt:lpstr>
      <vt:lpstr>'#3382 Glades Academy '!Print_Area</vt:lpstr>
      <vt:lpstr>'#3385 Bright Futures Academy '!Print_Area</vt:lpstr>
      <vt:lpstr>'#3386 Toussaint L''Ouverture '!Print_Area</vt:lpstr>
      <vt:lpstr>'#3391 Seagull Academy Ind. Liv'!Print_Area</vt:lpstr>
      <vt:lpstr>'#3394 Montessori Acad Early  '!Print_Area</vt:lpstr>
      <vt:lpstr>'#3395 Somerset Academy JFK '!Print_Area</vt:lpstr>
      <vt:lpstr>'#3396 G-Star of the Arts '!Print_Area</vt:lpstr>
      <vt:lpstr>'#3398 Everglades Preparatory '!Print_Area</vt:lpstr>
      <vt:lpstr>'#3400 Believers Academy '!Print_Area</vt:lpstr>
      <vt:lpstr>'#3401 Quantum High School '!Print_Area</vt:lpstr>
      <vt:lpstr>'#3413 Somerset Acad Boca East'!Print_Area</vt:lpstr>
      <vt:lpstr>'#3421 Worthington High School'!Print_Area</vt:lpstr>
      <vt:lpstr>'#3441 South Tech Preparatory A '!Print_Area</vt:lpstr>
      <vt:lpstr>'#3924 PB Maritime Academy HS '!Print_Area</vt:lpstr>
      <vt:lpstr>'#3941 Ben Gamla '!Print_Area</vt:lpstr>
      <vt:lpstr>'#3961 Gardens Schl Tech Arts'!Print_Area</vt:lpstr>
      <vt:lpstr>'#3971 Palm Beach Preparatory  '!Print_Area</vt:lpstr>
      <vt:lpstr>'#4000 Palms West Charter School'!Print_Area</vt:lpstr>
      <vt:lpstr>'#4001 Renaissance CS @ Welling '!Print_Area</vt:lpstr>
      <vt:lpstr>'#4002 Renaissance CS @ Summit '!Print_Area</vt:lpstr>
      <vt:lpstr>'#4012 Somerset Canyons Middle  '!Print_Area</vt:lpstr>
      <vt:lpstr>'#4013 Somerset Acad Canyons HS '!Print_Area</vt:lpstr>
      <vt:lpstr>'#4020 Franklin Academy "B" '!Print_Area</vt:lpstr>
      <vt:lpstr>'#4030 Olympus International Aca'!Print_Area</vt:lpstr>
      <vt:lpstr>'#4031 Somerset Academy Wellingt'!Print_Area</vt:lpstr>
      <vt:lpstr>'#4041 Somerset Acad Boca Middle'!Print_Area</vt:lpstr>
      <vt:lpstr>'#4050 Renaissance CS @ Cypress'!Print_Area</vt:lpstr>
      <vt:lpstr>'#4051 Renaissance CS @ Central '!Print_Area</vt:lpstr>
      <vt:lpstr>'#4061 Franklin Academy - PBG'!Print_Area</vt:lpstr>
      <vt:lpstr>'#4080 University Prep Academy'!Print_Area</vt:lpstr>
      <vt:lpstr>'#4081 Florida Futures Academy N'!Print_Area</vt:lpstr>
      <vt:lpstr>'#4090 Sprts Leadership Mgmt'!Print_Area</vt:lpstr>
      <vt:lpstr>'#4091 Somerset Acad Lakes'!Print_Area</vt:lpstr>
      <vt:lpstr>'#4100 ConnectionsEd.CenterPB'!Print_Area</vt:lpstr>
      <vt:lpstr>'#4102 Bridge Prep Academy'!Print_Area</vt:lpstr>
      <vt:lpstr>'#4103 SLAM Boca MiddleHigh'!Print_Area</vt:lpstr>
      <vt:lpstr>'#4111 SLAM Academy High School'!Print_Area</vt:lpstr>
      <vt:lpstr>'#4121 South Tech Success'!Print_Area</vt:lpstr>
    </vt:vector>
  </TitlesOfParts>
  <Company>School District Of Palm Beach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kovners</dc:creator>
  <cp:lastModifiedBy>Richard Oglenski</cp:lastModifiedBy>
  <cp:lastPrinted>2019-07-10T18:56:18Z</cp:lastPrinted>
  <dcterms:created xsi:type="dcterms:W3CDTF">2009-12-03T15:07:28Z</dcterms:created>
  <dcterms:modified xsi:type="dcterms:W3CDTF">2022-08-31T15:41:20Z</dcterms:modified>
</cp:coreProperties>
</file>