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Charter Schools\!!FEFP\FY 22 - FEFP Funding\!Payments 2021-22\2022-Final Pmt\"/>
    </mc:Choice>
  </mc:AlternateContent>
  <bookViews>
    <workbookView xWindow="32760" yWindow="32760" windowWidth="32760" windowHeight="17145" tabRatio="759"/>
  </bookViews>
  <sheets>
    <sheet name="Net Payment" sheetId="64" r:id="rId1"/>
    <sheet name="Charter Schools" sheetId="65" r:id="rId2"/>
    <sheet name="Consolidated" sheetId="60" r:id="rId3"/>
    <sheet name="0664" sheetId="7" r:id="rId4"/>
    <sheet name="1461" sheetId="15" r:id="rId5"/>
    <sheet name="1571" sheetId="16" r:id="rId6"/>
    <sheet name="2521" sheetId="17" r:id="rId7"/>
    <sheet name="2531" sheetId="18" r:id="rId8"/>
    <sheet name="2791" sheetId="20" r:id="rId9"/>
    <sheet name="2801" sheetId="21" r:id="rId10"/>
    <sheet name="2911" sheetId="25" r:id="rId11"/>
    <sheet name="2941" sheetId="24" r:id="rId12"/>
    <sheet name="3083" sheetId="22" r:id="rId13"/>
    <sheet name="3345" sheetId="26" r:id="rId14"/>
    <sheet name="3381" sheetId="27" r:id="rId15"/>
    <sheet name="3382" sheetId="28" r:id="rId16"/>
    <sheet name="3385" sheetId="29" r:id="rId17"/>
    <sheet name="3386" sheetId="30" r:id="rId18"/>
    <sheet name="3391" sheetId="31" r:id="rId19"/>
    <sheet name="3394" sheetId="32" r:id="rId20"/>
    <sheet name="3395" sheetId="33" r:id="rId21"/>
    <sheet name="3396" sheetId="34" r:id="rId22"/>
    <sheet name="3398" sheetId="35" r:id="rId23"/>
    <sheet name="3400" sheetId="23" r:id="rId24"/>
    <sheet name="3401" sheetId="36" r:id="rId25"/>
    <sheet name="3413" sheetId="37" r:id="rId26"/>
    <sheet name="3421" sheetId="38" r:id="rId27"/>
    <sheet name="3431" sheetId="39" r:id="rId28"/>
    <sheet name="3441" sheetId="40" r:id="rId29"/>
    <sheet name="3924" sheetId="42" r:id="rId30"/>
    <sheet name="3941" sheetId="43" r:id="rId31"/>
    <sheet name="3961" sheetId="44" r:id="rId32"/>
    <sheet name="3971" sheetId="45" r:id="rId33"/>
    <sheet name="4001" sheetId="47" r:id="rId34"/>
    <sheet name="4002" sheetId="48" r:id="rId35"/>
    <sheet name="4012" sheetId="50" r:id="rId36"/>
    <sheet name="4013" sheetId="51" r:id="rId37"/>
    <sheet name="4020" sheetId="52" r:id="rId38"/>
    <sheet name="4030" sheetId="75" r:id="rId39"/>
    <sheet name="4031" sheetId="76" r:id="rId40"/>
    <sheet name="4041" sheetId="55" r:id="rId41"/>
    <sheet name="4050" sheetId="56" r:id="rId42"/>
    <sheet name="4051" sheetId="57" r:id="rId43"/>
    <sheet name="4061" sheetId="58" r:id="rId44"/>
    <sheet name="4080" sheetId="66" r:id="rId45"/>
    <sheet name="4081" sheetId="67" r:id="rId46"/>
    <sheet name="4090" sheetId="69" r:id="rId47"/>
    <sheet name="4091" sheetId="70" r:id="rId48"/>
    <sheet name="4100" sheetId="71" r:id="rId49"/>
    <sheet name="4102" sheetId="68" r:id="rId50"/>
    <sheet name="4103" sheetId="77" r:id="rId51"/>
    <sheet name="4111" sheetId="78" r:id="rId52"/>
    <sheet name="Virtual" sheetId="62" state="hidden" r:id="rId53"/>
  </sheets>
  <definedNames>
    <definedName name="_xlnm._FilterDatabase" localSheetId="0" hidden="1">'Net Payment'!$A$4:$G$463</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'0664'!$A$2:$I$166</definedName>
    <definedName name="_xlnm.Print_Area" localSheetId="7">'2531'!$A$1:$I$132</definedName>
    <definedName name="_xlnm.Print_Area" localSheetId="11">'2941'!$A$1:$I$133</definedName>
    <definedName name="_xlnm.Print_Area" localSheetId="46">'4090'!$A$1:$I$132</definedName>
    <definedName name="_xlnm.Print_Area" localSheetId="47">'4091'!$A$1:$I$132</definedName>
    <definedName name="_xlnm.Print_Area" localSheetId="48">'4100'!$A$1:$I$132</definedName>
    <definedName name="_xlnm.Print_Area" localSheetId="49">'4102'!$A$1:$I$132</definedName>
    <definedName name="_xlnm.Print_Area" localSheetId="50">'4103'!$A$1:$I$132</definedName>
    <definedName name="_xlnm.Print_Area" localSheetId="51">'4111'!$A$1:$I$132</definedName>
    <definedName name="_xlnm.Print_Area" localSheetId="2">Consolidated!$A$7:$I$130</definedName>
    <definedName name="_xlnm.Print_Area" localSheetId="0">'Net Payment'!$A$5:$G$504</definedName>
    <definedName name="_xlnm.Print_Area" localSheetId="52">Virtual!$B$2:$G$38</definedName>
    <definedName name="_xlnm.Print_Titles" localSheetId="3">'0664'!$2:$5</definedName>
    <definedName name="_xlnm.Print_Titles" localSheetId="2">Consolidated!$2:$5</definedName>
    <definedName name="_xlnm.Print_Titles" localSheetId="0">'Net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62913"/>
</workbook>
</file>

<file path=xl/calcChain.xml><?xml version="1.0" encoding="utf-8"?>
<calcChain xmlns="http://schemas.openxmlformats.org/spreadsheetml/2006/main">
  <c r="E99" i="15" l="1"/>
  <c r="E99" i="16"/>
  <c r="E99" i="17"/>
  <c r="E99" i="18"/>
  <c r="E99" i="20"/>
  <c r="E99" i="21"/>
  <c r="E99" i="25"/>
  <c r="E99" i="24"/>
  <c r="E99" i="22"/>
  <c r="E99" i="26"/>
  <c r="E99" i="27"/>
  <c r="E99" i="28"/>
  <c r="E99" i="29"/>
  <c r="E99" i="30"/>
  <c r="E99" i="31"/>
  <c r="E99" i="32"/>
  <c r="E99" i="33"/>
  <c r="E99" i="34"/>
  <c r="E99" i="35"/>
  <c r="E99" i="23"/>
  <c r="E99" i="36"/>
  <c r="E99" i="37"/>
  <c r="E99" i="38"/>
  <c r="E99" i="39"/>
  <c r="E99" i="40"/>
  <c r="E99" i="42"/>
  <c r="E99" i="43"/>
  <c r="E99" i="44"/>
  <c r="E99" i="45"/>
  <c r="E99" i="47"/>
  <c r="E99" i="48"/>
  <c r="E99" i="50"/>
  <c r="E99" i="51"/>
  <c r="E99" i="52"/>
  <c r="E99" i="75"/>
  <c r="E99" i="76"/>
  <c r="E99" i="55"/>
  <c r="E99" i="56"/>
  <c r="E99" i="57"/>
  <c r="E99" i="58"/>
  <c r="E99" i="66"/>
  <c r="E99" i="67"/>
  <c r="E99" i="69"/>
  <c r="E99" i="70"/>
  <c r="E99" i="71"/>
  <c r="E99" i="68"/>
  <c r="E99" i="77"/>
  <c r="E99" i="78"/>
  <c r="E99" i="7"/>
  <c r="E98" i="15"/>
  <c r="E98" i="16"/>
  <c r="E98" i="17"/>
  <c r="E98" i="18"/>
  <c r="E98" i="20"/>
  <c r="E98" i="21"/>
  <c r="E98" i="25"/>
  <c r="E98" i="24"/>
  <c r="E98" i="22"/>
  <c r="E98" i="26"/>
  <c r="E98" i="27"/>
  <c r="E98" i="28"/>
  <c r="E98" i="29"/>
  <c r="E98" i="30"/>
  <c r="E98" i="31"/>
  <c r="E98" i="32"/>
  <c r="E98" i="33"/>
  <c r="E98" i="34"/>
  <c r="E98" i="35"/>
  <c r="E98" i="23"/>
  <c r="E98" i="36"/>
  <c r="E98" i="37"/>
  <c r="E98" i="38"/>
  <c r="E98" i="39"/>
  <c r="E98" i="40"/>
  <c r="E98" i="42"/>
  <c r="E98" i="43"/>
  <c r="E98" i="44"/>
  <c r="E98" i="45"/>
  <c r="E98" i="47"/>
  <c r="E98" i="48"/>
  <c r="E98" i="50"/>
  <c r="E98" i="51"/>
  <c r="E98" i="52"/>
  <c r="E98" i="75"/>
  <c r="E98" i="76"/>
  <c r="E98" i="55"/>
  <c r="E98" i="56"/>
  <c r="E98" i="57"/>
  <c r="E98" i="58"/>
  <c r="E98" i="66"/>
  <c r="E98" i="67"/>
  <c r="E98" i="69"/>
  <c r="E98" i="70"/>
  <c r="E98" i="71"/>
  <c r="E98" i="68"/>
  <c r="E98" i="77"/>
  <c r="E98" i="78"/>
  <c r="E98" i="7"/>
  <c r="F84" i="60"/>
  <c r="F84" i="16"/>
  <c r="F84" i="17"/>
  <c r="F84" i="18"/>
  <c r="F84" i="20"/>
  <c r="R84" i="20" s="1"/>
  <c r="F84" i="21"/>
  <c r="F84" i="25"/>
  <c r="F84" i="24"/>
  <c r="R84" i="24" s="1"/>
  <c r="F84" i="22"/>
  <c r="R84" i="22" s="1"/>
  <c r="F84" i="26"/>
  <c r="R84" i="26" s="1"/>
  <c r="F84" i="27"/>
  <c r="R84" i="27" s="1"/>
  <c r="F84" i="28"/>
  <c r="F84" i="29"/>
  <c r="R84" i="29" s="1"/>
  <c r="F84" i="30"/>
  <c r="R84" i="30" s="1"/>
  <c r="F84" i="31"/>
  <c r="F84" i="32"/>
  <c r="R84" i="32" s="1"/>
  <c r="F84" i="33"/>
  <c r="R84" i="33" s="1"/>
  <c r="F84" i="34"/>
  <c r="R84" i="34" s="1"/>
  <c r="F84" i="35"/>
  <c r="R84" i="35" s="1"/>
  <c r="F84" i="23"/>
  <c r="R84" i="23" s="1"/>
  <c r="F84" i="36"/>
  <c r="F84" i="37"/>
  <c r="R84" i="37" s="1"/>
  <c r="F84" i="38"/>
  <c r="R84" i="38"/>
  <c r="F84" i="39"/>
  <c r="F84" i="40"/>
  <c r="R84" i="40" s="1"/>
  <c r="F84" i="42"/>
  <c r="F84" i="43"/>
  <c r="F84" i="44"/>
  <c r="R84" i="44" s="1"/>
  <c r="F84" i="45"/>
  <c r="R84" i="45" s="1"/>
  <c r="F84" i="47"/>
  <c r="R84" i="47" s="1"/>
  <c r="F84" i="48"/>
  <c r="F84" i="50"/>
  <c r="F84" i="51"/>
  <c r="F84" i="52"/>
  <c r="F84" i="75"/>
  <c r="R84" i="75"/>
  <c r="F84" i="76"/>
  <c r="F84" i="55"/>
  <c r="R84" i="55"/>
  <c r="F84" i="56"/>
  <c r="R84" i="56" s="1"/>
  <c r="F84" i="57"/>
  <c r="F84" i="58"/>
  <c r="R84" i="58" s="1"/>
  <c r="F84" i="66"/>
  <c r="R84" i="66"/>
  <c r="F84" i="67"/>
  <c r="R84" i="67" s="1"/>
  <c r="F84" i="69"/>
  <c r="R84" i="69" s="1"/>
  <c r="F84" i="70"/>
  <c r="F84" i="71"/>
  <c r="F84" i="68"/>
  <c r="F84" i="77"/>
  <c r="R84" i="77"/>
  <c r="F84" i="78"/>
  <c r="R84" i="78" s="1"/>
  <c r="F84" i="15"/>
  <c r="R84" i="15"/>
  <c r="R84" i="16"/>
  <c r="R84" i="18"/>
  <c r="R84" i="21"/>
  <c r="R84" i="25"/>
  <c r="R84" i="28"/>
  <c r="R84" i="39"/>
  <c r="R84" i="42"/>
  <c r="R84" i="48"/>
  <c r="R84" i="50"/>
  <c r="R84" i="52"/>
  <c r="R84" i="76"/>
  <c r="R84" i="70"/>
  <c r="R84" i="68"/>
  <c r="R84" i="7"/>
  <c r="L32" i="64"/>
  <c r="G464" i="64"/>
  <c r="A7" i="60"/>
  <c r="D464" i="64"/>
  <c r="D59" i="15"/>
  <c r="E108" i="15" s="1"/>
  <c r="D59" i="16"/>
  <c r="D59" i="17"/>
  <c r="E53" i="17"/>
  <c r="D59" i="18"/>
  <c r="E54" i="18" s="1"/>
  <c r="D59" i="20"/>
  <c r="E50" i="20" s="1"/>
  <c r="D59" i="21"/>
  <c r="E56" i="21" s="1"/>
  <c r="D59" i="25"/>
  <c r="D59" i="24"/>
  <c r="D59" i="22"/>
  <c r="E58" i="22" s="1"/>
  <c r="D59" i="26"/>
  <c r="D59" i="27"/>
  <c r="D59" i="28"/>
  <c r="E107" i="28" s="1"/>
  <c r="D59" i="29"/>
  <c r="D59" i="30"/>
  <c r="E51" i="30" s="1"/>
  <c r="D59" i="31"/>
  <c r="D59" i="32"/>
  <c r="D59" i="33"/>
  <c r="E106" i="33" s="1"/>
  <c r="D59" i="34"/>
  <c r="D59" i="35"/>
  <c r="D59" i="23"/>
  <c r="E108" i="23" s="1"/>
  <c r="D59" i="36"/>
  <c r="D59" i="37"/>
  <c r="E51" i="37" s="1"/>
  <c r="D59" i="38"/>
  <c r="D59" i="39"/>
  <c r="E52" i="39" s="1"/>
  <c r="D59" i="40"/>
  <c r="D59" i="42"/>
  <c r="D59" i="43"/>
  <c r="E58" i="43" s="1"/>
  <c r="D59" i="44"/>
  <c r="D59" i="45"/>
  <c r="D59" i="47"/>
  <c r="D59" i="48"/>
  <c r="D59" i="50"/>
  <c r="D59" i="51"/>
  <c r="D59" i="52"/>
  <c r="E53" i="52" s="1"/>
  <c r="D59" i="75"/>
  <c r="E108" i="75" s="1"/>
  <c r="D59" i="76"/>
  <c r="E108" i="76" s="1"/>
  <c r="D59" i="55"/>
  <c r="D59" i="56"/>
  <c r="D59" i="57"/>
  <c r="D59" i="58"/>
  <c r="D59" i="66"/>
  <c r="E52" i="66" s="1"/>
  <c r="D59" i="67"/>
  <c r="D59" i="69"/>
  <c r="D59" i="70"/>
  <c r="E53" i="70" s="1"/>
  <c r="D59" i="71"/>
  <c r="D59" i="68"/>
  <c r="D59" i="77"/>
  <c r="D59" i="78"/>
  <c r="E53" i="78" s="1"/>
  <c r="D59" i="7"/>
  <c r="E56" i="7" s="1"/>
  <c r="D29" i="75"/>
  <c r="D29" i="30"/>
  <c r="E14" i="30" s="1"/>
  <c r="E26" i="30"/>
  <c r="E17" i="30"/>
  <c r="E21" i="30"/>
  <c r="E22" i="30"/>
  <c r="C50" i="60"/>
  <c r="D50" i="60"/>
  <c r="H50" i="60"/>
  <c r="C51" i="60"/>
  <c r="D51" i="60"/>
  <c r="H51" i="60"/>
  <c r="C52" i="60"/>
  <c r="D52" i="60"/>
  <c r="H52" i="60"/>
  <c r="C53" i="60"/>
  <c r="D53" i="60"/>
  <c r="H53" i="60"/>
  <c r="C54" i="60"/>
  <c r="D54" i="60"/>
  <c r="H54" i="60"/>
  <c r="C55" i="60"/>
  <c r="D55" i="60"/>
  <c r="H55" i="60"/>
  <c r="C56" i="60"/>
  <c r="D56" i="60"/>
  <c r="H56" i="60"/>
  <c r="C57" i="60"/>
  <c r="D57" i="60"/>
  <c r="H57" i="60"/>
  <c r="C58" i="60"/>
  <c r="D58" i="60"/>
  <c r="H58" i="60"/>
  <c r="H62" i="60"/>
  <c r="H65" i="60"/>
  <c r="D29" i="52"/>
  <c r="C29" i="52"/>
  <c r="I126" i="60"/>
  <c r="R83" i="30"/>
  <c r="F72" i="60"/>
  <c r="F72" i="78"/>
  <c r="R72" i="78" s="1"/>
  <c r="F72" i="77"/>
  <c r="F72" i="68"/>
  <c r="R72" i="68" s="1"/>
  <c r="F72" i="71"/>
  <c r="F72" i="70"/>
  <c r="F72" i="69"/>
  <c r="R72" i="69" s="1"/>
  <c r="F72" i="67"/>
  <c r="F72" i="66"/>
  <c r="F72" i="58"/>
  <c r="R72" i="58" s="1"/>
  <c r="F72" i="57"/>
  <c r="R72" i="57" s="1"/>
  <c r="F72" i="56"/>
  <c r="R72" i="56"/>
  <c r="F72" i="55"/>
  <c r="R72" i="55" s="1"/>
  <c r="F72" i="76"/>
  <c r="R72" i="76" s="1"/>
  <c r="F72" i="75"/>
  <c r="R72" i="75" s="1"/>
  <c r="F72" i="52"/>
  <c r="R72" i="52" s="1"/>
  <c r="F72" i="51"/>
  <c r="R72" i="51" s="1"/>
  <c r="F72" i="50"/>
  <c r="F72" i="48"/>
  <c r="R72" i="48"/>
  <c r="F72" i="47"/>
  <c r="R72" i="47" s="1"/>
  <c r="F72" i="45"/>
  <c r="R72" i="45" s="1"/>
  <c r="F72" i="44"/>
  <c r="F72" i="43"/>
  <c r="R72" i="43" s="1"/>
  <c r="F72" i="42"/>
  <c r="F72" i="40"/>
  <c r="F72" i="39"/>
  <c r="F72" i="38"/>
  <c r="F72" i="37"/>
  <c r="R72" i="37" s="1"/>
  <c r="F72" i="36"/>
  <c r="F72" i="23"/>
  <c r="R72" i="23"/>
  <c r="F72" i="35"/>
  <c r="F72" i="34"/>
  <c r="R72" i="34"/>
  <c r="F72" i="33"/>
  <c r="F72" i="32"/>
  <c r="R72" i="32"/>
  <c r="F72" i="31"/>
  <c r="F72" i="30"/>
  <c r="F72" i="29"/>
  <c r="R72" i="29" s="1"/>
  <c r="F72" i="28"/>
  <c r="F72" i="27"/>
  <c r="R72" i="27"/>
  <c r="F72" i="26"/>
  <c r="F72" i="22"/>
  <c r="F72" i="24"/>
  <c r="F72" i="25"/>
  <c r="F72" i="21"/>
  <c r="R72" i="21"/>
  <c r="F72" i="20"/>
  <c r="F72" i="18"/>
  <c r="R72" i="18"/>
  <c r="F72" i="17"/>
  <c r="F72" i="16"/>
  <c r="F72" i="15"/>
  <c r="R72" i="15" s="1"/>
  <c r="A166" i="16"/>
  <c r="A165" i="16"/>
  <c r="A164" i="16"/>
  <c r="A163" i="16"/>
  <c r="A166" i="17"/>
  <c r="A165" i="17"/>
  <c r="A164" i="17"/>
  <c r="A163" i="17"/>
  <c r="A166" i="18"/>
  <c r="A165" i="18"/>
  <c r="A164" i="18"/>
  <c r="A163" i="18"/>
  <c r="A166" i="20"/>
  <c r="A165" i="20"/>
  <c r="A164" i="20"/>
  <c r="A163" i="20"/>
  <c r="A166" i="21"/>
  <c r="A165" i="21"/>
  <c r="A164" i="21"/>
  <c r="A163" i="21"/>
  <c r="A166" i="25"/>
  <c r="A165" i="25"/>
  <c r="A164" i="25"/>
  <c r="A163" i="25"/>
  <c r="A166" i="24"/>
  <c r="A165" i="24"/>
  <c r="A164" i="24"/>
  <c r="A163" i="24"/>
  <c r="A166" i="22"/>
  <c r="A165" i="22"/>
  <c r="A164" i="22"/>
  <c r="A163" i="22"/>
  <c r="A166" i="26"/>
  <c r="A165" i="26"/>
  <c r="A164" i="26"/>
  <c r="A163" i="26"/>
  <c r="A166" i="27"/>
  <c r="A165" i="27"/>
  <c r="A164" i="27"/>
  <c r="A163" i="27"/>
  <c r="A166" i="28"/>
  <c r="A165" i="28"/>
  <c r="A164" i="28"/>
  <c r="A163" i="28"/>
  <c r="A166" i="29"/>
  <c r="A165" i="29"/>
  <c r="A164" i="29"/>
  <c r="A163" i="29"/>
  <c r="A166" i="30"/>
  <c r="A165" i="30"/>
  <c r="A164" i="30"/>
  <c r="A163" i="30"/>
  <c r="A166" i="31"/>
  <c r="A165" i="31"/>
  <c r="A164" i="31"/>
  <c r="A163" i="31"/>
  <c r="A166" i="32"/>
  <c r="A165" i="32"/>
  <c r="A164" i="32"/>
  <c r="A163" i="32"/>
  <c r="A166" i="33"/>
  <c r="A165" i="33"/>
  <c r="A164" i="33"/>
  <c r="A163" i="33"/>
  <c r="A166" i="34"/>
  <c r="A165" i="34"/>
  <c r="A164" i="34"/>
  <c r="A163" i="34"/>
  <c r="A166" i="35"/>
  <c r="A165" i="35"/>
  <c r="A164" i="35"/>
  <c r="A163" i="35"/>
  <c r="A166" i="23"/>
  <c r="A165" i="23"/>
  <c r="A164" i="23"/>
  <c r="A163" i="23"/>
  <c r="A166" i="36"/>
  <c r="A165" i="36"/>
  <c r="A164" i="36"/>
  <c r="A163" i="36"/>
  <c r="A166" i="37"/>
  <c r="A165" i="37"/>
  <c r="A164" i="37"/>
  <c r="A163" i="37"/>
  <c r="A166" i="38"/>
  <c r="A165" i="38"/>
  <c r="A164" i="38"/>
  <c r="A163" i="38"/>
  <c r="A166" i="39"/>
  <c r="A165" i="39"/>
  <c r="A164" i="39"/>
  <c r="A163" i="39"/>
  <c r="A166" i="40"/>
  <c r="A165" i="40"/>
  <c r="A164" i="40"/>
  <c r="A163" i="40"/>
  <c r="A166" i="42"/>
  <c r="A165" i="42"/>
  <c r="A164" i="42"/>
  <c r="A163" i="42"/>
  <c r="A166" i="43"/>
  <c r="A165" i="43"/>
  <c r="A164" i="43"/>
  <c r="A163" i="43"/>
  <c r="A166" i="44"/>
  <c r="A165" i="44"/>
  <c r="A164" i="44"/>
  <c r="A163" i="44"/>
  <c r="A166" i="45"/>
  <c r="A165" i="45"/>
  <c r="A164" i="45"/>
  <c r="A163" i="45"/>
  <c r="A166" i="47"/>
  <c r="A165" i="47"/>
  <c r="A164" i="47"/>
  <c r="A163" i="47"/>
  <c r="A166" i="48"/>
  <c r="A165" i="48"/>
  <c r="A164" i="48"/>
  <c r="A163" i="48"/>
  <c r="A166" i="50"/>
  <c r="A165" i="50"/>
  <c r="A164" i="50"/>
  <c r="A163" i="50"/>
  <c r="A166" i="51"/>
  <c r="A165" i="51"/>
  <c r="A164" i="51"/>
  <c r="A163" i="51"/>
  <c r="A166" i="52"/>
  <c r="A165" i="52"/>
  <c r="A164" i="52"/>
  <c r="A163" i="52"/>
  <c r="A166" i="75"/>
  <c r="A165" i="75"/>
  <c r="A164" i="75"/>
  <c r="A163" i="75"/>
  <c r="A166" i="76"/>
  <c r="A165" i="76"/>
  <c r="A164" i="76"/>
  <c r="A163" i="76"/>
  <c r="A166" i="55"/>
  <c r="A165" i="55"/>
  <c r="A164" i="55"/>
  <c r="A163" i="55"/>
  <c r="A166" i="56"/>
  <c r="A165" i="56"/>
  <c r="A164" i="56"/>
  <c r="A163" i="56"/>
  <c r="A166" i="57"/>
  <c r="A165" i="57"/>
  <c r="A164" i="57"/>
  <c r="A163" i="57"/>
  <c r="A166" i="58"/>
  <c r="A165" i="58"/>
  <c r="A164" i="58"/>
  <c r="A163" i="58"/>
  <c r="A166" i="66"/>
  <c r="A165" i="66"/>
  <c r="A164" i="66"/>
  <c r="A163" i="66"/>
  <c r="A166" i="67"/>
  <c r="A165" i="67"/>
  <c r="A164" i="67"/>
  <c r="A163" i="67"/>
  <c r="A166" i="69"/>
  <c r="A165" i="69"/>
  <c r="A164" i="69"/>
  <c r="A163" i="69"/>
  <c r="A166" i="70"/>
  <c r="A165" i="70"/>
  <c r="A164" i="70"/>
  <c r="A163" i="70"/>
  <c r="A166" i="71"/>
  <c r="A165" i="71"/>
  <c r="A164" i="71"/>
  <c r="A163" i="71"/>
  <c r="A166" i="68"/>
  <c r="A165" i="68"/>
  <c r="A164" i="68"/>
  <c r="A163" i="68"/>
  <c r="A166" i="77"/>
  <c r="A165" i="77"/>
  <c r="A164" i="77"/>
  <c r="A163" i="77"/>
  <c r="A166" i="78"/>
  <c r="A165" i="78"/>
  <c r="A164" i="78"/>
  <c r="A163" i="78"/>
  <c r="A166" i="15"/>
  <c r="A165" i="15"/>
  <c r="A164" i="15"/>
  <c r="A163" i="15"/>
  <c r="A161" i="16"/>
  <c r="A160" i="16"/>
  <c r="A159" i="16"/>
  <c r="A161" i="17"/>
  <c r="A160" i="17"/>
  <c r="A159" i="17"/>
  <c r="A161" i="18"/>
  <c r="A160" i="18"/>
  <c r="A159" i="18"/>
  <c r="A161" i="20"/>
  <c r="A160" i="20"/>
  <c r="A159" i="20"/>
  <c r="A161" i="21"/>
  <c r="A160" i="21"/>
  <c r="A159" i="21"/>
  <c r="A161" i="25"/>
  <c r="A160" i="25"/>
  <c r="A159" i="25"/>
  <c r="A161" i="24"/>
  <c r="A160" i="24"/>
  <c r="A159" i="24"/>
  <c r="A161" i="22"/>
  <c r="A160" i="22"/>
  <c r="A159" i="22"/>
  <c r="A161" i="26"/>
  <c r="A160" i="26"/>
  <c r="A159" i="26"/>
  <c r="A161" i="27"/>
  <c r="A160" i="27"/>
  <c r="A159" i="27"/>
  <c r="A161" i="28"/>
  <c r="A160" i="28"/>
  <c r="A159" i="28"/>
  <c r="A161" i="29"/>
  <c r="A160" i="29"/>
  <c r="A159" i="29"/>
  <c r="A161" i="30"/>
  <c r="A160" i="30"/>
  <c r="A159" i="30"/>
  <c r="A161" i="31"/>
  <c r="A160" i="31"/>
  <c r="A159" i="31"/>
  <c r="A161" i="32"/>
  <c r="A160" i="32"/>
  <c r="A159" i="32"/>
  <c r="A161" i="33"/>
  <c r="A160" i="33"/>
  <c r="A159" i="33"/>
  <c r="A161" i="34"/>
  <c r="A160" i="34"/>
  <c r="A159" i="34"/>
  <c r="A161" i="35"/>
  <c r="A160" i="35"/>
  <c r="A159" i="35"/>
  <c r="A161" i="23"/>
  <c r="A160" i="23"/>
  <c r="A159" i="23"/>
  <c r="A161" i="36"/>
  <c r="A160" i="36"/>
  <c r="A159" i="36"/>
  <c r="A161" i="37"/>
  <c r="A160" i="37"/>
  <c r="A159" i="37"/>
  <c r="A161" i="38"/>
  <c r="A160" i="38"/>
  <c r="A159" i="38"/>
  <c r="A161" i="39"/>
  <c r="A160" i="39"/>
  <c r="A159" i="39"/>
  <c r="A161" i="40"/>
  <c r="A160" i="40"/>
  <c r="A159" i="40"/>
  <c r="A161" i="42"/>
  <c r="A160" i="42"/>
  <c r="A159" i="42"/>
  <c r="A161" i="43"/>
  <c r="A160" i="43"/>
  <c r="A159" i="43"/>
  <c r="A161" i="44"/>
  <c r="A160" i="44"/>
  <c r="A159" i="44"/>
  <c r="A161" i="45"/>
  <c r="A160" i="45"/>
  <c r="A159" i="45"/>
  <c r="A161" i="47"/>
  <c r="A160" i="47"/>
  <c r="A159" i="47"/>
  <c r="A161" i="48"/>
  <c r="A160" i="48"/>
  <c r="A159" i="48"/>
  <c r="A161" i="50"/>
  <c r="A160" i="50"/>
  <c r="A159" i="50"/>
  <c r="A161" i="51"/>
  <c r="A160" i="51"/>
  <c r="A159" i="51"/>
  <c r="A161" i="52"/>
  <c r="A160" i="52"/>
  <c r="A159" i="52"/>
  <c r="A161" i="75"/>
  <c r="A160" i="75"/>
  <c r="A159" i="75"/>
  <c r="A161" i="76"/>
  <c r="A160" i="76"/>
  <c r="A159" i="76"/>
  <c r="A161" i="55"/>
  <c r="A160" i="55"/>
  <c r="A159" i="55"/>
  <c r="A161" i="56"/>
  <c r="A160" i="56"/>
  <c r="A159" i="56"/>
  <c r="A161" i="57"/>
  <c r="A160" i="57"/>
  <c r="A159" i="57"/>
  <c r="A161" i="58"/>
  <c r="A160" i="58"/>
  <c r="A159" i="58"/>
  <c r="A161" i="66"/>
  <c r="A160" i="66"/>
  <c r="A159" i="66"/>
  <c r="A161" i="67"/>
  <c r="A160" i="67"/>
  <c r="A159" i="67"/>
  <c r="A161" i="69"/>
  <c r="A160" i="69"/>
  <c r="A159" i="69"/>
  <c r="A161" i="70"/>
  <c r="A160" i="70"/>
  <c r="A159" i="70"/>
  <c r="A161" i="71"/>
  <c r="A160" i="71"/>
  <c r="A159" i="71"/>
  <c r="A161" i="68"/>
  <c r="A160" i="68"/>
  <c r="A159" i="68"/>
  <c r="A161" i="77"/>
  <c r="A160" i="77"/>
  <c r="A159" i="77"/>
  <c r="A161" i="78"/>
  <c r="A160" i="78"/>
  <c r="A159" i="78"/>
  <c r="A161" i="15"/>
  <c r="A160" i="15"/>
  <c r="A159" i="15"/>
  <c r="A157" i="16"/>
  <c r="A156" i="16"/>
  <c r="A155" i="16"/>
  <c r="A154" i="16"/>
  <c r="A157" i="17"/>
  <c r="A156" i="17"/>
  <c r="A155" i="17"/>
  <c r="A154" i="17"/>
  <c r="A157" i="18"/>
  <c r="A156" i="18"/>
  <c r="A155" i="18"/>
  <c r="A154" i="18"/>
  <c r="A157" i="20"/>
  <c r="A156" i="20"/>
  <c r="A155" i="20"/>
  <c r="A154" i="20"/>
  <c r="A157" i="21"/>
  <c r="A156" i="21"/>
  <c r="A155" i="21"/>
  <c r="A154" i="21"/>
  <c r="A157" i="25"/>
  <c r="A156" i="25"/>
  <c r="A155" i="25"/>
  <c r="A154" i="25"/>
  <c r="A157" i="24"/>
  <c r="A156" i="24"/>
  <c r="A155" i="24"/>
  <c r="A154" i="24"/>
  <c r="A157" i="22"/>
  <c r="A156" i="22"/>
  <c r="A155" i="22"/>
  <c r="A154" i="22"/>
  <c r="A157" i="26"/>
  <c r="A156" i="26"/>
  <c r="A155" i="26"/>
  <c r="A154" i="26"/>
  <c r="A157" i="27"/>
  <c r="A156" i="27"/>
  <c r="A155" i="27"/>
  <c r="A154" i="27"/>
  <c r="A157" i="28"/>
  <c r="A156" i="28"/>
  <c r="A155" i="28"/>
  <c r="A154" i="28"/>
  <c r="A157" i="29"/>
  <c r="A156" i="29"/>
  <c r="A155" i="29"/>
  <c r="A154" i="29"/>
  <c r="A157" i="30"/>
  <c r="A156" i="30"/>
  <c r="A155" i="30"/>
  <c r="A154" i="30"/>
  <c r="A157" i="31"/>
  <c r="A156" i="31"/>
  <c r="A155" i="31"/>
  <c r="A154" i="31"/>
  <c r="A157" i="32"/>
  <c r="A156" i="32"/>
  <c r="A155" i="32"/>
  <c r="A154" i="32"/>
  <c r="A157" i="33"/>
  <c r="A156" i="33"/>
  <c r="A155" i="33"/>
  <c r="A154" i="33"/>
  <c r="A157" i="34"/>
  <c r="A156" i="34"/>
  <c r="A155" i="34"/>
  <c r="A154" i="34"/>
  <c r="A157" i="35"/>
  <c r="A156" i="35"/>
  <c r="A155" i="35"/>
  <c r="A154" i="35"/>
  <c r="A157" i="23"/>
  <c r="A156" i="23"/>
  <c r="A155" i="23"/>
  <c r="A154" i="23"/>
  <c r="A157" i="36"/>
  <c r="A156" i="36"/>
  <c r="A155" i="36"/>
  <c r="A154" i="36"/>
  <c r="A157" i="37"/>
  <c r="A156" i="37"/>
  <c r="A155" i="37"/>
  <c r="A154" i="37"/>
  <c r="A157" i="38"/>
  <c r="A156" i="38"/>
  <c r="A155" i="38"/>
  <c r="A154" i="38"/>
  <c r="A157" i="39"/>
  <c r="A156" i="39"/>
  <c r="A155" i="39"/>
  <c r="A154" i="39"/>
  <c r="A157" i="40"/>
  <c r="A156" i="40"/>
  <c r="A155" i="40"/>
  <c r="A154" i="40"/>
  <c r="A157" i="42"/>
  <c r="A156" i="42"/>
  <c r="A155" i="42"/>
  <c r="A154" i="42"/>
  <c r="A157" i="43"/>
  <c r="A156" i="43"/>
  <c r="A155" i="43"/>
  <c r="A154" i="43"/>
  <c r="A157" i="44"/>
  <c r="A156" i="44"/>
  <c r="A155" i="44"/>
  <c r="A154" i="44"/>
  <c r="A157" i="45"/>
  <c r="A156" i="45"/>
  <c r="A155" i="45"/>
  <c r="A154" i="45"/>
  <c r="A157" i="47"/>
  <c r="A156" i="47"/>
  <c r="A155" i="47"/>
  <c r="A154" i="47"/>
  <c r="A157" i="48"/>
  <c r="A156" i="48"/>
  <c r="A155" i="48"/>
  <c r="A154" i="48"/>
  <c r="A157" i="50"/>
  <c r="A156" i="50"/>
  <c r="A155" i="50"/>
  <c r="A154" i="50"/>
  <c r="A157" i="51"/>
  <c r="A156" i="51"/>
  <c r="A155" i="51"/>
  <c r="A154" i="51"/>
  <c r="A157" i="52"/>
  <c r="A156" i="52"/>
  <c r="A155" i="52"/>
  <c r="A154" i="52"/>
  <c r="A157" i="75"/>
  <c r="A156" i="75"/>
  <c r="A155" i="75"/>
  <c r="A154" i="75"/>
  <c r="A157" i="76"/>
  <c r="A156" i="76"/>
  <c r="A155" i="76"/>
  <c r="A154" i="76"/>
  <c r="A157" i="55"/>
  <c r="A156" i="55"/>
  <c r="A155" i="55"/>
  <c r="A154" i="55"/>
  <c r="A157" i="56"/>
  <c r="A156" i="56"/>
  <c r="A155" i="56"/>
  <c r="A154" i="56"/>
  <c r="A157" i="57"/>
  <c r="A156" i="57"/>
  <c r="A155" i="57"/>
  <c r="A154" i="57"/>
  <c r="A157" i="58"/>
  <c r="A156" i="58"/>
  <c r="A155" i="58"/>
  <c r="A154" i="58"/>
  <c r="A157" i="66"/>
  <c r="A156" i="66"/>
  <c r="A155" i="66"/>
  <c r="A154" i="66"/>
  <c r="A157" i="67"/>
  <c r="A156" i="67"/>
  <c r="A155" i="67"/>
  <c r="A154" i="67"/>
  <c r="A157" i="69"/>
  <c r="A156" i="69"/>
  <c r="A155" i="69"/>
  <c r="A154" i="69"/>
  <c r="A157" i="70"/>
  <c r="A156" i="70"/>
  <c r="A155" i="70"/>
  <c r="A154" i="70"/>
  <c r="A157" i="71"/>
  <c r="A156" i="71"/>
  <c r="A155" i="71"/>
  <c r="A154" i="71"/>
  <c r="A157" i="68"/>
  <c r="A156" i="68"/>
  <c r="A155" i="68"/>
  <c r="A154" i="68"/>
  <c r="A157" i="77"/>
  <c r="A156" i="77"/>
  <c r="A155" i="77"/>
  <c r="A154" i="77"/>
  <c r="A157" i="78"/>
  <c r="A156" i="78"/>
  <c r="A155" i="78"/>
  <c r="A154" i="78"/>
  <c r="A157" i="15"/>
  <c r="A156" i="15"/>
  <c r="A155" i="15"/>
  <c r="A154" i="15"/>
  <c r="A152" i="16"/>
  <c r="A151" i="16"/>
  <c r="A150" i="16"/>
  <c r="A149" i="16"/>
  <c r="A152" i="17"/>
  <c r="A151" i="17"/>
  <c r="A150" i="17"/>
  <c r="A149" i="17"/>
  <c r="A152" i="18"/>
  <c r="A151" i="18"/>
  <c r="A150" i="18"/>
  <c r="A149" i="18"/>
  <c r="A152" i="20"/>
  <c r="A151" i="20"/>
  <c r="A150" i="20"/>
  <c r="A149" i="20"/>
  <c r="A152" i="21"/>
  <c r="A151" i="21"/>
  <c r="A150" i="21"/>
  <c r="A149" i="21"/>
  <c r="A152" i="25"/>
  <c r="A151" i="25"/>
  <c r="A150" i="25"/>
  <c r="A149" i="25"/>
  <c r="A152" i="24"/>
  <c r="A151" i="24"/>
  <c r="A150" i="24"/>
  <c r="A149" i="24"/>
  <c r="A152" i="22"/>
  <c r="A151" i="22"/>
  <c r="A150" i="22"/>
  <c r="A149" i="22"/>
  <c r="A152" i="26"/>
  <c r="A151" i="26"/>
  <c r="A150" i="26"/>
  <c r="A149" i="26"/>
  <c r="A152" i="27"/>
  <c r="A151" i="27"/>
  <c r="A150" i="27"/>
  <c r="A149" i="27"/>
  <c r="A152" i="28"/>
  <c r="A151" i="28"/>
  <c r="A150" i="28"/>
  <c r="A149" i="28"/>
  <c r="A152" i="29"/>
  <c r="A151" i="29"/>
  <c r="A150" i="29"/>
  <c r="A149" i="29"/>
  <c r="A152" i="30"/>
  <c r="A151" i="30"/>
  <c r="A150" i="30"/>
  <c r="A149" i="30"/>
  <c r="A152" i="31"/>
  <c r="A151" i="31"/>
  <c r="A150" i="31"/>
  <c r="A149" i="31"/>
  <c r="A152" i="32"/>
  <c r="A151" i="32"/>
  <c r="A150" i="32"/>
  <c r="A149" i="32"/>
  <c r="A152" i="33"/>
  <c r="A151" i="33"/>
  <c r="A150" i="33"/>
  <c r="A149" i="33"/>
  <c r="A152" i="34"/>
  <c r="A151" i="34"/>
  <c r="A150" i="34"/>
  <c r="A149" i="34"/>
  <c r="A152" i="35"/>
  <c r="A151" i="35"/>
  <c r="A150" i="35"/>
  <c r="A149" i="35"/>
  <c r="A152" i="23"/>
  <c r="A151" i="23"/>
  <c r="A150" i="23"/>
  <c r="A149" i="23"/>
  <c r="A152" i="36"/>
  <c r="A151" i="36"/>
  <c r="A150" i="36"/>
  <c r="A149" i="36"/>
  <c r="A152" i="37"/>
  <c r="A151" i="37"/>
  <c r="A150" i="37"/>
  <c r="A149" i="37"/>
  <c r="A152" i="38"/>
  <c r="A151" i="38"/>
  <c r="A150" i="38"/>
  <c r="A149" i="38"/>
  <c r="A152" i="39"/>
  <c r="A151" i="39"/>
  <c r="A150" i="39"/>
  <c r="A149" i="39"/>
  <c r="A152" i="40"/>
  <c r="A151" i="40"/>
  <c r="A150" i="40"/>
  <c r="A149" i="40"/>
  <c r="A152" i="42"/>
  <c r="A151" i="42"/>
  <c r="A150" i="42"/>
  <c r="A149" i="42"/>
  <c r="A152" i="43"/>
  <c r="A151" i="43"/>
  <c r="A150" i="43"/>
  <c r="A149" i="43"/>
  <c r="A152" i="44"/>
  <c r="A151" i="44"/>
  <c r="A150" i="44"/>
  <c r="A149" i="44"/>
  <c r="A152" i="45"/>
  <c r="A151" i="45"/>
  <c r="A150" i="45"/>
  <c r="A149" i="45"/>
  <c r="A152" i="47"/>
  <c r="A151" i="47"/>
  <c r="A150" i="47"/>
  <c r="A149" i="47"/>
  <c r="A152" i="48"/>
  <c r="A151" i="48"/>
  <c r="A150" i="48"/>
  <c r="A149" i="48"/>
  <c r="A152" i="50"/>
  <c r="A151" i="50"/>
  <c r="A150" i="50"/>
  <c r="A149" i="50"/>
  <c r="A152" i="51"/>
  <c r="A151" i="51"/>
  <c r="A150" i="51"/>
  <c r="A149" i="51"/>
  <c r="A152" i="52"/>
  <c r="A151" i="52"/>
  <c r="A150" i="52"/>
  <c r="A149" i="52"/>
  <c r="A152" i="75"/>
  <c r="A151" i="75"/>
  <c r="A150" i="75"/>
  <c r="A149" i="75"/>
  <c r="A152" i="76"/>
  <c r="A151" i="76"/>
  <c r="A150" i="76"/>
  <c r="A149" i="76"/>
  <c r="A152" i="55"/>
  <c r="A151" i="55"/>
  <c r="A150" i="55"/>
  <c r="A149" i="55"/>
  <c r="A152" i="56"/>
  <c r="A151" i="56"/>
  <c r="A150" i="56"/>
  <c r="A149" i="56"/>
  <c r="A152" i="57"/>
  <c r="A151" i="57"/>
  <c r="A150" i="57"/>
  <c r="A149" i="57"/>
  <c r="A152" i="58"/>
  <c r="A151" i="58"/>
  <c r="A150" i="58"/>
  <c r="A149" i="58"/>
  <c r="A152" i="66"/>
  <c r="A151" i="66"/>
  <c r="A150" i="66"/>
  <c r="A149" i="66"/>
  <c r="A152" i="67"/>
  <c r="A151" i="67"/>
  <c r="A150" i="67"/>
  <c r="A149" i="67"/>
  <c r="A152" i="69"/>
  <c r="A151" i="69"/>
  <c r="A150" i="69"/>
  <c r="A149" i="69"/>
  <c r="A152" i="70"/>
  <c r="A151" i="70"/>
  <c r="A150" i="70"/>
  <c r="A149" i="70"/>
  <c r="A152" i="71"/>
  <c r="A151" i="71"/>
  <c r="A150" i="71"/>
  <c r="A149" i="71"/>
  <c r="A152" i="68"/>
  <c r="A151" i="68"/>
  <c r="A150" i="68"/>
  <c r="A149" i="68"/>
  <c r="A152" i="77"/>
  <c r="A151" i="77"/>
  <c r="A150" i="77"/>
  <c r="A149" i="77"/>
  <c r="A152" i="78"/>
  <c r="A151" i="78"/>
  <c r="A150" i="78"/>
  <c r="A149" i="78"/>
  <c r="A152" i="15"/>
  <c r="A151" i="15"/>
  <c r="A150" i="15"/>
  <c r="A149" i="15"/>
  <c r="A148" i="16"/>
  <c r="A147" i="16"/>
  <c r="A146" i="16"/>
  <c r="A145" i="16"/>
  <c r="A148" i="17"/>
  <c r="A147" i="17"/>
  <c r="A146" i="17"/>
  <c r="A145" i="17"/>
  <c r="A148" i="18"/>
  <c r="A147" i="18"/>
  <c r="A146" i="18"/>
  <c r="A145" i="18"/>
  <c r="A148" i="20"/>
  <c r="A147" i="20"/>
  <c r="A146" i="20"/>
  <c r="A145" i="20"/>
  <c r="A148" i="21"/>
  <c r="A147" i="21"/>
  <c r="A146" i="21"/>
  <c r="A145" i="21"/>
  <c r="A148" i="25"/>
  <c r="A147" i="25"/>
  <c r="A146" i="25"/>
  <c r="A145" i="25"/>
  <c r="A148" i="24"/>
  <c r="A147" i="24"/>
  <c r="A146" i="24"/>
  <c r="A145" i="24"/>
  <c r="A148" i="22"/>
  <c r="A147" i="22"/>
  <c r="A146" i="22"/>
  <c r="A145" i="22"/>
  <c r="A148" i="26"/>
  <c r="A147" i="26"/>
  <c r="A146" i="26"/>
  <c r="A145" i="26"/>
  <c r="A148" i="27"/>
  <c r="A147" i="27"/>
  <c r="A146" i="27"/>
  <c r="A145" i="27"/>
  <c r="A148" i="28"/>
  <c r="A147" i="28"/>
  <c r="A146" i="28"/>
  <c r="A145" i="28"/>
  <c r="A148" i="29"/>
  <c r="A147" i="29"/>
  <c r="A146" i="29"/>
  <c r="A145" i="29"/>
  <c r="A148" i="30"/>
  <c r="A147" i="30"/>
  <c r="A146" i="30"/>
  <c r="A145" i="30"/>
  <c r="A148" i="31"/>
  <c r="A147" i="31"/>
  <c r="A146" i="31"/>
  <c r="A145" i="31"/>
  <c r="A148" i="32"/>
  <c r="A147" i="32"/>
  <c r="A146" i="32"/>
  <c r="A145" i="32"/>
  <c r="A148" i="33"/>
  <c r="A147" i="33"/>
  <c r="A146" i="33"/>
  <c r="A145" i="33"/>
  <c r="A148" i="34"/>
  <c r="A147" i="34"/>
  <c r="A146" i="34"/>
  <c r="A145" i="34"/>
  <c r="A148" i="35"/>
  <c r="A147" i="35"/>
  <c r="A146" i="35"/>
  <c r="A145" i="35"/>
  <c r="A148" i="23"/>
  <c r="A147" i="23"/>
  <c r="A146" i="23"/>
  <c r="A145" i="23"/>
  <c r="A148" i="36"/>
  <c r="A147" i="36"/>
  <c r="A146" i="36"/>
  <c r="A145" i="36"/>
  <c r="A148" i="37"/>
  <c r="A147" i="37"/>
  <c r="A146" i="37"/>
  <c r="A145" i="37"/>
  <c r="A148" i="38"/>
  <c r="A147" i="38"/>
  <c r="A146" i="38"/>
  <c r="A145" i="38"/>
  <c r="A148" i="39"/>
  <c r="A147" i="39"/>
  <c r="A146" i="39"/>
  <c r="A145" i="39"/>
  <c r="A148" i="40"/>
  <c r="A147" i="40"/>
  <c r="A146" i="40"/>
  <c r="A145" i="40"/>
  <c r="A148" i="42"/>
  <c r="A147" i="42"/>
  <c r="A146" i="42"/>
  <c r="A145" i="42"/>
  <c r="A148" i="43"/>
  <c r="A147" i="43"/>
  <c r="A146" i="43"/>
  <c r="A145" i="43"/>
  <c r="A148" i="44"/>
  <c r="A147" i="44"/>
  <c r="A146" i="44"/>
  <c r="A145" i="44"/>
  <c r="A148" i="45"/>
  <c r="A147" i="45"/>
  <c r="A146" i="45"/>
  <c r="A145" i="45"/>
  <c r="A148" i="47"/>
  <c r="A147" i="47"/>
  <c r="A146" i="47"/>
  <c r="A145" i="47"/>
  <c r="A148" i="48"/>
  <c r="A147" i="48"/>
  <c r="A146" i="48"/>
  <c r="A145" i="48"/>
  <c r="A148" i="50"/>
  <c r="A147" i="50"/>
  <c r="A146" i="50"/>
  <c r="A145" i="50"/>
  <c r="A148" i="51"/>
  <c r="A147" i="51"/>
  <c r="A146" i="51"/>
  <c r="A145" i="51"/>
  <c r="A148" i="52"/>
  <c r="A147" i="52"/>
  <c r="A146" i="52"/>
  <c r="A145" i="52"/>
  <c r="A148" i="75"/>
  <c r="A147" i="75"/>
  <c r="A146" i="75"/>
  <c r="A145" i="75"/>
  <c r="A148" i="76"/>
  <c r="A147" i="76"/>
  <c r="A146" i="76"/>
  <c r="A145" i="76"/>
  <c r="A148" i="55"/>
  <c r="A147" i="55"/>
  <c r="A146" i="55"/>
  <c r="A145" i="55"/>
  <c r="A148" i="56"/>
  <c r="A147" i="56"/>
  <c r="A146" i="56"/>
  <c r="A145" i="56"/>
  <c r="A148" i="57"/>
  <c r="A147" i="57"/>
  <c r="A146" i="57"/>
  <c r="A145" i="57"/>
  <c r="A148" i="58"/>
  <c r="A147" i="58"/>
  <c r="A146" i="58"/>
  <c r="A145" i="58"/>
  <c r="A148" i="66"/>
  <c r="A147" i="66"/>
  <c r="A146" i="66"/>
  <c r="A145" i="66"/>
  <c r="A148" i="67"/>
  <c r="A147" i="67"/>
  <c r="A146" i="67"/>
  <c r="A145" i="67"/>
  <c r="A148" i="69"/>
  <c r="A147" i="69"/>
  <c r="A146" i="69"/>
  <c r="A145" i="69"/>
  <c r="A148" i="70"/>
  <c r="A147" i="70"/>
  <c r="A146" i="70"/>
  <c r="A145" i="70"/>
  <c r="A148" i="71"/>
  <c r="A147" i="71"/>
  <c r="A146" i="71"/>
  <c r="A145" i="71"/>
  <c r="A148" i="68"/>
  <c r="A147" i="68"/>
  <c r="A146" i="68"/>
  <c r="A145" i="68"/>
  <c r="A148" i="77"/>
  <c r="A147" i="77"/>
  <c r="A146" i="77"/>
  <c r="A145" i="77"/>
  <c r="A148" i="78"/>
  <c r="A147" i="78"/>
  <c r="A146" i="78"/>
  <c r="A145" i="78"/>
  <c r="A148" i="15"/>
  <c r="A147" i="15"/>
  <c r="A146" i="15"/>
  <c r="A145" i="15"/>
  <c r="A144" i="16"/>
  <c r="A144" i="17"/>
  <c r="A144" i="18"/>
  <c r="A144" i="20"/>
  <c r="A144" i="21"/>
  <c r="A144" i="25"/>
  <c r="A144" i="24"/>
  <c r="A144" i="22"/>
  <c r="A144" i="26"/>
  <c r="A144" i="27"/>
  <c r="A144" i="28"/>
  <c r="A144" i="29"/>
  <c r="A144" i="30"/>
  <c r="A144" i="31"/>
  <c r="A144" i="32"/>
  <c r="A144" i="33"/>
  <c r="A144" i="34"/>
  <c r="A144" i="35"/>
  <c r="A144" i="23"/>
  <c r="A144" i="36"/>
  <c r="A144" i="37"/>
  <c r="A144" i="38"/>
  <c r="A144" i="39"/>
  <c r="A144" i="40"/>
  <c r="A144" i="42"/>
  <c r="A144" i="43"/>
  <c r="A144" i="44"/>
  <c r="A144" i="45"/>
  <c r="A144" i="47"/>
  <c r="A144" i="48"/>
  <c r="A144" i="50"/>
  <c r="A144" i="51"/>
  <c r="A144" i="52"/>
  <c r="A144" i="75"/>
  <c r="A144" i="76"/>
  <c r="A144" i="55"/>
  <c r="A144" i="56"/>
  <c r="A144" i="57"/>
  <c r="A144" i="58"/>
  <c r="A144" i="66"/>
  <c r="A144" i="67"/>
  <c r="A144" i="69"/>
  <c r="A144" i="70"/>
  <c r="A144" i="71"/>
  <c r="A144" i="68"/>
  <c r="A144" i="77"/>
  <c r="A144" i="78"/>
  <c r="A144" i="15"/>
  <c r="A143" i="16"/>
  <c r="A142" i="16"/>
  <c r="A143" i="17"/>
  <c r="A142" i="17"/>
  <c r="A143" i="18"/>
  <c r="A142" i="18"/>
  <c r="A143" i="20"/>
  <c r="A142" i="20"/>
  <c r="A143" i="21"/>
  <c r="A142" i="21"/>
  <c r="A143" i="25"/>
  <c r="A142" i="25"/>
  <c r="A143" i="24"/>
  <c r="A142" i="24"/>
  <c r="A143" i="22"/>
  <c r="A142" i="22"/>
  <c r="A143" i="26"/>
  <c r="A142" i="26"/>
  <c r="A143" i="27"/>
  <c r="A142" i="27"/>
  <c r="A143" i="28"/>
  <c r="A142" i="28"/>
  <c r="A143" i="29"/>
  <c r="A142" i="29"/>
  <c r="A143" i="30"/>
  <c r="A142" i="30"/>
  <c r="A143" i="31"/>
  <c r="A142" i="31"/>
  <c r="A143" i="32"/>
  <c r="A142" i="32"/>
  <c r="A143" i="33"/>
  <c r="A142" i="33"/>
  <c r="A143" i="34"/>
  <c r="A142" i="34"/>
  <c r="A143" i="35"/>
  <c r="A142" i="35"/>
  <c r="A143" i="23"/>
  <c r="A142" i="23"/>
  <c r="A143" i="36"/>
  <c r="A142" i="36"/>
  <c r="A143" i="37"/>
  <c r="A142" i="37"/>
  <c r="A143" i="38"/>
  <c r="A142" i="38"/>
  <c r="A143" i="39"/>
  <c r="A142" i="39"/>
  <c r="A143" i="40"/>
  <c r="A142" i="40"/>
  <c r="A143" i="42"/>
  <c r="A142" i="42"/>
  <c r="A143" i="43"/>
  <c r="A142" i="43"/>
  <c r="A143" i="44"/>
  <c r="A142" i="44"/>
  <c r="A143" i="45"/>
  <c r="A142" i="45"/>
  <c r="A143" i="47"/>
  <c r="A142" i="47"/>
  <c r="A143" i="48"/>
  <c r="A142" i="48"/>
  <c r="A143" i="50"/>
  <c r="A142" i="50"/>
  <c r="A143" i="51"/>
  <c r="A142" i="51"/>
  <c r="A143" i="52"/>
  <c r="A142" i="52"/>
  <c r="A143" i="75"/>
  <c r="A142" i="75"/>
  <c r="A143" i="76"/>
  <c r="A142" i="76"/>
  <c r="A143" i="55"/>
  <c r="A142" i="55"/>
  <c r="A143" i="56"/>
  <c r="A142" i="56"/>
  <c r="A143" i="57"/>
  <c r="A142" i="57"/>
  <c r="A143" i="58"/>
  <c r="A142" i="58"/>
  <c r="A143" i="66"/>
  <c r="A142" i="66"/>
  <c r="A143" i="67"/>
  <c r="A142" i="67"/>
  <c r="A143" i="69"/>
  <c r="A142" i="69"/>
  <c r="A143" i="70"/>
  <c r="A142" i="70"/>
  <c r="A143" i="71"/>
  <c r="A142" i="71"/>
  <c r="A143" i="68"/>
  <c r="A142" i="68"/>
  <c r="A143" i="77"/>
  <c r="A142" i="77"/>
  <c r="A143" i="78"/>
  <c r="A142" i="78"/>
  <c r="A143" i="15"/>
  <c r="A142" i="15"/>
  <c r="A141" i="16"/>
  <c r="A141" i="17"/>
  <c r="A141" i="18"/>
  <c r="A141" i="20"/>
  <c r="A141" i="21"/>
  <c r="A141" i="25"/>
  <c r="A141" i="24"/>
  <c r="A141" i="22"/>
  <c r="A141" i="26"/>
  <c r="A141" i="27"/>
  <c r="A141" i="28"/>
  <c r="A141" i="29"/>
  <c r="A141" i="30"/>
  <c r="A141" i="31"/>
  <c r="A141" i="32"/>
  <c r="A141" i="33"/>
  <c r="A141" i="34"/>
  <c r="A141" i="35"/>
  <c r="A141" i="23"/>
  <c r="A141" i="36"/>
  <c r="A141" i="37"/>
  <c r="A141" i="38"/>
  <c r="A141" i="39"/>
  <c r="A141" i="40"/>
  <c r="A141" i="42"/>
  <c r="A141" i="43"/>
  <c r="A141" i="44"/>
  <c r="A141" i="45"/>
  <c r="A141" i="47"/>
  <c r="A141" i="48"/>
  <c r="A141" i="50"/>
  <c r="A141" i="51"/>
  <c r="A141" i="52"/>
  <c r="A141" i="75"/>
  <c r="A141" i="76"/>
  <c r="A141" i="55"/>
  <c r="A141" i="56"/>
  <c r="A141" i="57"/>
  <c r="A141" i="58"/>
  <c r="A141" i="66"/>
  <c r="A141" i="67"/>
  <c r="A141" i="69"/>
  <c r="A141" i="70"/>
  <c r="A141" i="71"/>
  <c r="A141" i="68"/>
  <c r="A141" i="77"/>
  <c r="A141" i="78"/>
  <c r="A141" i="15"/>
  <c r="A140" i="16"/>
  <c r="A140" i="17"/>
  <c r="A140" i="18"/>
  <c r="A140" i="20"/>
  <c r="A140" i="21"/>
  <c r="A140" i="25"/>
  <c r="A140" i="24"/>
  <c r="A140" i="22"/>
  <c r="A140" i="26"/>
  <c r="A140" i="27"/>
  <c r="A140" i="28"/>
  <c r="A140" i="29"/>
  <c r="A140" i="30"/>
  <c r="A140" i="31"/>
  <c r="A140" i="32"/>
  <c r="A140" i="33"/>
  <c r="A140" i="34"/>
  <c r="A140" i="35"/>
  <c r="A140" i="23"/>
  <c r="A140" i="36"/>
  <c r="A140" i="37"/>
  <c r="A140" i="38"/>
  <c r="A140" i="39"/>
  <c r="A140" i="40"/>
  <c r="A140" i="42"/>
  <c r="A140" i="43"/>
  <c r="A140" i="44"/>
  <c r="A140" i="45"/>
  <c r="A140" i="47"/>
  <c r="A140" i="48"/>
  <c r="A140" i="50"/>
  <c r="A140" i="51"/>
  <c r="A140" i="52"/>
  <c r="A140" i="75"/>
  <c r="A140" i="76"/>
  <c r="A140" i="55"/>
  <c r="A140" i="56"/>
  <c r="A140" i="57"/>
  <c r="A140" i="58"/>
  <c r="A140" i="66"/>
  <c r="A140" i="67"/>
  <c r="A140" i="69"/>
  <c r="A140" i="70"/>
  <c r="A140" i="71"/>
  <c r="A140" i="68"/>
  <c r="A140" i="77"/>
  <c r="A140" i="78"/>
  <c r="A140" i="15"/>
  <c r="A139" i="16"/>
  <c r="A139" i="17"/>
  <c r="A139" i="18"/>
  <c r="A139" i="20"/>
  <c r="A139" i="21"/>
  <c r="A139" i="25"/>
  <c r="A139" i="24"/>
  <c r="A139" i="22"/>
  <c r="A139" i="26"/>
  <c r="A139" i="27"/>
  <c r="A139" i="28"/>
  <c r="A139" i="29"/>
  <c r="A139" i="30"/>
  <c r="A139" i="31"/>
  <c r="A139" i="32"/>
  <c r="A139" i="33"/>
  <c r="A139" i="34"/>
  <c r="A139" i="35"/>
  <c r="A139" i="23"/>
  <c r="A139" i="36"/>
  <c r="A139" i="37"/>
  <c r="A139" i="38"/>
  <c r="A139" i="39"/>
  <c r="A139" i="40"/>
  <c r="A139" i="42"/>
  <c r="A139" i="43"/>
  <c r="A139" i="44"/>
  <c r="A139" i="45"/>
  <c r="A139" i="47"/>
  <c r="A139" i="48"/>
  <c r="A139" i="50"/>
  <c r="A139" i="51"/>
  <c r="A139" i="52"/>
  <c r="A139" i="75"/>
  <c r="A139" i="76"/>
  <c r="A139" i="55"/>
  <c r="A139" i="56"/>
  <c r="A139" i="57"/>
  <c r="A139" i="58"/>
  <c r="A139" i="66"/>
  <c r="A139" i="67"/>
  <c r="A139" i="69"/>
  <c r="A139" i="70"/>
  <c r="A139" i="71"/>
  <c r="A139" i="68"/>
  <c r="A139" i="77"/>
  <c r="A139" i="78"/>
  <c r="A139" i="15"/>
  <c r="A138" i="16"/>
  <c r="A138" i="17"/>
  <c r="A138" i="18"/>
  <c r="A138" i="20"/>
  <c r="A138" i="21"/>
  <c r="A138" i="25"/>
  <c r="A138" i="24"/>
  <c r="A138" i="22"/>
  <c r="A138" i="26"/>
  <c r="A138" i="27"/>
  <c r="A138" i="28"/>
  <c r="A138" i="29"/>
  <c r="A138" i="30"/>
  <c r="A138" i="31"/>
  <c r="A138" i="32"/>
  <c r="A138" i="33"/>
  <c r="A138" i="34"/>
  <c r="A138" i="35"/>
  <c r="A138" i="23"/>
  <c r="A138" i="36"/>
  <c r="A138" i="37"/>
  <c r="A138" i="38"/>
  <c r="A138" i="39"/>
  <c r="A138" i="40"/>
  <c r="A138" i="42"/>
  <c r="A138" i="43"/>
  <c r="A138" i="44"/>
  <c r="A138" i="45"/>
  <c r="A138" i="47"/>
  <c r="A138" i="48"/>
  <c r="A138" i="50"/>
  <c r="A138" i="51"/>
  <c r="A138" i="52"/>
  <c r="A138" i="75"/>
  <c r="A138" i="76"/>
  <c r="A138" i="55"/>
  <c r="A138" i="56"/>
  <c r="A138" i="57"/>
  <c r="A138" i="58"/>
  <c r="A138" i="66"/>
  <c r="A138" i="67"/>
  <c r="A138" i="69"/>
  <c r="A138" i="70"/>
  <c r="A138" i="71"/>
  <c r="A138" i="68"/>
  <c r="A138" i="77"/>
  <c r="A138" i="78"/>
  <c r="A138" i="15"/>
  <c r="A137" i="16"/>
  <c r="A137" i="17"/>
  <c r="A137" i="18"/>
  <c r="A137" i="20"/>
  <c r="A137" i="21"/>
  <c r="A137" i="25"/>
  <c r="A137" i="24"/>
  <c r="A137" i="22"/>
  <c r="A137" i="26"/>
  <c r="A137" i="27"/>
  <c r="A137" i="28"/>
  <c r="A137" i="29"/>
  <c r="A137" i="30"/>
  <c r="A137" i="31"/>
  <c r="A137" i="32"/>
  <c r="A137" i="33"/>
  <c r="A137" i="34"/>
  <c r="A137" i="35"/>
  <c r="A137" i="23"/>
  <c r="A137" i="36"/>
  <c r="A137" i="37"/>
  <c r="A137" i="38"/>
  <c r="A137" i="39"/>
  <c r="A137" i="40"/>
  <c r="A137" i="42"/>
  <c r="A137" i="43"/>
  <c r="A137" i="44"/>
  <c r="A137" i="45"/>
  <c r="A137" i="47"/>
  <c r="A137" i="48"/>
  <c r="A137" i="50"/>
  <c r="A137" i="51"/>
  <c r="A137" i="52"/>
  <c r="A137" i="75"/>
  <c r="A137" i="76"/>
  <c r="A137" i="55"/>
  <c r="A137" i="56"/>
  <c r="A137" i="57"/>
  <c r="A137" i="58"/>
  <c r="A137" i="66"/>
  <c r="A137" i="67"/>
  <c r="A137" i="69"/>
  <c r="A137" i="70"/>
  <c r="A137" i="71"/>
  <c r="A137" i="68"/>
  <c r="A137" i="77"/>
  <c r="A137" i="78"/>
  <c r="A137" i="15"/>
  <c r="A136" i="16"/>
  <c r="A136" i="17"/>
  <c r="A136" i="18"/>
  <c r="A136" i="20"/>
  <c r="A136" i="21"/>
  <c r="A136" i="25"/>
  <c r="A136" i="24"/>
  <c r="A136" i="22"/>
  <c r="A136" i="26"/>
  <c r="A136" i="27"/>
  <c r="A136" i="28"/>
  <c r="A136" i="29"/>
  <c r="A136" i="30"/>
  <c r="A136" i="31"/>
  <c r="A136" i="32"/>
  <c r="A136" i="33"/>
  <c r="A136" i="34"/>
  <c r="A136" i="35"/>
  <c r="A136" i="23"/>
  <c r="A136" i="36"/>
  <c r="A136" i="37"/>
  <c r="A136" i="38"/>
  <c r="A136" i="39"/>
  <c r="A136" i="40"/>
  <c r="A136" i="42"/>
  <c r="A136" i="43"/>
  <c r="A136" i="44"/>
  <c r="A136" i="45"/>
  <c r="A136" i="47"/>
  <c r="A136" i="48"/>
  <c r="A136" i="50"/>
  <c r="A136" i="51"/>
  <c r="A136" i="52"/>
  <c r="A136" i="75"/>
  <c r="A136" i="76"/>
  <c r="A136" i="55"/>
  <c r="A136" i="56"/>
  <c r="A136" i="57"/>
  <c r="A136" i="58"/>
  <c r="A136" i="66"/>
  <c r="A136" i="67"/>
  <c r="A136" i="69"/>
  <c r="A136" i="70"/>
  <c r="A136" i="71"/>
  <c r="A136" i="68"/>
  <c r="A136" i="77"/>
  <c r="A136" i="78"/>
  <c r="A136" i="15"/>
  <c r="A135" i="16"/>
  <c r="A135" i="17"/>
  <c r="A135" i="18"/>
  <c r="A135" i="20"/>
  <c r="A135" i="21"/>
  <c r="A135" i="25"/>
  <c r="A135" i="24"/>
  <c r="A135" i="22"/>
  <c r="A135" i="26"/>
  <c r="A135" i="27"/>
  <c r="A135" i="28"/>
  <c r="A135" i="29"/>
  <c r="A135" i="30"/>
  <c r="A135" i="31"/>
  <c r="A135" i="32"/>
  <c r="A135" i="33"/>
  <c r="A135" i="34"/>
  <c r="A135" i="35"/>
  <c r="A135" i="23"/>
  <c r="A135" i="36"/>
  <c r="A135" i="37"/>
  <c r="A135" i="38"/>
  <c r="A135" i="39"/>
  <c r="A135" i="40"/>
  <c r="A135" i="42"/>
  <c r="A135" i="43"/>
  <c r="A135" i="44"/>
  <c r="A135" i="45"/>
  <c r="A135" i="47"/>
  <c r="A135" i="48"/>
  <c r="A135" i="50"/>
  <c r="A135" i="51"/>
  <c r="A135" i="52"/>
  <c r="A135" i="75"/>
  <c r="A135" i="76"/>
  <c r="A135" i="55"/>
  <c r="A135" i="56"/>
  <c r="A135" i="57"/>
  <c r="A135" i="58"/>
  <c r="A135" i="66"/>
  <c r="A135" i="67"/>
  <c r="A135" i="69"/>
  <c r="A135" i="70"/>
  <c r="A135" i="71"/>
  <c r="A135" i="68"/>
  <c r="A135" i="77"/>
  <c r="A135" i="78"/>
  <c r="A135" i="15"/>
  <c r="F80" i="16"/>
  <c r="F79" i="16"/>
  <c r="F80" i="17"/>
  <c r="F79" i="17"/>
  <c r="F80" i="18"/>
  <c r="F79" i="18"/>
  <c r="R79" i="18" s="1"/>
  <c r="R83" i="20"/>
  <c r="F80" i="20"/>
  <c r="R80" i="20" s="1"/>
  <c r="F79" i="20"/>
  <c r="R79" i="20" s="1"/>
  <c r="R83" i="21"/>
  <c r="F80" i="21"/>
  <c r="F79" i="21"/>
  <c r="R79" i="21" s="1"/>
  <c r="R83" i="25"/>
  <c r="F80" i="25"/>
  <c r="F79" i="25"/>
  <c r="F80" i="24"/>
  <c r="F79" i="24"/>
  <c r="F80" i="22"/>
  <c r="F79" i="22"/>
  <c r="F80" i="26"/>
  <c r="R80" i="26" s="1"/>
  <c r="F79" i="26"/>
  <c r="R79" i="26" s="1"/>
  <c r="R83" i="27"/>
  <c r="F80" i="27"/>
  <c r="F79" i="27"/>
  <c r="R83" i="28"/>
  <c r="F80" i="28"/>
  <c r="R80" i="28" s="1"/>
  <c r="F79" i="28"/>
  <c r="R79" i="28"/>
  <c r="R83" i="29"/>
  <c r="F80" i="29"/>
  <c r="R80" i="29" s="1"/>
  <c r="F79" i="29"/>
  <c r="F80" i="30"/>
  <c r="F79" i="30"/>
  <c r="R79" i="30" s="1"/>
  <c r="R83" i="31"/>
  <c r="F80" i="31"/>
  <c r="R80" i="31"/>
  <c r="F79" i="31"/>
  <c r="R79" i="31"/>
  <c r="R83" i="32"/>
  <c r="F80" i="32"/>
  <c r="R80" i="32"/>
  <c r="F79" i="32"/>
  <c r="R79" i="32" s="1"/>
  <c r="R83" i="33"/>
  <c r="F80" i="33"/>
  <c r="R80" i="33" s="1"/>
  <c r="F79" i="33"/>
  <c r="R79" i="33"/>
  <c r="R83" i="34"/>
  <c r="F80" i="34"/>
  <c r="F79" i="34"/>
  <c r="R79" i="34"/>
  <c r="F80" i="35"/>
  <c r="F79" i="35"/>
  <c r="R79" i="35" s="1"/>
  <c r="R83" i="23"/>
  <c r="F80" i="23"/>
  <c r="R80" i="23" s="1"/>
  <c r="F79" i="23"/>
  <c r="R79" i="23"/>
  <c r="R83" i="36"/>
  <c r="F80" i="36"/>
  <c r="R80" i="36" s="1"/>
  <c r="F79" i="36"/>
  <c r="R79" i="36"/>
  <c r="R83" i="37"/>
  <c r="F80" i="37"/>
  <c r="R80" i="37"/>
  <c r="F79" i="37"/>
  <c r="R79" i="37" s="1"/>
  <c r="R83" i="38"/>
  <c r="F80" i="38"/>
  <c r="R80" i="38" s="1"/>
  <c r="F79" i="38"/>
  <c r="R83" i="39"/>
  <c r="F80" i="39"/>
  <c r="R80" i="39"/>
  <c r="F79" i="39"/>
  <c r="R83" i="40"/>
  <c r="F80" i="40"/>
  <c r="F79" i="40"/>
  <c r="R83" i="42"/>
  <c r="F80" i="42"/>
  <c r="R80" i="42"/>
  <c r="F79" i="42"/>
  <c r="R79" i="42"/>
  <c r="F80" i="43"/>
  <c r="F79" i="43"/>
  <c r="R79" i="43"/>
  <c r="R83" i="44"/>
  <c r="F80" i="44"/>
  <c r="R80" i="44"/>
  <c r="F79" i="44"/>
  <c r="R79" i="44" s="1"/>
  <c r="R83" i="45"/>
  <c r="F80" i="45"/>
  <c r="F79" i="45"/>
  <c r="R83" i="47"/>
  <c r="F80" i="47"/>
  <c r="R80" i="47" s="1"/>
  <c r="F79" i="47"/>
  <c r="R79" i="47"/>
  <c r="R83" i="48"/>
  <c r="F80" i="48"/>
  <c r="R80" i="48"/>
  <c r="F79" i="48"/>
  <c r="F80" i="50"/>
  <c r="F79" i="50"/>
  <c r="R79" i="50"/>
  <c r="R83" i="51"/>
  <c r="F80" i="51"/>
  <c r="R80" i="51" s="1"/>
  <c r="F79" i="51"/>
  <c r="R83" i="52"/>
  <c r="F80" i="52"/>
  <c r="F79" i="52"/>
  <c r="R79" i="52"/>
  <c r="R83" i="75"/>
  <c r="F80" i="75"/>
  <c r="F79" i="75"/>
  <c r="R79" i="75"/>
  <c r="R83" i="76"/>
  <c r="F80" i="76"/>
  <c r="R80" i="76"/>
  <c r="F79" i="76"/>
  <c r="R79" i="76"/>
  <c r="R83" i="55"/>
  <c r="F80" i="55"/>
  <c r="R80" i="55"/>
  <c r="F79" i="55"/>
  <c r="R79" i="55" s="1"/>
  <c r="R83" i="56"/>
  <c r="F80" i="56"/>
  <c r="R80" i="56" s="1"/>
  <c r="F79" i="56"/>
  <c r="R79" i="56"/>
  <c r="F80" i="57"/>
  <c r="F79" i="57"/>
  <c r="R79" i="57" s="1"/>
  <c r="R83" i="58"/>
  <c r="F80" i="58"/>
  <c r="R80" i="58" s="1"/>
  <c r="F79" i="58"/>
  <c r="R79" i="58"/>
  <c r="R83" i="66"/>
  <c r="F80" i="66"/>
  <c r="R80" i="66"/>
  <c r="F79" i="66"/>
  <c r="R79" i="66"/>
  <c r="R83" i="67"/>
  <c r="F80" i="67"/>
  <c r="R80" i="67" s="1"/>
  <c r="F79" i="67"/>
  <c r="R79" i="67" s="1"/>
  <c r="R83" i="69"/>
  <c r="F80" i="69"/>
  <c r="R80" i="69" s="1"/>
  <c r="F79" i="69"/>
  <c r="R79" i="69"/>
  <c r="F80" i="70"/>
  <c r="R80" i="70"/>
  <c r="F79" i="70"/>
  <c r="R83" i="71"/>
  <c r="F80" i="71"/>
  <c r="R80" i="71"/>
  <c r="F79" i="71"/>
  <c r="R79" i="71" s="1"/>
  <c r="R83" i="68"/>
  <c r="F80" i="68"/>
  <c r="R80" i="68" s="1"/>
  <c r="F79" i="68"/>
  <c r="R79" i="68"/>
  <c r="R83" i="77"/>
  <c r="F80" i="77"/>
  <c r="R80" i="77" s="1"/>
  <c r="F79" i="77"/>
  <c r="R79" i="77"/>
  <c r="R83" i="78"/>
  <c r="F80" i="78"/>
  <c r="R80" i="78"/>
  <c r="F79" i="78"/>
  <c r="R79" i="78" s="1"/>
  <c r="F80" i="15"/>
  <c r="R80" i="15" s="1"/>
  <c r="F79" i="15"/>
  <c r="R79" i="15"/>
  <c r="A7" i="16"/>
  <c r="A7" i="17"/>
  <c r="A7" i="18"/>
  <c r="A7" i="20"/>
  <c r="A7" i="21"/>
  <c r="A7" i="25"/>
  <c r="A7" i="24"/>
  <c r="A7" i="22"/>
  <c r="A7" i="26"/>
  <c r="A7" i="27"/>
  <c r="A7" i="28"/>
  <c r="A7" i="29"/>
  <c r="A7" i="30"/>
  <c r="A7" i="31"/>
  <c r="A7" i="32"/>
  <c r="A7" i="33"/>
  <c r="A7" i="34"/>
  <c r="A7" i="35"/>
  <c r="A7" i="23"/>
  <c r="A7" i="36"/>
  <c r="A7" i="37"/>
  <c r="A7" i="38"/>
  <c r="A7" i="39"/>
  <c r="A7" i="40"/>
  <c r="A7" i="42"/>
  <c r="A7" i="43"/>
  <c r="A7" i="44"/>
  <c r="A7" i="45"/>
  <c r="A7" i="47"/>
  <c r="A7" i="48"/>
  <c r="A7" i="50"/>
  <c r="A7" i="51"/>
  <c r="A7" i="52"/>
  <c r="A7" i="75"/>
  <c r="A7" i="76"/>
  <c r="A7" i="55"/>
  <c r="A7" i="56"/>
  <c r="A7" i="57"/>
  <c r="A7" i="58"/>
  <c r="A7" i="66"/>
  <c r="A7" i="67"/>
  <c r="A7" i="69"/>
  <c r="A7" i="70"/>
  <c r="A7" i="71"/>
  <c r="A7" i="68"/>
  <c r="A7" i="77"/>
  <c r="A7" i="78"/>
  <c r="A7" i="15"/>
  <c r="I98" i="7"/>
  <c r="E52" i="20"/>
  <c r="H50" i="45"/>
  <c r="H51" i="45"/>
  <c r="T51" i="45" s="1"/>
  <c r="U51" i="45" s="1"/>
  <c r="H52" i="45"/>
  <c r="T52" i="45" s="1"/>
  <c r="U52" i="45" s="1"/>
  <c r="H53" i="45"/>
  <c r="H54" i="45"/>
  <c r="T54" i="45"/>
  <c r="U54" i="45" s="1"/>
  <c r="H55" i="45"/>
  <c r="T55" i="45"/>
  <c r="U55" i="45" s="1"/>
  <c r="H56" i="45"/>
  <c r="H57" i="45"/>
  <c r="T57" i="45"/>
  <c r="U57" i="45" s="1"/>
  <c r="H58" i="45"/>
  <c r="C59" i="45"/>
  <c r="E52" i="45"/>
  <c r="H62" i="45"/>
  <c r="T62" i="45" s="1"/>
  <c r="H65" i="45"/>
  <c r="T65" i="45" s="1"/>
  <c r="H50" i="24"/>
  <c r="H51" i="24"/>
  <c r="H52" i="24"/>
  <c r="H53" i="24"/>
  <c r="H54" i="24"/>
  <c r="T54" i="24"/>
  <c r="U54" i="24"/>
  <c r="H55" i="24"/>
  <c r="T55" i="24"/>
  <c r="U55" i="24" s="1"/>
  <c r="H56" i="24"/>
  <c r="H57" i="24"/>
  <c r="H58" i="24"/>
  <c r="T58" i="24" s="1"/>
  <c r="U58" i="24" s="1"/>
  <c r="C59" i="24"/>
  <c r="E51" i="24"/>
  <c r="H62" i="24"/>
  <c r="H65" i="24"/>
  <c r="E53" i="15"/>
  <c r="E58" i="16"/>
  <c r="E57" i="25"/>
  <c r="E107" i="27"/>
  <c r="E106" i="29"/>
  <c r="E57" i="31"/>
  <c r="E51" i="32"/>
  <c r="E58" i="34"/>
  <c r="E54" i="35"/>
  <c r="E107" i="38"/>
  <c r="E55" i="40"/>
  <c r="E106" i="42"/>
  <c r="E50" i="44"/>
  <c r="E58" i="47"/>
  <c r="E107" i="48"/>
  <c r="E56" i="50"/>
  <c r="E53" i="51"/>
  <c r="E58" i="56"/>
  <c r="E58" i="57"/>
  <c r="E57" i="58"/>
  <c r="E50" i="67"/>
  <c r="E56" i="69"/>
  <c r="E108" i="71"/>
  <c r="E53" i="68"/>
  <c r="E50" i="77"/>
  <c r="D29" i="15"/>
  <c r="E23" i="15" s="1"/>
  <c r="D29" i="16"/>
  <c r="E16" i="16" s="1"/>
  <c r="D29" i="17"/>
  <c r="E14" i="17" s="1"/>
  <c r="D29" i="18"/>
  <c r="E18" i="18"/>
  <c r="D29" i="20"/>
  <c r="D29" i="21"/>
  <c r="D29" i="25"/>
  <c r="D29" i="24"/>
  <c r="E23" i="24" s="1"/>
  <c r="D29" i="22"/>
  <c r="E21" i="22" s="1"/>
  <c r="D29" i="26"/>
  <c r="E16" i="26" s="1"/>
  <c r="D29" i="27"/>
  <c r="D29" i="28"/>
  <c r="E23" i="28" s="1"/>
  <c r="D29" i="29"/>
  <c r="E15" i="29" s="1"/>
  <c r="D29" i="31"/>
  <c r="E23" i="31"/>
  <c r="D29" i="32"/>
  <c r="D29" i="33"/>
  <c r="E24" i="33" s="1"/>
  <c r="D29" i="34"/>
  <c r="E13" i="34" s="1"/>
  <c r="D29" i="35"/>
  <c r="E26" i="35" s="1"/>
  <c r="D29" i="23"/>
  <c r="E20" i="23" s="1"/>
  <c r="D29" i="36"/>
  <c r="E27" i="36" s="1"/>
  <c r="D29" i="37"/>
  <c r="E22" i="37" s="1"/>
  <c r="D29" i="38"/>
  <c r="D29" i="39"/>
  <c r="E17" i="39" s="1"/>
  <c r="D29" i="40"/>
  <c r="D29" i="42"/>
  <c r="D29" i="43"/>
  <c r="D29" i="44"/>
  <c r="E26" i="44" s="1"/>
  <c r="D29" i="45"/>
  <c r="E14" i="45" s="1"/>
  <c r="D29" i="47"/>
  <c r="E13" i="47" s="1"/>
  <c r="D29" i="48"/>
  <c r="D29" i="50"/>
  <c r="D29" i="51"/>
  <c r="E24" i="51" s="1"/>
  <c r="E16" i="52"/>
  <c r="D29" i="76"/>
  <c r="E22" i="76" s="1"/>
  <c r="D29" i="55"/>
  <c r="E21" i="55" s="1"/>
  <c r="D29" i="56"/>
  <c r="E13" i="56" s="1"/>
  <c r="D29" i="57"/>
  <c r="D29" i="58"/>
  <c r="E24" i="58" s="1"/>
  <c r="D29" i="66"/>
  <c r="E15" i="66" s="1"/>
  <c r="D29" i="67"/>
  <c r="E16" i="67" s="1"/>
  <c r="D29" i="69"/>
  <c r="E19" i="69" s="1"/>
  <c r="D29" i="70"/>
  <c r="D29" i="71"/>
  <c r="E24" i="71" s="1"/>
  <c r="D29" i="68"/>
  <c r="E17" i="68" s="1"/>
  <c r="H17" i="68" s="1"/>
  <c r="D29" i="77"/>
  <c r="E21" i="77" s="1"/>
  <c r="H21" i="77" s="1"/>
  <c r="D29" i="78"/>
  <c r="E14" i="78" s="1"/>
  <c r="D29" i="7"/>
  <c r="D455" i="64"/>
  <c r="D337" i="64"/>
  <c r="D347" i="64"/>
  <c r="I126" i="78"/>
  <c r="H107" i="78"/>
  <c r="T107" i="78"/>
  <c r="F107" i="78"/>
  <c r="R106" i="78"/>
  <c r="R107" i="78"/>
  <c r="H106" i="78"/>
  <c r="T106" i="78" s="1"/>
  <c r="G99" i="78"/>
  <c r="I99" i="78" s="1"/>
  <c r="G98" i="78"/>
  <c r="T98" i="78" s="1"/>
  <c r="F91" i="78"/>
  <c r="R91" i="78"/>
  <c r="F90" i="78"/>
  <c r="R90" i="78" s="1"/>
  <c r="F89" i="78"/>
  <c r="R89" i="78"/>
  <c r="F82" i="78"/>
  <c r="R82" i="78"/>
  <c r="F81" i="78"/>
  <c r="R81" i="78"/>
  <c r="T78" i="78"/>
  <c r="F78" i="78"/>
  <c r="R78" i="78" s="1"/>
  <c r="U78" i="78"/>
  <c r="T77" i="78"/>
  <c r="F77" i="78"/>
  <c r="R77" i="78" s="1"/>
  <c r="U77" i="78" s="1"/>
  <c r="F73" i="78"/>
  <c r="R73" i="78"/>
  <c r="F71" i="78"/>
  <c r="R71" i="78" s="1"/>
  <c r="F70" i="78"/>
  <c r="R70" i="78" s="1"/>
  <c r="F68" i="78"/>
  <c r="R68" i="78" s="1"/>
  <c r="H65" i="78"/>
  <c r="T65" i="78" s="1"/>
  <c r="H62" i="78"/>
  <c r="T62" i="78"/>
  <c r="P59" i="78"/>
  <c r="C59" i="78"/>
  <c r="H58" i="78"/>
  <c r="H57" i="78"/>
  <c r="T57" i="78"/>
  <c r="U57" i="78" s="1"/>
  <c r="H56" i="78"/>
  <c r="H55" i="78"/>
  <c r="T55" i="78" s="1"/>
  <c r="U55" i="78" s="1"/>
  <c r="H54" i="78"/>
  <c r="H53" i="78"/>
  <c r="H52" i="78"/>
  <c r="T52" i="78"/>
  <c r="U52" i="78" s="1"/>
  <c r="H51" i="78"/>
  <c r="H50" i="78"/>
  <c r="T50" i="78" s="1"/>
  <c r="U50" i="78" s="1"/>
  <c r="D43" i="78"/>
  <c r="E40" i="78" s="1"/>
  <c r="C43" i="78"/>
  <c r="C29" i="78"/>
  <c r="F28" i="78"/>
  <c r="F27" i="78"/>
  <c r="F26" i="78"/>
  <c r="F25" i="78"/>
  <c r="F24" i="78"/>
  <c r="F23" i="78"/>
  <c r="F22" i="78"/>
  <c r="F21" i="78"/>
  <c r="F20" i="78"/>
  <c r="F19" i="78"/>
  <c r="F18" i="78"/>
  <c r="F17" i="78"/>
  <c r="F16" i="78"/>
  <c r="F15" i="78"/>
  <c r="F14" i="78"/>
  <c r="F13" i="78"/>
  <c r="H8" i="78"/>
  <c r="C8" i="78"/>
  <c r="P4" i="78"/>
  <c r="F4" i="78"/>
  <c r="A3" i="78"/>
  <c r="N3" i="78" s="1"/>
  <c r="N1" i="78"/>
  <c r="I126" i="77"/>
  <c r="H107" i="77"/>
  <c r="T107" i="77" s="1"/>
  <c r="F107" i="77"/>
  <c r="R106" i="77"/>
  <c r="H106" i="77"/>
  <c r="G99" i="77"/>
  <c r="I99" i="77" s="1"/>
  <c r="G98" i="77"/>
  <c r="I98" i="77" s="1"/>
  <c r="F91" i="77"/>
  <c r="R91" i="77" s="1"/>
  <c r="F90" i="77"/>
  <c r="R90" i="77"/>
  <c r="F89" i="77"/>
  <c r="R89" i="77" s="1"/>
  <c r="F82" i="77"/>
  <c r="R82" i="77" s="1"/>
  <c r="F81" i="77"/>
  <c r="R81" i="77"/>
  <c r="T78" i="77"/>
  <c r="F78" i="77"/>
  <c r="R78" i="77"/>
  <c r="U78" i="77" s="1"/>
  <c r="T77" i="77"/>
  <c r="F77" i="77"/>
  <c r="R77" i="77" s="1"/>
  <c r="U77" i="77" s="1"/>
  <c r="F73" i="77"/>
  <c r="R72" i="77"/>
  <c r="F71" i="77"/>
  <c r="R71" i="77" s="1"/>
  <c r="F70" i="77"/>
  <c r="R70" i="77" s="1"/>
  <c r="F68" i="77"/>
  <c r="R68" i="77" s="1"/>
  <c r="H65" i="77"/>
  <c r="T65" i="77" s="1"/>
  <c r="H62" i="77"/>
  <c r="P59" i="77"/>
  <c r="C59" i="77"/>
  <c r="H58" i="77"/>
  <c r="T58" i="77" s="1"/>
  <c r="U58" i="77" s="1"/>
  <c r="H57" i="77"/>
  <c r="H56" i="77"/>
  <c r="H55" i="77"/>
  <c r="T55" i="77" s="1"/>
  <c r="U55" i="77" s="1"/>
  <c r="H54" i="77"/>
  <c r="T54" i="77"/>
  <c r="U54" i="77" s="1"/>
  <c r="H53" i="77"/>
  <c r="T53" i="77" s="1"/>
  <c r="U53" i="77" s="1"/>
  <c r="H52" i="77"/>
  <c r="H51" i="77"/>
  <c r="T51" i="77" s="1"/>
  <c r="U51" i="77"/>
  <c r="H50" i="77"/>
  <c r="D43" i="77"/>
  <c r="E40" i="77"/>
  <c r="E39" i="77"/>
  <c r="C43" i="77"/>
  <c r="C29" i="77"/>
  <c r="F28" i="77"/>
  <c r="F27" i="77"/>
  <c r="F26" i="77"/>
  <c r="F25" i="77"/>
  <c r="F24" i="77"/>
  <c r="F23" i="77"/>
  <c r="F22" i="77"/>
  <c r="F21" i="77"/>
  <c r="F20" i="77"/>
  <c r="F19" i="77"/>
  <c r="F18" i="77"/>
  <c r="F17" i="77"/>
  <c r="F16" i="77"/>
  <c r="F15" i="77"/>
  <c r="F14" i="77"/>
  <c r="F13" i="77"/>
  <c r="H8" i="77"/>
  <c r="E89" i="77"/>
  <c r="C8" i="77"/>
  <c r="P4" i="77"/>
  <c r="F4" i="77"/>
  <c r="A3" i="77"/>
  <c r="N3" i="77" s="1"/>
  <c r="N1" i="77"/>
  <c r="I126" i="76"/>
  <c r="H107" i="76"/>
  <c r="F107" i="76"/>
  <c r="R106" i="76"/>
  <c r="R107" i="76" s="1"/>
  <c r="H106" i="76"/>
  <c r="G99" i="76"/>
  <c r="I99" i="76" s="1"/>
  <c r="G98" i="76"/>
  <c r="I98" i="76" s="1"/>
  <c r="F91" i="76"/>
  <c r="R91" i="76" s="1"/>
  <c r="F90" i="76"/>
  <c r="R90" i="76" s="1"/>
  <c r="F89" i="76"/>
  <c r="R89" i="76"/>
  <c r="F82" i="76"/>
  <c r="R82" i="76" s="1"/>
  <c r="F81" i="76"/>
  <c r="R81" i="76" s="1"/>
  <c r="T78" i="76"/>
  <c r="F78" i="76"/>
  <c r="R78" i="76"/>
  <c r="T77" i="76"/>
  <c r="F77" i="76"/>
  <c r="R77" i="76" s="1"/>
  <c r="F73" i="76"/>
  <c r="R73" i="76" s="1"/>
  <c r="F71" i="76"/>
  <c r="R71" i="76" s="1"/>
  <c r="F70" i="76"/>
  <c r="R70" i="76" s="1"/>
  <c r="F68" i="76"/>
  <c r="R68" i="76" s="1"/>
  <c r="H65" i="76"/>
  <c r="T65" i="76" s="1"/>
  <c r="H62" i="76"/>
  <c r="T62" i="76" s="1"/>
  <c r="P59" i="76"/>
  <c r="C59" i="76"/>
  <c r="H58" i="76"/>
  <c r="T58" i="76" s="1"/>
  <c r="U58" i="76" s="1"/>
  <c r="H57" i="76"/>
  <c r="H56" i="76"/>
  <c r="T56" i="76"/>
  <c r="U56" i="76"/>
  <c r="H55" i="76"/>
  <c r="T55" i="76" s="1"/>
  <c r="U55" i="76" s="1"/>
  <c r="H54" i="76"/>
  <c r="T54" i="76" s="1"/>
  <c r="U54" i="76" s="1"/>
  <c r="H53" i="76"/>
  <c r="T53" i="76" s="1"/>
  <c r="U53" i="76" s="1"/>
  <c r="H52" i="76"/>
  <c r="T52" i="76"/>
  <c r="U52" i="76" s="1"/>
  <c r="H51" i="76"/>
  <c r="T51" i="76" s="1"/>
  <c r="U51" i="76" s="1"/>
  <c r="H50" i="76"/>
  <c r="T50" i="76" s="1"/>
  <c r="U50" i="76" s="1"/>
  <c r="D43" i="76"/>
  <c r="E40" i="76" s="1"/>
  <c r="C43" i="76"/>
  <c r="C29" i="76"/>
  <c r="F28" i="76"/>
  <c r="F27" i="76"/>
  <c r="F26" i="76"/>
  <c r="F25" i="76"/>
  <c r="F24" i="76"/>
  <c r="F23" i="76"/>
  <c r="F22" i="76"/>
  <c r="F21" i="76"/>
  <c r="F20" i="76"/>
  <c r="F19" i="76"/>
  <c r="F18" i="76"/>
  <c r="F17" i="76"/>
  <c r="F16" i="76"/>
  <c r="F15" i="76"/>
  <c r="F14" i="76"/>
  <c r="F13" i="76"/>
  <c r="H8" i="76"/>
  <c r="T8" i="76"/>
  <c r="C8" i="76"/>
  <c r="P4" i="76"/>
  <c r="F4" i="76"/>
  <c r="A3" i="76"/>
  <c r="N3" i="76" s="1"/>
  <c r="N1" i="76"/>
  <c r="I126" i="75"/>
  <c r="H107" i="75"/>
  <c r="T107" i="75" s="1"/>
  <c r="F107" i="75"/>
  <c r="R106" i="75"/>
  <c r="R107" i="75"/>
  <c r="H106" i="75"/>
  <c r="T106" i="75" s="1"/>
  <c r="G99" i="75"/>
  <c r="I99" i="75" s="1"/>
  <c r="G98" i="75"/>
  <c r="I98" i="75" s="1"/>
  <c r="F91" i="75"/>
  <c r="R91" i="75"/>
  <c r="F90" i="75"/>
  <c r="R90" i="75" s="1"/>
  <c r="F89" i="75"/>
  <c r="R89" i="75" s="1"/>
  <c r="F82" i="75"/>
  <c r="R82" i="75" s="1"/>
  <c r="F81" i="75"/>
  <c r="R81" i="75"/>
  <c r="R80" i="75"/>
  <c r="T78" i="75"/>
  <c r="F78" i="75"/>
  <c r="R78" i="75"/>
  <c r="U78" i="75" s="1"/>
  <c r="T77" i="75"/>
  <c r="F77" i="75"/>
  <c r="R77" i="75" s="1"/>
  <c r="U77" i="75" s="1"/>
  <c r="F73" i="75"/>
  <c r="R73" i="75" s="1"/>
  <c r="F71" i="75"/>
  <c r="R71" i="75" s="1"/>
  <c r="F70" i="75"/>
  <c r="R70" i="75"/>
  <c r="F68" i="75"/>
  <c r="R68" i="75" s="1"/>
  <c r="H65" i="75"/>
  <c r="T65" i="75" s="1"/>
  <c r="H62" i="75"/>
  <c r="T62" i="75" s="1"/>
  <c r="P59" i="75"/>
  <c r="C59" i="75"/>
  <c r="H58" i="75"/>
  <c r="H57" i="75"/>
  <c r="T57" i="75" s="1"/>
  <c r="U57" i="75" s="1"/>
  <c r="H56" i="75"/>
  <c r="T56" i="75" s="1"/>
  <c r="U56" i="75" s="1"/>
  <c r="H55" i="75"/>
  <c r="H54" i="75"/>
  <c r="H53" i="75"/>
  <c r="T53" i="75" s="1"/>
  <c r="U53" i="75" s="1"/>
  <c r="H52" i="75"/>
  <c r="T52" i="75" s="1"/>
  <c r="U52" i="75" s="1"/>
  <c r="H51" i="75"/>
  <c r="T51" i="75"/>
  <c r="U51" i="75" s="1"/>
  <c r="H50" i="75"/>
  <c r="D43" i="75"/>
  <c r="C43" i="75"/>
  <c r="C29" i="75"/>
  <c r="F28" i="75"/>
  <c r="F27" i="75"/>
  <c r="F26" i="75"/>
  <c r="F25" i="75"/>
  <c r="F24" i="75"/>
  <c r="F23" i="75"/>
  <c r="F22" i="75"/>
  <c r="F21" i="75"/>
  <c r="F20" i="75"/>
  <c r="F19" i="75"/>
  <c r="F18" i="75"/>
  <c r="F17" i="75"/>
  <c r="F16" i="75"/>
  <c r="F15" i="75"/>
  <c r="F14" i="75"/>
  <c r="F13" i="75"/>
  <c r="H8" i="75"/>
  <c r="C8" i="75"/>
  <c r="P4" i="75"/>
  <c r="F4" i="75"/>
  <c r="A3" i="75"/>
  <c r="N3" i="75" s="1"/>
  <c r="N1" i="75"/>
  <c r="E50" i="75"/>
  <c r="E25" i="75"/>
  <c r="H25" i="75" s="1"/>
  <c r="I25" i="75" s="1"/>
  <c r="E14" i="75"/>
  <c r="E106" i="75"/>
  <c r="I106" i="75" s="1"/>
  <c r="E15" i="52"/>
  <c r="E107" i="20"/>
  <c r="I99" i="7"/>
  <c r="I34" i="7"/>
  <c r="I9" i="60"/>
  <c r="I130" i="60"/>
  <c r="D445" i="64"/>
  <c r="F78" i="60"/>
  <c r="F77" i="60"/>
  <c r="T78" i="15"/>
  <c r="F78" i="15"/>
  <c r="R78" i="15" s="1"/>
  <c r="U78" i="15" s="1"/>
  <c r="T77" i="15"/>
  <c r="F77" i="15"/>
  <c r="R77" i="15" s="1"/>
  <c r="T78" i="16"/>
  <c r="F78" i="16"/>
  <c r="T77" i="16"/>
  <c r="F77" i="16"/>
  <c r="R77" i="16" s="1"/>
  <c r="U77" i="16" s="1"/>
  <c r="T78" i="17"/>
  <c r="F78" i="17"/>
  <c r="R78" i="17" s="1"/>
  <c r="T77" i="17"/>
  <c r="F77" i="17"/>
  <c r="R77" i="17" s="1"/>
  <c r="U77" i="17" s="1"/>
  <c r="T78" i="18"/>
  <c r="F78" i="18"/>
  <c r="R78" i="18" s="1"/>
  <c r="T77" i="18"/>
  <c r="F77" i="18"/>
  <c r="T78" i="20"/>
  <c r="F78" i="20"/>
  <c r="R78" i="20" s="1"/>
  <c r="U78" i="20" s="1"/>
  <c r="T77" i="20"/>
  <c r="F77" i="20"/>
  <c r="R77" i="20" s="1"/>
  <c r="U77" i="20" s="1"/>
  <c r="T78" i="21"/>
  <c r="F78" i="21"/>
  <c r="R78" i="21" s="1"/>
  <c r="T77" i="21"/>
  <c r="F77" i="21"/>
  <c r="R77" i="21" s="1"/>
  <c r="U77" i="21" s="1"/>
  <c r="T78" i="25"/>
  <c r="F78" i="25"/>
  <c r="R78" i="25" s="1"/>
  <c r="T77" i="25"/>
  <c r="F77" i="25"/>
  <c r="R77" i="25" s="1"/>
  <c r="U77" i="25" s="1"/>
  <c r="T78" i="24"/>
  <c r="F78" i="24"/>
  <c r="R78" i="24" s="1"/>
  <c r="U78" i="24" s="1"/>
  <c r="T77" i="24"/>
  <c r="F77" i="24"/>
  <c r="R77" i="24" s="1"/>
  <c r="T78" i="22"/>
  <c r="F78" i="22"/>
  <c r="R78" i="22"/>
  <c r="U78" i="22" s="1"/>
  <c r="T77" i="22"/>
  <c r="F77" i="22"/>
  <c r="R77" i="22" s="1"/>
  <c r="U77" i="22" s="1"/>
  <c r="T78" i="26"/>
  <c r="F78" i="26"/>
  <c r="R78" i="26" s="1"/>
  <c r="T77" i="26"/>
  <c r="F77" i="26"/>
  <c r="R77" i="26"/>
  <c r="U77" i="26" s="1"/>
  <c r="T78" i="27"/>
  <c r="F78" i="27"/>
  <c r="T77" i="27"/>
  <c r="F77" i="27"/>
  <c r="R77" i="27" s="1"/>
  <c r="T78" i="28"/>
  <c r="F78" i="28"/>
  <c r="R78" i="28" s="1"/>
  <c r="U78" i="28" s="1"/>
  <c r="T77" i="28"/>
  <c r="F77" i="28"/>
  <c r="R77" i="28"/>
  <c r="T78" i="29"/>
  <c r="F78" i="29"/>
  <c r="R78" i="29"/>
  <c r="T77" i="29"/>
  <c r="F77" i="29"/>
  <c r="R77" i="29"/>
  <c r="U77" i="29" s="1"/>
  <c r="T78" i="30"/>
  <c r="F78" i="30"/>
  <c r="R78" i="30" s="1"/>
  <c r="U78" i="30" s="1"/>
  <c r="T77" i="30"/>
  <c r="F77" i="30"/>
  <c r="R77" i="30" s="1"/>
  <c r="U77" i="30" s="1"/>
  <c r="T78" i="31"/>
  <c r="F78" i="31"/>
  <c r="T77" i="31"/>
  <c r="F77" i="31"/>
  <c r="R77" i="31" s="1"/>
  <c r="U77" i="31" s="1"/>
  <c r="T78" i="32"/>
  <c r="F78" i="32"/>
  <c r="R78" i="32"/>
  <c r="U78" i="32" s="1"/>
  <c r="T77" i="32"/>
  <c r="F77" i="32"/>
  <c r="R77" i="32" s="1"/>
  <c r="U77" i="32" s="1"/>
  <c r="T78" i="33"/>
  <c r="F78" i="33"/>
  <c r="R78" i="33" s="1"/>
  <c r="T77" i="33"/>
  <c r="F77" i="33"/>
  <c r="R77" i="33" s="1"/>
  <c r="U77" i="33" s="1"/>
  <c r="T78" i="34"/>
  <c r="F78" i="34"/>
  <c r="R78" i="34"/>
  <c r="T77" i="34"/>
  <c r="F77" i="34"/>
  <c r="R77" i="34" s="1"/>
  <c r="U77" i="34" s="1"/>
  <c r="T78" i="35"/>
  <c r="F78" i="35"/>
  <c r="T77" i="35"/>
  <c r="F77" i="35"/>
  <c r="R77" i="35"/>
  <c r="U77" i="35" s="1"/>
  <c r="T78" i="23"/>
  <c r="F78" i="23"/>
  <c r="R78" i="23" s="1"/>
  <c r="U78" i="23" s="1"/>
  <c r="T77" i="23"/>
  <c r="F77" i="23"/>
  <c r="R77" i="23" s="1"/>
  <c r="U77" i="23" s="1"/>
  <c r="T78" i="36"/>
  <c r="F78" i="36"/>
  <c r="R78" i="36"/>
  <c r="T77" i="36"/>
  <c r="F77" i="36"/>
  <c r="R77" i="36" s="1"/>
  <c r="U77" i="36" s="1"/>
  <c r="T78" i="37"/>
  <c r="F78" i="37"/>
  <c r="R78" i="37"/>
  <c r="U78" i="37" s="1"/>
  <c r="T77" i="37"/>
  <c r="F77" i="37"/>
  <c r="R77" i="37"/>
  <c r="T78" i="38"/>
  <c r="F78" i="38"/>
  <c r="T77" i="38"/>
  <c r="F77" i="38"/>
  <c r="R77" i="38" s="1"/>
  <c r="T78" i="39"/>
  <c r="F78" i="39"/>
  <c r="R78" i="39"/>
  <c r="U78" i="39" s="1"/>
  <c r="T77" i="39"/>
  <c r="F77" i="39"/>
  <c r="R77" i="39" s="1"/>
  <c r="U77" i="39" s="1"/>
  <c r="T78" i="40"/>
  <c r="F78" i="40"/>
  <c r="R78" i="40"/>
  <c r="T77" i="40"/>
  <c r="F77" i="40"/>
  <c r="T78" i="42"/>
  <c r="F78" i="42"/>
  <c r="R78" i="42" s="1"/>
  <c r="T77" i="42"/>
  <c r="F77" i="42"/>
  <c r="R77" i="42" s="1"/>
  <c r="U77" i="42" s="1"/>
  <c r="T78" i="43"/>
  <c r="F78" i="43"/>
  <c r="T77" i="43"/>
  <c r="F77" i="43"/>
  <c r="R77" i="43" s="1"/>
  <c r="U77" i="43" s="1"/>
  <c r="T78" i="44"/>
  <c r="F78" i="44"/>
  <c r="R78" i="44"/>
  <c r="U78" i="44" s="1"/>
  <c r="T77" i="44"/>
  <c r="F77" i="44"/>
  <c r="R77" i="44" s="1"/>
  <c r="U77" i="44" s="1"/>
  <c r="T78" i="45"/>
  <c r="F78" i="45"/>
  <c r="R78" i="45"/>
  <c r="U78" i="45"/>
  <c r="T77" i="45"/>
  <c r="F77" i="45"/>
  <c r="R77" i="45" s="1"/>
  <c r="U77" i="45" s="1"/>
  <c r="T78" i="47"/>
  <c r="F78" i="47"/>
  <c r="T77" i="47"/>
  <c r="F77" i="47"/>
  <c r="R77" i="47" s="1"/>
  <c r="U77" i="47" s="1"/>
  <c r="T78" i="48"/>
  <c r="F78" i="48"/>
  <c r="R78" i="48" s="1"/>
  <c r="T77" i="48"/>
  <c r="F77" i="48"/>
  <c r="R77" i="48"/>
  <c r="U77" i="48" s="1"/>
  <c r="T78" i="50"/>
  <c r="F78" i="50"/>
  <c r="R78" i="50" s="1"/>
  <c r="U78" i="50" s="1"/>
  <c r="T77" i="50"/>
  <c r="F77" i="50"/>
  <c r="T78" i="51"/>
  <c r="F78" i="51"/>
  <c r="R78" i="51"/>
  <c r="T77" i="51"/>
  <c r="F77" i="51"/>
  <c r="R77" i="51" s="1"/>
  <c r="U77" i="51" s="1"/>
  <c r="T78" i="52"/>
  <c r="F78" i="52"/>
  <c r="R78" i="52" s="1"/>
  <c r="U78" i="52" s="1"/>
  <c r="T77" i="52"/>
  <c r="F77" i="52"/>
  <c r="R77" i="52" s="1"/>
  <c r="T78" i="55"/>
  <c r="F78" i="55"/>
  <c r="R78" i="55"/>
  <c r="U78" i="55" s="1"/>
  <c r="T77" i="55"/>
  <c r="F77" i="55"/>
  <c r="R77" i="55" s="1"/>
  <c r="U77" i="55" s="1"/>
  <c r="T78" i="56"/>
  <c r="F78" i="56"/>
  <c r="R78" i="56" s="1"/>
  <c r="T77" i="56"/>
  <c r="F77" i="56"/>
  <c r="T78" i="57"/>
  <c r="F78" i="57"/>
  <c r="R78" i="57" s="1"/>
  <c r="T77" i="57"/>
  <c r="F77" i="57"/>
  <c r="R77" i="57" s="1"/>
  <c r="T78" i="58"/>
  <c r="F78" i="58"/>
  <c r="T77" i="58"/>
  <c r="F77" i="58"/>
  <c r="R77" i="58" s="1"/>
  <c r="U77" i="58" s="1"/>
  <c r="T78" i="66"/>
  <c r="F78" i="66"/>
  <c r="R78" i="66" s="1"/>
  <c r="T77" i="66"/>
  <c r="F77" i="66"/>
  <c r="R77" i="66" s="1"/>
  <c r="U77" i="66" s="1"/>
  <c r="T78" i="67"/>
  <c r="F78" i="67"/>
  <c r="R78" i="67" s="1"/>
  <c r="T77" i="67"/>
  <c r="F77" i="67"/>
  <c r="R77" i="67" s="1"/>
  <c r="U77" i="67" s="1"/>
  <c r="T78" i="69"/>
  <c r="F78" i="69"/>
  <c r="R78" i="69" s="1"/>
  <c r="U78" i="69" s="1"/>
  <c r="T77" i="69"/>
  <c r="F77" i="69"/>
  <c r="R77" i="69" s="1"/>
  <c r="U77" i="69" s="1"/>
  <c r="T78" i="70"/>
  <c r="F78" i="70"/>
  <c r="T77" i="70"/>
  <c r="F77" i="70"/>
  <c r="R77" i="70" s="1"/>
  <c r="U77" i="70" s="1"/>
  <c r="T78" i="71"/>
  <c r="F78" i="71"/>
  <c r="R78" i="71"/>
  <c r="T77" i="71"/>
  <c r="F77" i="71"/>
  <c r="R77" i="71"/>
  <c r="U77" i="71" s="1"/>
  <c r="T78" i="68"/>
  <c r="F78" i="68"/>
  <c r="R78" i="68"/>
  <c r="U78" i="68"/>
  <c r="T77" i="68"/>
  <c r="F77" i="68"/>
  <c r="R77" i="68" s="1"/>
  <c r="U77" i="68" s="1"/>
  <c r="T78" i="7"/>
  <c r="R78" i="7"/>
  <c r="T77" i="7"/>
  <c r="R77" i="7"/>
  <c r="H50" i="71"/>
  <c r="T50" i="71" s="1"/>
  <c r="U50" i="71" s="1"/>
  <c r="H51" i="71"/>
  <c r="T51" i="71" s="1"/>
  <c r="U51" i="71"/>
  <c r="H52" i="71"/>
  <c r="H53" i="71"/>
  <c r="T53" i="71"/>
  <c r="U53" i="71"/>
  <c r="H54" i="71"/>
  <c r="H55" i="71"/>
  <c r="T55" i="71" s="1"/>
  <c r="U55" i="71" s="1"/>
  <c r="H56" i="71"/>
  <c r="H57" i="71"/>
  <c r="H58" i="71"/>
  <c r="C59" i="71"/>
  <c r="H62" i="71"/>
  <c r="T62" i="71" s="1"/>
  <c r="H65" i="71"/>
  <c r="T65" i="71" s="1"/>
  <c r="F68" i="71"/>
  <c r="R68" i="71"/>
  <c r="C59" i="58"/>
  <c r="C29" i="58"/>
  <c r="C59" i="57"/>
  <c r="C29" i="57"/>
  <c r="C59" i="56"/>
  <c r="C29" i="56"/>
  <c r="C59" i="52"/>
  <c r="C59" i="48"/>
  <c r="C29" i="48"/>
  <c r="C59" i="47"/>
  <c r="C29" i="47"/>
  <c r="C59" i="39"/>
  <c r="C29" i="39"/>
  <c r="C59" i="32"/>
  <c r="C29" i="32"/>
  <c r="C59" i="30"/>
  <c r="C29" i="30"/>
  <c r="C59" i="28"/>
  <c r="C29" i="28"/>
  <c r="C59" i="20"/>
  <c r="C29" i="20"/>
  <c r="C59" i="17"/>
  <c r="C29" i="17"/>
  <c r="A15" i="64"/>
  <c r="A37" i="64" s="1"/>
  <c r="A52" i="64" s="1"/>
  <c r="A59" i="64"/>
  <c r="A71" i="64" s="1"/>
  <c r="A79" i="64" s="1"/>
  <c r="A89" i="64" s="1"/>
  <c r="A98" i="64" s="1"/>
  <c r="A107" i="64" s="1"/>
  <c r="A115" i="64" s="1"/>
  <c r="A122" i="64" s="1"/>
  <c r="A131" i="64" s="1"/>
  <c r="A140" i="64" s="1"/>
  <c r="A148" i="64" s="1"/>
  <c r="A156" i="64" s="1"/>
  <c r="A165" i="64" s="1"/>
  <c r="A175" i="64" s="1"/>
  <c r="A184" i="64" s="1"/>
  <c r="A192" i="64" s="1"/>
  <c r="A199" i="64" s="1"/>
  <c r="A207" i="64" s="1"/>
  <c r="A218" i="64" s="1"/>
  <c r="A226" i="64" s="1"/>
  <c r="A237" i="64" s="1"/>
  <c r="A247" i="64" s="1"/>
  <c r="A256" i="64" s="1"/>
  <c r="A266" i="64" s="1"/>
  <c r="A276" i="64" s="1"/>
  <c r="A284" i="64" s="1"/>
  <c r="A292" i="64" s="1"/>
  <c r="A301" i="64" s="1"/>
  <c r="A311" i="64" s="1"/>
  <c r="A319" i="64" s="1"/>
  <c r="A328" i="64" s="1"/>
  <c r="A337" i="64" s="1"/>
  <c r="A347" i="64" s="1"/>
  <c r="A357" i="64" s="1"/>
  <c r="A368" i="64" s="1"/>
  <c r="A375" i="64" s="1"/>
  <c r="A384" i="64" s="1"/>
  <c r="A393" i="64" s="1"/>
  <c r="A400" i="64" s="1"/>
  <c r="A409" i="64" s="1"/>
  <c r="A419" i="64" s="1"/>
  <c r="A428" i="64" s="1"/>
  <c r="A437" i="64" s="1"/>
  <c r="A445" i="64" s="1"/>
  <c r="A455" i="64" s="1"/>
  <c r="D428" i="64"/>
  <c r="I126" i="71"/>
  <c r="H107" i="71"/>
  <c r="T107" i="71"/>
  <c r="F107" i="71"/>
  <c r="R106" i="71"/>
  <c r="R107" i="71" s="1"/>
  <c r="H106" i="71"/>
  <c r="T106" i="71"/>
  <c r="G99" i="71"/>
  <c r="G98" i="71"/>
  <c r="I98" i="71" s="1"/>
  <c r="F91" i="71"/>
  <c r="R91" i="71" s="1"/>
  <c r="F90" i="71"/>
  <c r="R90" i="71"/>
  <c r="F89" i="71"/>
  <c r="R89" i="71" s="1"/>
  <c r="F82" i="71"/>
  <c r="R82" i="71" s="1"/>
  <c r="F81" i="71"/>
  <c r="R81" i="71"/>
  <c r="F73" i="71"/>
  <c r="R73" i="71" s="1"/>
  <c r="R72" i="71"/>
  <c r="F71" i="71"/>
  <c r="R71" i="71"/>
  <c r="F70" i="71"/>
  <c r="R70" i="71" s="1"/>
  <c r="P59" i="71"/>
  <c r="D43" i="71"/>
  <c r="E40" i="71" s="1"/>
  <c r="C43" i="71"/>
  <c r="C29" i="71"/>
  <c r="F28" i="71"/>
  <c r="F27" i="71"/>
  <c r="F26" i="71"/>
  <c r="F25" i="71"/>
  <c r="F24" i="71"/>
  <c r="F23" i="71"/>
  <c r="F22" i="71"/>
  <c r="F21" i="71"/>
  <c r="F20" i="71"/>
  <c r="F19" i="71"/>
  <c r="F18" i="71"/>
  <c r="F17" i="71"/>
  <c r="F16" i="71"/>
  <c r="F15" i="71"/>
  <c r="F14" i="71"/>
  <c r="F13" i="71"/>
  <c r="H8" i="71"/>
  <c r="C8" i="71"/>
  <c r="P4" i="71"/>
  <c r="F4" i="71"/>
  <c r="A3" i="71"/>
  <c r="N3" i="71" s="1"/>
  <c r="N1" i="71"/>
  <c r="C29" i="38"/>
  <c r="C59" i="50"/>
  <c r="B2" i="64"/>
  <c r="H50" i="51"/>
  <c r="H51" i="51"/>
  <c r="T51" i="51"/>
  <c r="U51" i="51"/>
  <c r="H52" i="51"/>
  <c r="T52" i="51" s="1"/>
  <c r="U52" i="51"/>
  <c r="H53" i="51"/>
  <c r="T53" i="51" s="1"/>
  <c r="U53" i="51"/>
  <c r="H54" i="51"/>
  <c r="H55" i="51"/>
  <c r="T55" i="51" s="1"/>
  <c r="U55" i="51" s="1"/>
  <c r="H56" i="51"/>
  <c r="T56" i="51"/>
  <c r="U56" i="51"/>
  <c r="H57" i="51"/>
  <c r="H58" i="51"/>
  <c r="T58" i="51" s="1"/>
  <c r="U58" i="51" s="1"/>
  <c r="C59" i="51"/>
  <c r="H62" i="51"/>
  <c r="T62" i="51" s="1"/>
  <c r="H65" i="51"/>
  <c r="T65" i="51"/>
  <c r="C29" i="16"/>
  <c r="C29" i="31"/>
  <c r="C29" i="67"/>
  <c r="D59" i="64"/>
  <c r="D419" i="64"/>
  <c r="D409" i="64"/>
  <c r="I126" i="70"/>
  <c r="H107" i="70"/>
  <c r="T107" i="70" s="1"/>
  <c r="F107" i="70"/>
  <c r="R106" i="70"/>
  <c r="R107" i="70" s="1"/>
  <c r="H106" i="70"/>
  <c r="G99" i="70"/>
  <c r="G98" i="70"/>
  <c r="T98" i="70" s="1"/>
  <c r="F91" i="70"/>
  <c r="R91" i="70"/>
  <c r="F90" i="70"/>
  <c r="R90" i="70" s="1"/>
  <c r="F89" i="70"/>
  <c r="R89" i="70" s="1"/>
  <c r="F82" i="70"/>
  <c r="R82" i="70" s="1"/>
  <c r="F81" i="70"/>
  <c r="R81" i="70"/>
  <c r="R79" i="70"/>
  <c r="F73" i="70"/>
  <c r="R73" i="70" s="1"/>
  <c r="R72" i="70"/>
  <c r="F71" i="70"/>
  <c r="R71" i="70" s="1"/>
  <c r="F70" i="70"/>
  <c r="R70" i="70"/>
  <c r="F68" i="70"/>
  <c r="R68" i="70" s="1"/>
  <c r="H65" i="70"/>
  <c r="T65" i="70" s="1"/>
  <c r="H62" i="70"/>
  <c r="P59" i="70"/>
  <c r="C59" i="70"/>
  <c r="H58" i="70"/>
  <c r="T58" i="70" s="1"/>
  <c r="U58" i="70" s="1"/>
  <c r="H57" i="70"/>
  <c r="H56" i="70"/>
  <c r="H55" i="70"/>
  <c r="T55" i="70" s="1"/>
  <c r="U55" i="70" s="1"/>
  <c r="H54" i="70"/>
  <c r="T54" i="70"/>
  <c r="U54" i="70" s="1"/>
  <c r="H53" i="70"/>
  <c r="T53" i="70"/>
  <c r="U53" i="70" s="1"/>
  <c r="H52" i="70"/>
  <c r="H51" i="70"/>
  <c r="H50" i="70"/>
  <c r="D43" i="70"/>
  <c r="E38" i="70" s="1"/>
  <c r="C43" i="70"/>
  <c r="C29" i="70"/>
  <c r="F28" i="70"/>
  <c r="F27" i="70"/>
  <c r="F26" i="70"/>
  <c r="F25" i="70"/>
  <c r="F24" i="70"/>
  <c r="F23" i="70"/>
  <c r="F22" i="70"/>
  <c r="F21" i="70"/>
  <c r="F20" i="70"/>
  <c r="F19" i="70"/>
  <c r="F18" i="70"/>
  <c r="F17" i="70"/>
  <c r="F16" i="70"/>
  <c r="F15" i="70"/>
  <c r="F14" i="70"/>
  <c r="F13" i="70"/>
  <c r="H8" i="70"/>
  <c r="C8" i="70"/>
  <c r="P4" i="70"/>
  <c r="F4" i="70"/>
  <c r="A3" i="70"/>
  <c r="N3" i="70" s="1"/>
  <c r="N1" i="70"/>
  <c r="I126" i="69"/>
  <c r="H107" i="69"/>
  <c r="T107" i="69"/>
  <c r="F107" i="69"/>
  <c r="R106" i="69"/>
  <c r="R107" i="69" s="1"/>
  <c r="H106" i="69"/>
  <c r="H108" i="69"/>
  <c r="T108" i="69" s="1"/>
  <c r="G99" i="69"/>
  <c r="T99" i="69" s="1"/>
  <c r="U99" i="69" s="1"/>
  <c r="G98" i="69"/>
  <c r="F91" i="69"/>
  <c r="R91" i="69"/>
  <c r="F90" i="69"/>
  <c r="R90" i="69"/>
  <c r="F89" i="69"/>
  <c r="R89" i="69" s="1"/>
  <c r="F82" i="69"/>
  <c r="R82" i="69"/>
  <c r="F81" i="69"/>
  <c r="R81" i="69"/>
  <c r="F73" i="69"/>
  <c r="R73" i="69"/>
  <c r="F71" i="69"/>
  <c r="R71" i="69" s="1"/>
  <c r="F70" i="69"/>
  <c r="R70" i="69" s="1"/>
  <c r="F68" i="69"/>
  <c r="R68" i="69" s="1"/>
  <c r="H65" i="69"/>
  <c r="H62" i="69"/>
  <c r="T62" i="69"/>
  <c r="P59" i="69"/>
  <c r="C59" i="69"/>
  <c r="H58" i="69"/>
  <c r="T58" i="69"/>
  <c r="U58" i="69" s="1"/>
  <c r="H57" i="69"/>
  <c r="H56" i="69"/>
  <c r="I56" i="69" s="1"/>
  <c r="H55" i="69"/>
  <c r="T55" i="69" s="1"/>
  <c r="U55" i="69" s="1"/>
  <c r="H54" i="69"/>
  <c r="H53" i="69"/>
  <c r="T53" i="69"/>
  <c r="U53" i="69"/>
  <c r="H52" i="69"/>
  <c r="H51" i="69"/>
  <c r="H50" i="69"/>
  <c r="T50" i="69" s="1"/>
  <c r="U50" i="69" s="1"/>
  <c r="D43" i="69"/>
  <c r="E37" i="69" s="1"/>
  <c r="C43" i="69"/>
  <c r="C29" i="69"/>
  <c r="F28" i="69"/>
  <c r="F27" i="69"/>
  <c r="F26" i="69"/>
  <c r="F25" i="69"/>
  <c r="F24" i="69"/>
  <c r="F23" i="69"/>
  <c r="F22" i="69"/>
  <c r="F21" i="69"/>
  <c r="F20" i="69"/>
  <c r="F19" i="69"/>
  <c r="F18" i="69"/>
  <c r="F17" i="69"/>
  <c r="F16" i="69"/>
  <c r="F15" i="69"/>
  <c r="F14" i="69"/>
  <c r="F13" i="69"/>
  <c r="H8" i="69"/>
  <c r="C8" i="69"/>
  <c r="P4" i="69"/>
  <c r="F4" i="69"/>
  <c r="A3" i="69"/>
  <c r="N3" i="69"/>
  <c r="N1" i="69"/>
  <c r="D15" i="64"/>
  <c r="F477" i="64" s="1"/>
  <c r="G477" i="64" s="1"/>
  <c r="D37" i="64"/>
  <c r="D52" i="64"/>
  <c r="D71" i="64"/>
  <c r="D79" i="64"/>
  <c r="D89" i="64"/>
  <c r="D98" i="64"/>
  <c r="D107" i="64"/>
  <c r="D115" i="64"/>
  <c r="D122" i="64"/>
  <c r="D131" i="64"/>
  <c r="D140" i="64"/>
  <c r="D148" i="64"/>
  <c r="D156" i="64"/>
  <c r="D165" i="64"/>
  <c r="D175" i="64"/>
  <c r="D184" i="64"/>
  <c r="D192" i="64"/>
  <c r="D199" i="64"/>
  <c r="D207" i="64"/>
  <c r="D218" i="64"/>
  <c r="D226" i="64"/>
  <c r="D237" i="64"/>
  <c r="D247" i="64"/>
  <c r="D256" i="64"/>
  <c r="D266" i="64"/>
  <c r="D276" i="64"/>
  <c r="D284" i="64"/>
  <c r="D292" i="64"/>
  <c r="D301" i="64"/>
  <c r="D311" i="64"/>
  <c r="D319" i="64"/>
  <c r="D328" i="64"/>
  <c r="D357" i="64"/>
  <c r="D368" i="64"/>
  <c r="D375" i="64"/>
  <c r="D384" i="64"/>
  <c r="D393" i="64"/>
  <c r="D400" i="64"/>
  <c r="D437" i="64"/>
  <c r="I126" i="68"/>
  <c r="H107" i="68"/>
  <c r="T107" i="68" s="1"/>
  <c r="F107" i="68"/>
  <c r="R106" i="68"/>
  <c r="R107" i="68" s="1"/>
  <c r="H106" i="68"/>
  <c r="G99" i="68"/>
  <c r="I99" i="68" s="1"/>
  <c r="G98" i="68"/>
  <c r="I98" i="68"/>
  <c r="F91" i="68"/>
  <c r="R91" i="68" s="1"/>
  <c r="F90" i="68"/>
  <c r="R90" i="68" s="1"/>
  <c r="F89" i="68"/>
  <c r="R89" i="68"/>
  <c r="F82" i="68"/>
  <c r="R82" i="68" s="1"/>
  <c r="F81" i="68"/>
  <c r="R81" i="68" s="1"/>
  <c r="F73" i="68"/>
  <c r="R73" i="68"/>
  <c r="F71" i="68"/>
  <c r="R71" i="68" s="1"/>
  <c r="F70" i="68"/>
  <c r="R70" i="68" s="1"/>
  <c r="F68" i="68"/>
  <c r="R68" i="68" s="1"/>
  <c r="H65" i="68"/>
  <c r="T65" i="68" s="1"/>
  <c r="H62" i="68"/>
  <c r="T62" i="68" s="1"/>
  <c r="P59" i="68"/>
  <c r="C59" i="68"/>
  <c r="H58" i="68"/>
  <c r="T58" i="68" s="1"/>
  <c r="U58" i="68" s="1"/>
  <c r="H57" i="68"/>
  <c r="H56" i="68"/>
  <c r="T56" i="68"/>
  <c r="U56" i="68" s="1"/>
  <c r="H55" i="68"/>
  <c r="H54" i="68"/>
  <c r="H53" i="68"/>
  <c r="T53" i="68"/>
  <c r="U53" i="68"/>
  <c r="H52" i="68"/>
  <c r="H51" i="68"/>
  <c r="T51" i="68"/>
  <c r="U51" i="68" s="1"/>
  <c r="H50" i="68"/>
  <c r="T50" i="68"/>
  <c r="U50" i="68"/>
  <c r="D43" i="68"/>
  <c r="C43" i="68"/>
  <c r="C29" i="68"/>
  <c r="F28" i="68"/>
  <c r="F27" i="68"/>
  <c r="F26" i="68"/>
  <c r="F25" i="68"/>
  <c r="F24" i="68"/>
  <c r="F23" i="68"/>
  <c r="F22" i="68"/>
  <c r="F21" i="68"/>
  <c r="F20" i="68"/>
  <c r="F19" i="68"/>
  <c r="F18" i="68"/>
  <c r="F17" i="68"/>
  <c r="F16" i="68"/>
  <c r="F15" i="68"/>
  <c r="F14" i="68"/>
  <c r="F13" i="68"/>
  <c r="H8" i="68"/>
  <c r="C8" i="68"/>
  <c r="P4" i="68"/>
  <c r="F4" i="68"/>
  <c r="A3" i="68"/>
  <c r="N3" i="68" s="1"/>
  <c r="N1" i="68"/>
  <c r="R83" i="7"/>
  <c r="R83" i="17"/>
  <c r="R83" i="24"/>
  <c r="R83" i="22"/>
  <c r="R83" i="26"/>
  <c r="R83" i="35"/>
  <c r="R83" i="50"/>
  <c r="R83" i="57"/>
  <c r="F81" i="67"/>
  <c r="R81" i="67" s="1"/>
  <c r="F81" i="66"/>
  <c r="R81" i="66" s="1"/>
  <c r="F81" i="58"/>
  <c r="R81" i="58"/>
  <c r="F81" i="57"/>
  <c r="R81" i="57" s="1"/>
  <c r="F81" i="56"/>
  <c r="R81" i="56"/>
  <c r="F81" i="55"/>
  <c r="R81" i="55" s="1"/>
  <c r="F81" i="52"/>
  <c r="R81" i="52" s="1"/>
  <c r="F81" i="51"/>
  <c r="R81" i="51"/>
  <c r="F81" i="50"/>
  <c r="R81" i="50"/>
  <c r="F81" i="48"/>
  <c r="R81" i="48"/>
  <c r="F81" i="47"/>
  <c r="R81" i="47"/>
  <c r="F81" i="45"/>
  <c r="R81" i="45" s="1"/>
  <c r="F81" i="44"/>
  <c r="R81" i="44"/>
  <c r="F81" i="43"/>
  <c r="R81" i="43"/>
  <c r="F81" i="42"/>
  <c r="R81" i="42"/>
  <c r="F81" i="40"/>
  <c r="R81" i="40" s="1"/>
  <c r="F81" i="39"/>
  <c r="R81" i="39"/>
  <c r="F81" i="38"/>
  <c r="R81" i="38" s="1"/>
  <c r="F81" i="37"/>
  <c r="R81" i="37" s="1"/>
  <c r="F81" i="36"/>
  <c r="R81" i="36"/>
  <c r="F81" i="23"/>
  <c r="R81" i="23"/>
  <c r="F81" i="35"/>
  <c r="R81" i="35" s="1"/>
  <c r="F81" i="34"/>
  <c r="R81" i="34"/>
  <c r="F81" i="33"/>
  <c r="R81" i="33" s="1"/>
  <c r="F81" i="32"/>
  <c r="R81" i="32"/>
  <c r="F81" i="31"/>
  <c r="R81" i="31" s="1"/>
  <c r="F81" i="30"/>
  <c r="R81" i="30" s="1"/>
  <c r="F81" i="29"/>
  <c r="R81" i="29"/>
  <c r="F81" i="28"/>
  <c r="R81" i="28"/>
  <c r="F81" i="27"/>
  <c r="R81" i="27" s="1"/>
  <c r="F81" i="26"/>
  <c r="R81" i="26"/>
  <c r="F81" i="22"/>
  <c r="R81" i="22"/>
  <c r="F81" i="24"/>
  <c r="R81" i="24"/>
  <c r="F81" i="25"/>
  <c r="R81" i="25" s="1"/>
  <c r="F81" i="21"/>
  <c r="R81" i="21"/>
  <c r="F81" i="20"/>
  <c r="R81" i="20" s="1"/>
  <c r="F81" i="18"/>
  <c r="R81" i="18" s="1"/>
  <c r="F81" i="17"/>
  <c r="R81" i="17"/>
  <c r="F81" i="16"/>
  <c r="R81" i="16"/>
  <c r="F81" i="15"/>
  <c r="R81" i="15"/>
  <c r="F82" i="67"/>
  <c r="R82" i="67"/>
  <c r="F82" i="66"/>
  <c r="R82" i="66" s="1"/>
  <c r="F82" i="58"/>
  <c r="R82" i="58" s="1"/>
  <c r="F82" i="57"/>
  <c r="R82" i="57"/>
  <c r="F82" i="56"/>
  <c r="R82" i="56"/>
  <c r="F82" i="55"/>
  <c r="R82" i="55" s="1"/>
  <c r="F82" i="52"/>
  <c r="R82" i="52"/>
  <c r="F82" i="51"/>
  <c r="R82" i="51" s="1"/>
  <c r="F82" i="50"/>
  <c r="R82" i="50"/>
  <c r="F82" i="48"/>
  <c r="R82" i="48"/>
  <c r="F82" i="47"/>
  <c r="R82" i="47"/>
  <c r="F82" i="45"/>
  <c r="R82" i="45"/>
  <c r="F82" i="44"/>
  <c r="R82" i="44"/>
  <c r="F82" i="43"/>
  <c r="R82" i="43" s="1"/>
  <c r="F82" i="42"/>
  <c r="R82" i="42" s="1"/>
  <c r="F82" i="40"/>
  <c r="R82" i="40"/>
  <c r="F82" i="39"/>
  <c r="R82" i="39"/>
  <c r="F82" i="38"/>
  <c r="R82" i="38"/>
  <c r="F82" i="37"/>
  <c r="R82" i="37"/>
  <c r="F82" i="36"/>
  <c r="R82" i="36" s="1"/>
  <c r="F82" i="23"/>
  <c r="R82" i="23"/>
  <c r="F82" i="35"/>
  <c r="R82" i="35"/>
  <c r="F82" i="34"/>
  <c r="R82" i="34"/>
  <c r="F82" i="33"/>
  <c r="R82" i="33" s="1"/>
  <c r="F82" i="32"/>
  <c r="R82" i="32"/>
  <c r="F82" i="31"/>
  <c r="R82" i="31" s="1"/>
  <c r="F82" i="30"/>
  <c r="R82" i="30" s="1"/>
  <c r="F82" i="29"/>
  <c r="R82" i="29"/>
  <c r="F82" i="28"/>
  <c r="R82" i="28"/>
  <c r="F82" i="27"/>
  <c r="R82" i="27"/>
  <c r="F82" i="26"/>
  <c r="R82" i="26"/>
  <c r="F82" i="22"/>
  <c r="R82" i="22" s="1"/>
  <c r="F82" i="24"/>
  <c r="R82" i="24"/>
  <c r="F82" i="25"/>
  <c r="R82" i="25"/>
  <c r="F82" i="21"/>
  <c r="R82" i="21"/>
  <c r="F82" i="20"/>
  <c r="R82" i="20" s="1"/>
  <c r="F82" i="18"/>
  <c r="R82" i="18"/>
  <c r="F82" i="17"/>
  <c r="R82" i="17" s="1"/>
  <c r="F82" i="16"/>
  <c r="R82" i="16" s="1"/>
  <c r="F82" i="15"/>
  <c r="R82" i="15"/>
  <c r="C29" i="44"/>
  <c r="C29" i="37"/>
  <c r="F22" i="24"/>
  <c r="C29" i="21"/>
  <c r="I126" i="38"/>
  <c r="I126" i="24"/>
  <c r="E3" i="62"/>
  <c r="F4" i="60"/>
  <c r="F4" i="16"/>
  <c r="F4" i="17"/>
  <c r="F4" i="18"/>
  <c r="F4" i="20"/>
  <c r="F4" i="21"/>
  <c r="F4" i="25"/>
  <c r="F4" i="24"/>
  <c r="F4" i="22"/>
  <c r="F4" i="26"/>
  <c r="F4" i="27"/>
  <c r="F4" i="28"/>
  <c r="F4" i="29"/>
  <c r="F4" i="30"/>
  <c r="F4" i="31"/>
  <c r="F4" i="32"/>
  <c r="F4" i="33"/>
  <c r="F4" i="34"/>
  <c r="F4" i="35"/>
  <c r="F4" i="23"/>
  <c r="F4" i="36"/>
  <c r="F4" i="37"/>
  <c r="F4" i="38"/>
  <c r="F4" i="39"/>
  <c r="F4" i="40"/>
  <c r="F4" i="42"/>
  <c r="F4" i="43"/>
  <c r="F4" i="44"/>
  <c r="F4" i="45"/>
  <c r="F4" i="47"/>
  <c r="F4" i="48"/>
  <c r="F4" i="50"/>
  <c r="F4" i="51"/>
  <c r="F4" i="52"/>
  <c r="F4" i="55"/>
  <c r="F4" i="56"/>
  <c r="F4" i="57"/>
  <c r="F4" i="58"/>
  <c r="F4" i="66"/>
  <c r="F4" i="67"/>
  <c r="F4" i="15"/>
  <c r="I126" i="15"/>
  <c r="I126" i="16"/>
  <c r="I126" i="17"/>
  <c r="I126" i="18"/>
  <c r="I126" i="20"/>
  <c r="I126" i="21"/>
  <c r="I126" i="25"/>
  <c r="I126" i="22"/>
  <c r="I126" i="26"/>
  <c r="I126" i="27"/>
  <c r="I126" i="28"/>
  <c r="I126" i="29"/>
  <c r="I126" i="31"/>
  <c r="I126" i="32"/>
  <c r="I126" i="33"/>
  <c r="I126" i="34"/>
  <c r="I126" i="35"/>
  <c r="I126" i="23"/>
  <c r="I126" i="36"/>
  <c r="I126" i="37"/>
  <c r="I126" i="39"/>
  <c r="I126" i="40"/>
  <c r="I126" i="42"/>
  <c r="I126" i="43"/>
  <c r="I126" i="44"/>
  <c r="I126" i="45"/>
  <c r="I126" i="47"/>
  <c r="I126" i="48"/>
  <c r="I126" i="50"/>
  <c r="I126" i="51"/>
  <c r="I126" i="52"/>
  <c r="I126" i="55"/>
  <c r="I126" i="56"/>
  <c r="I126" i="57"/>
  <c r="I126" i="58"/>
  <c r="I126" i="66"/>
  <c r="I126" i="67"/>
  <c r="F467" i="64"/>
  <c r="H107" i="67"/>
  <c r="T107" i="67" s="1"/>
  <c r="F107" i="67"/>
  <c r="R106" i="67"/>
  <c r="R107" i="67" s="1"/>
  <c r="H106" i="67"/>
  <c r="T106" i="67"/>
  <c r="G99" i="67"/>
  <c r="I99" i="67" s="1"/>
  <c r="G98" i="67"/>
  <c r="T98" i="67" s="1"/>
  <c r="F91" i="67"/>
  <c r="R91" i="67"/>
  <c r="F90" i="67"/>
  <c r="R90" i="67" s="1"/>
  <c r="F89" i="67"/>
  <c r="R89" i="67" s="1"/>
  <c r="F73" i="67"/>
  <c r="R73" i="67" s="1"/>
  <c r="R72" i="67"/>
  <c r="F71" i="67"/>
  <c r="R71" i="67" s="1"/>
  <c r="F70" i="67"/>
  <c r="R70" i="67"/>
  <c r="F68" i="67"/>
  <c r="R68" i="67" s="1"/>
  <c r="H65" i="67"/>
  <c r="T65" i="67" s="1"/>
  <c r="H62" i="67"/>
  <c r="T62" i="67" s="1"/>
  <c r="P59" i="67"/>
  <c r="C59" i="67"/>
  <c r="H58" i="67"/>
  <c r="H57" i="67"/>
  <c r="T57" i="67" s="1"/>
  <c r="U57" i="67" s="1"/>
  <c r="H56" i="67"/>
  <c r="T56" i="67" s="1"/>
  <c r="U56" i="67" s="1"/>
  <c r="H55" i="67"/>
  <c r="H54" i="67"/>
  <c r="H53" i="67"/>
  <c r="T53" i="67"/>
  <c r="U53" i="67" s="1"/>
  <c r="H52" i="67"/>
  <c r="H51" i="67"/>
  <c r="T51" i="67" s="1"/>
  <c r="U51" i="67" s="1"/>
  <c r="H50" i="67"/>
  <c r="D43" i="67"/>
  <c r="C43" i="67"/>
  <c r="F28" i="67"/>
  <c r="F27" i="67"/>
  <c r="F26" i="67"/>
  <c r="F25" i="67"/>
  <c r="F24" i="67"/>
  <c r="F23" i="67"/>
  <c r="F22" i="67"/>
  <c r="F21" i="67"/>
  <c r="F20" i="67"/>
  <c r="F19" i="67"/>
  <c r="F18" i="67"/>
  <c r="F17" i="67"/>
  <c r="F16" i="67"/>
  <c r="F15" i="67"/>
  <c r="F14" i="67"/>
  <c r="F13" i="67"/>
  <c r="H8" i="67"/>
  <c r="E89" i="67" s="1"/>
  <c r="C8" i="67"/>
  <c r="P4" i="67"/>
  <c r="A3" i="67"/>
  <c r="N3" i="67" s="1"/>
  <c r="N1" i="67"/>
  <c r="H107" i="66"/>
  <c r="T107" i="66"/>
  <c r="F107" i="66"/>
  <c r="R106" i="66"/>
  <c r="R107" i="66"/>
  <c r="H106" i="66"/>
  <c r="T106" i="66" s="1"/>
  <c r="G99" i="66"/>
  <c r="G98" i="66"/>
  <c r="F91" i="66"/>
  <c r="R91" i="66"/>
  <c r="F90" i="66"/>
  <c r="R90" i="66" s="1"/>
  <c r="F89" i="66"/>
  <c r="R89" i="66" s="1"/>
  <c r="F73" i="66"/>
  <c r="R73" i="66" s="1"/>
  <c r="R72" i="66"/>
  <c r="F71" i="66"/>
  <c r="R71" i="66"/>
  <c r="F70" i="66"/>
  <c r="R70" i="66"/>
  <c r="F68" i="66"/>
  <c r="R68" i="66" s="1"/>
  <c r="H65" i="66"/>
  <c r="T65" i="66"/>
  <c r="H62" i="66"/>
  <c r="P59" i="66"/>
  <c r="C59" i="66"/>
  <c r="H58" i="66"/>
  <c r="T58" i="66" s="1"/>
  <c r="U58" i="66" s="1"/>
  <c r="H57" i="66"/>
  <c r="H56" i="66"/>
  <c r="T56" i="66"/>
  <c r="U56" i="66" s="1"/>
  <c r="H55" i="66"/>
  <c r="T55" i="66"/>
  <c r="H54" i="66"/>
  <c r="H53" i="66"/>
  <c r="T53" i="66"/>
  <c r="U53" i="66" s="1"/>
  <c r="H52" i="66"/>
  <c r="H51" i="66"/>
  <c r="T51" i="66" s="1"/>
  <c r="U51" i="66" s="1"/>
  <c r="H50" i="66"/>
  <c r="T50" i="66"/>
  <c r="U50" i="66" s="1"/>
  <c r="D43" i="66"/>
  <c r="C43" i="66"/>
  <c r="C29" i="66"/>
  <c r="F28" i="66"/>
  <c r="F27" i="66"/>
  <c r="F26" i="66"/>
  <c r="F25" i="66"/>
  <c r="F24" i="66"/>
  <c r="F23" i="66"/>
  <c r="F22" i="66"/>
  <c r="F21" i="66"/>
  <c r="F20" i="66"/>
  <c r="F19" i="66"/>
  <c r="F18" i="66"/>
  <c r="F17" i="66"/>
  <c r="F16" i="66"/>
  <c r="F15" i="66"/>
  <c r="F14" i="66"/>
  <c r="F13" i="66"/>
  <c r="H8" i="66"/>
  <c r="C8" i="66"/>
  <c r="P4" i="66"/>
  <c r="A3" i="66"/>
  <c r="N3" i="66" s="1"/>
  <c r="N1" i="66"/>
  <c r="N3" i="7"/>
  <c r="D30" i="60"/>
  <c r="C30" i="60"/>
  <c r="A3" i="15"/>
  <c r="N3" i="15" s="1"/>
  <c r="A3" i="16"/>
  <c r="N3" i="16" s="1"/>
  <c r="A3" i="17"/>
  <c r="N3" i="17" s="1"/>
  <c r="A3" i="18"/>
  <c r="N3" i="18" s="1"/>
  <c r="A3" i="20"/>
  <c r="N3" i="20" s="1"/>
  <c r="A3" i="21"/>
  <c r="N3" i="21" s="1"/>
  <c r="A3" i="25"/>
  <c r="N3" i="25" s="1"/>
  <c r="A3" i="24"/>
  <c r="N3" i="24" s="1"/>
  <c r="A3" i="22"/>
  <c r="N3" i="22" s="1"/>
  <c r="A3" i="26"/>
  <c r="N3" i="26" s="1"/>
  <c r="A3" i="27"/>
  <c r="N3" i="27" s="1"/>
  <c r="A3" i="28"/>
  <c r="N3" i="28" s="1"/>
  <c r="A3" i="29"/>
  <c r="N3" i="29" s="1"/>
  <c r="A3" i="30"/>
  <c r="N3" i="30" s="1"/>
  <c r="A3" i="31"/>
  <c r="N3" i="31" s="1"/>
  <c r="A3" i="32"/>
  <c r="N3" i="32" s="1"/>
  <c r="A3" i="33"/>
  <c r="N3" i="33" s="1"/>
  <c r="A3" i="34"/>
  <c r="N3" i="34" s="1"/>
  <c r="A3" i="35"/>
  <c r="N3" i="35" s="1"/>
  <c r="A3" i="23"/>
  <c r="N3" i="23" s="1"/>
  <c r="A3" i="36"/>
  <c r="N3" i="36" s="1"/>
  <c r="A3" i="37"/>
  <c r="N3" i="37" s="1"/>
  <c r="A3" i="38"/>
  <c r="N3" i="38" s="1"/>
  <c r="A3" i="39"/>
  <c r="N3" i="39" s="1"/>
  <c r="A3" i="40"/>
  <c r="N3" i="40" s="1"/>
  <c r="A3" i="42"/>
  <c r="N3" i="42" s="1"/>
  <c r="A3" i="43"/>
  <c r="N3" i="43" s="1"/>
  <c r="A3" i="44"/>
  <c r="N3" i="44" s="1"/>
  <c r="A3" i="45"/>
  <c r="N3" i="45" s="1"/>
  <c r="A3" i="47"/>
  <c r="N3" i="47" s="1"/>
  <c r="A3" i="48"/>
  <c r="N3" i="48" s="1"/>
  <c r="A3" i="50"/>
  <c r="N3" i="50" s="1"/>
  <c r="A3" i="51"/>
  <c r="N3" i="51" s="1"/>
  <c r="A3" i="52"/>
  <c r="N3" i="52" s="1"/>
  <c r="A3" i="55"/>
  <c r="N3" i="55" s="1"/>
  <c r="A3" i="56"/>
  <c r="N3" i="56" s="1"/>
  <c r="A3" i="57"/>
  <c r="N3" i="57" s="1"/>
  <c r="A3" i="58"/>
  <c r="N3" i="58" s="1"/>
  <c r="A3" i="60"/>
  <c r="E24" i="62"/>
  <c r="E14" i="62"/>
  <c r="E18" i="62" s="1"/>
  <c r="F107" i="60"/>
  <c r="G99" i="60"/>
  <c r="G98" i="60"/>
  <c r="F91" i="60"/>
  <c r="F90" i="60"/>
  <c r="F89" i="60"/>
  <c r="F82" i="60"/>
  <c r="F81" i="60"/>
  <c r="F80" i="60"/>
  <c r="F79" i="60"/>
  <c r="F73" i="60"/>
  <c r="F71" i="60"/>
  <c r="F70" i="60"/>
  <c r="F68" i="60"/>
  <c r="F28" i="60"/>
  <c r="F27" i="60"/>
  <c r="F26" i="60"/>
  <c r="F25" i="60"/>
  <c r="F24" i="60"/>
  <c r="F23" i="60"/>
  <c r="F22" i="60"/>
  <c r="F21" i="60"/>
  <c r="F20" i="60"/>
  <c r="F19" i="60"/>
  <c r="F18" i="60"/>
  <c r="F17" i="60"/>
  <c r="F16" i="60"/>
  <c r="F15" i="60"/>
  <c r="F14" i="60"/>
  <c r="F13" i="60"/>
  <c r="H8" i="60"/>
  <c r="C8" i="60"/>
  <c r="H107" i="58"/>
  <c r="T107" i="58"/>
  <c r="F107" i="58"/>
  <c r="R106" i="58"/>
  <c r="R107" i="58"/>
  <c r="H106" i="58"/>
  <c r="H108" i="58" s="1"/>
  <c r="G99" i="58"/>
  <c r="G98" i="58"/>
  <c r="I98" i="58" s="1"/>
  <c r="F91" i="58"/>
  <c r="R91" i="58" s="1"/>
  <c r="F90" i="58"/>
  <c r="R90" i="58"/>
  <c r="F89" i="58"/>
  <c r="R89" i="58" s="1"/>
  <c r="F73" i="58"/>
  <c r="R73" i="58" s="1"/>
  <c r="F71" i="58"/>
  <c r="R71" i="58"/>
  <c r="F70" i="58"/>
  <c r="R70" i="58" s="1"/>
  <c r="F68" i="58"/>
  <c r="R68" i="58" s="1"/>
  <c r="H65" i="58"/>
  <c r="H62" i="58"/>
  <c r="P59" i="58"/>
  <c r="H58" i="58"/>
  <c r="T58" i="58"/>
  <c r="U58" i="58" s="1"/>
  <c r="H57" i="58"/>
  <c r="T57" i="58"/>
  <c r="U57" i="58"/>
  <c r="H56" i="58"/>
  <c r="T56" i="58"/>
  <c r="U56" i="58"/>
  <c r="H55" i="58"/>
  <c r="T55" i="58"/>
  <c r="U55" i="58" s="1"/>
  <c r="H54" i="58"/>
  <c r="T54" i="58"/>
  <c r="U54" i="58" s="1"/>
  <c r="H53" i="58"/>
  <c r="H52" i="58"/>
  <c r="H51" i="58"/>
  <c r="T51" i="58" s="1"/>
  <c r="U51" i="58" s="1"/>
  <c r="H50" i="58"/>
  <c r="T50" i="58"/>
  <c r="U50" i="58"/>
  <c r="D43" i="58"/>
  <c r="C43" i="58"/>
  <c r="F28" i="58"/>
  <c r="F27" i="58"/>
  <c r="F26" i="58"/>
  <c r="F25" i="58"/>
  <c r="F24" i="58"/>
  <c r="F23" i="58"/>
  <c r="F22" i="58"/>
  <c r="F21" i="58"/>
  <c r="F20" i="58"/>
  <c r="F19" i="58"/>
  <c r="F18" i="58"/>
  <c r="F17" i="58"/>
  <c r="F16" i="58"/>
  <c r="F15" i="58"/>
  <c r="F14" i="58"/>
  <c r="F13" i="58"/>
  <c r="H8" i="58"/>
  <c r="C8" i="58"/>
  <c r="P4" i="58"/>
  <c r="N1" i="58"/>
  <c r="H107" i="57"/>
  <c r="T107" i="57"/>
  <c r="F107" i="57"/>
  <c r="R106" i="57"/>
  <c r="R107" i="57"/>
  <c r="H106" i="57"/>
  <c r="T106" i="57" s="1"/>
  <c r="G99" i="57"/>
  <c r="G98" i="57"/>
  <c r="T98" i="57" s="1"/>
  <c r="F91" i="57"/>
  <c r="R91" i="57" s="1"/>
  <c r="F90" i="57"/>
  <c r="R90" i="57"/>
  <c r="F89" i="57"/>
  <c r="R89" i="57" s="1"/>
  <c r="R80" i="57"/>
  <c r="F73" i="57"/>
  <c r="R73" i="57" s="1"/>
  <c r="F71" i="57"/>
  <c r="R71" i="57" s="1"/>
  <c r="F70" i="57"/>
  <c r="R70" i="57"/>
  <c r="F68" i="57"/>
  <c r="R68" i="57"/>
  <c r="H65" i="57"/>
  <c r="T65" i="57" s="1"/>
  <c r="H62" i="57"/>
  <c r="T62" i="57" s="1"/>
  <c r="P59" i="57"/>
  <c r="H58" i="57"/>
  <c r="H57" i="57"/>
  <c r="T57" i="57" s="1"/>
  <c r="U57" i="57" s="1"/>
  <c r="H56" i="57"/>
  <c r="T56" i="57" s="1"/>
  <c r="U56" i="57" s="1"/>
  <c r="H55" i="57"/>
  <c r="T55" i="57"/>
  <c r="U55" i="57" s="1"/>
  <c r="H54" i="57"/>
  <c r="T54" i="57" s="1"/>
  <c r="U54" i="57" s="1"/>
  <c r="H53" i="57"/>
  <c r="T53" i="57" s="1"/>
  <c r="U53" i="57" s="1"/>
  <c r="H52" i="57"/>
  <c r="T52" i="57" s="1"/>
  <c r="U52" i="57" s="1"/>
  <c r="H51" i="57"/>
  <c r="H50" i="57"/>
  <c r="T50" i="57" s="1"/>
  <c r="U50" i="57" s="1"/>
  <c r="D43" i="57"/>
  <c r="E39" i="57" s="1"/>
  <c r="C43" i="57"/>
  <c r="F28" i="57"/>
  <c r="F27" i="57"/>
  <c r="F26" i="57"/>
  <c r="F25" i="57"/>
  <c r="F24" i="57"/>
  <c r="F23" i="57"/>
  <c r="F22" i="57"/>
  <c r="F21" i="57"/>
  <c r="F20" i="57"/>
  <c r="F19" i="57"/>
  <c r="F18" i="57"/>
  <c r="F17" i="57"/>
  <c r="F16" i="57"/>
  <c r="F15" i="57"/>
  <c r="F14" i="57"/>
  <c r="F13" i="57"/>
  <c r="H8" i="57"/>
  <c r="C8" i="57"/>
  <c r="P4" i="57"/>
  <c r="N1" i="57"/>
  <c r="H107" i="56"/>
  <c r="T107" i="56" s="1"/>
  <c r="F107" i="56"/>
  <c r="R106" i="56"/>
  <c r="R107" i="56" s="1"/>
  <c r="H106" i="56"/>
  <c r="T106" i="56" s="1"/>
  <c r="G99" i="56"/>
  <c r="T99" i="56"/>
  <c r="U99" i="56"/>
  <c r="G98" i="56"/>
  <c r="F91" i="56"/>
  <c r="R91" i="56"/>
  <c r="F90" i="56"/>
  <c r="R90" i="56" s="1"/>
  <c r="F89" i="56"/>
  <c r="R89" i="56" s="1"/>
  <c r="F73" i="56"/>
  <c r="R73" i="56"/>
  <c r="F71" i="56"/>
  <c r="R71" i="56" s="1"/>
  <c r="F70" i="56"/>
  <c r="R70" i="56"/>
  <c r="F68" i="56"/>
  <c r="R68" i="56"/>
  <c r="H65" i="56"/>
  <c r="T65" i="56" s="1"/>
  <c r="H62" i="56"/>
  <c r="T62" i="56" s="1"/>
  <c r="P59" i="56"/>
  <c r="H58" i="56"/>
  <c r="T58" i="56" s="1"/>
  <c r="U58" i="56" s="1"/>
  <c r="H57" i="56"/>
  <c r="T57" i="56"/>
  <c r="U57" i="56" s="1"/>
  <c r="H56" i="56"/>
  <c r="T56" i="56"/>
  <c r="U56" i="56" s="1"/>
  <c r="H55" i="56"/>
  <c r="H54" i="56"/>
  <c r="T54" i="56" s="1"/>
  <c r="U54" i="56" s="1"/>
  <c r="H53" i="56"/>
  <c r="T53" i="56"/>
  <c r="U53" i="56" s="1"/>
  <c r="H52" i="56"/>
  <c r="T52" i="56" s="1"/>
  <c r="U52" i="56"/>
  <c r="H51" i="56"/>
  <c r="H50" i="56"/>
  <c r="T50" i="56"/>
  <c r="U50" i="56" s="1"/>
  <c r="D43" i="56"/>
  <c r="E39" i="56" s="1"/>
  <c r="C43" i="56"/>
  <c r="F28" i="56"/>
  <c r="F27" i="56"/>
  <c r="F26" i="56"/>
  <c r="F25" i="56"/>
  <c r="F24" i="56"/>
  <c r="F23" i="56"/>
  <c r="F22" i="56"/>
  <c r="F21" i="56"/>
  <c r="F20" i="56"/>
  <c r="F19" i="56"/>
  <c r="F18" i="56"/>
  <c r="F17" i="56"/>
  <c r="F16" i="56"/>
  <c r="F15" i="56"/>
  <c r="F14" i="56"/>
  <c r="F13" i="56"/>
  <c r="H8" i="56"/>
  <c r="C8" i="56"/>
  <c r="P4" i="56"/>
  <c r="N1" i="56"/>
  <c r="H107" i="55"/>
  <c r="T107" i="55" s="1"/>
  <c r="F107" i="55"/>
  <c r="R106" i="55"/>
  <c r="R107" i="55"/>
  <c r="H106" i="55"/>
  <c r="G99" i="55"/>
  <c r="G98" i="55"/>
  <c r="I98" i="55" s="1"/>
  <c r="F91" i="55"/>
  <c r="R91" i="55" s="1"/>
  <c r="F90" i="55"/>
  <c r="R90" i="55" s="1"/>
  <c r="F89" i="55"/>
  <c r="R89" i="55"/>
  <c r="F73" i="55"/>
  <c r="R73" i="55" s="1"/>
  <c r="F71" i="55"/>
  <c r="R71" i="55" s="1"/>
  <c r="F70" i="55"/>
  <c r="R70" i="55"/>
  <c r="F68" i="55"/>
  <c r="R68" i="55" s="1"/>
  <c r="H65" i="55"/>
  <c r="H62" i="55"/>
  <c r="P59" i="55"/>
  <c r="C59" i="55"/>
  <c r="H58" i="55"/>
  <c r="H57" i="55"/>
  <c r="T57" i="55"/>
  <c r="U57" i="55" s="1"/>
  <c r="H56" i="55"/>
  <c r="T56" i="55"/>
  <c r="U56" i="55"/>
  <c r="H55" i="55"/>
  <c r="T55" i="55"/>
  <c r="U55" i="55"/>
  <c r="H54" i="55"/>
  <c r="T54" i="55"/>
  <c r="U54" i="55" s="1"/>
  <c r="H53" i="55"/>
  <c r="T53" i="55" s="1"/>
  <c r="U53" i="55" s="1"/>
  <c r="H52" i="55"/>
  <c r="H51" i="55"/>
  <c r="T51" i="55" s="1"/>
  <c r="U51" i="55" s="1"/>
  <c r="H50" i="55"/>
  <c r="T50" i="55" s="1"/>
  <c r="U50" i="55" s="1"/>
  <c r="D43" i="55"/>
  <c r="C43" i="55"/>
  <c r="C29" i="55"/>
  <c r="F28" i="55"/>
  <c r="F27" i="55"/>
  <c r="F26" i="55"/>
  <c r="F25" i="55"/>
  <c r="F24" i="55"/>
  <c r="F23" i="55"/>
  <c r="F22" i="55"/>
  <c r="F21" i="55"/>
  <c r="F20" i="55"/>
  <c r="F19" i="55"/>
  <c r="F18" i="55"/>
  <c r="F17" i="55"/>
  <c r="F16" i="55"/>
  <c r="F15" i="55"/>
  <c r="F14" i="55"/>
  <c r="F13" i="55"/>
  <c r="H8" i="55"/>
  <c r="C8" i="55"/>
  <c r="P4" i="55"/>
  <c r="N1" i="55"/>
  <c r="H107" i="52"/>
  <c r="T107" i="52" s="1"/>
  <c r="F107" i="52"/>
  <c r="R106" i="52"/>
  <c r="R107" i="52" s="1"/>
  <c r="H106" i="52"/>
  <c r="G99" i="52"/>
  <c r="I99" i="52"/>
  <c r="G98" i="52"/>
  <c r="T98" i="52" s="1"/>
  <c r="F91" i="52"/>
  <c r="R91" i="52"/>
  <c r="F90" i="52"/>
  <c r="R90" i="52" s="1"/>
  <c r="F89" i="52"/>
  <c r="R89" i="52"/>
  <c r="F73" i="52"/>
  <c r="R73" i="52" s="1"/>
  <c r="F71" i="52"/>
  <c r="R71" i="52"/>
  <c r="F70" i="52"/>
  <c r="R70" i="52" s="1"/>
  <c r="F68" i="52"/>
  <c r="R68" i="52"/>
  <c r="H65" i="52"/>
  <c r="T65" i="52" s="1"/>
  <c r="H62" i="52"/>
  <c r="P59" i="52"/>
  <c r="H58" i="52"/>
  <c r="T58" i="52" s="1"/>
  <c r="U58" i="52" s="1"/>
  <c r="H57" i="52"/>
  <c r="T57" i="52"/>
  <c r="U57" i="52" s="1"/>
  <c r="H56" i="52"/>
  <c r="T56" i="52"/>
  <c r="U56" i="52" s="1"/>
  <c r="H55" i="52"/>
  <c r="H54" i="52"/>
  <c r="H53" i="52"/>
  <c r="T53" i="52" s="1"/>
  <c r="U53" i="52"/>
  <c r="H52" i="52"/>
  <c r="T52" i="52"/>
  <c r="U52" i="52" s="1"/>
  <c r="H51" i="52"/>
  <c r="H50" i="52"/>
  <c r="T50" i="52" s="1"/>
  <c r="U50" i="52" s="1"/>
  <c r="D43" i="52"/>
  <c r="E41" i="52" s="1"/>
  <c r="C43" i="52"/>
  <c r="F28" i="52"/>
  <c r="F27" i="52"/>
  <c r="F26" i="52"/>
  <c r="F25" i="52"/>
  <c r="F24" i="52"/>
  <c r="F23" i="52"/>
  <c r="F22" i="52"/>
  <c r="F21" i="52"/>
  <c r="F20" i="52"/>
  <c r="F19" i="52"/>
  <c r="F18" i="52"/>
  <c r="F17" i="52"/>
  <c r="F16" i="52"/>
  <c r="F15" i="52"/>
  <c r="F14" i="52"/>
  <c r="F13" i="52"/>
  <c r="H8" i="52"/>
  <c r="T8" i="52" s="1"/>
  <c r="C8" i="52"/>
  <c r="P4" i="52"/>
  <c r="N1" i="52"/>
  <c r="H107" i="51"/>
  <c r="T107" i="51" s="1"/>
  <c r="F107" i="51"/>
  <c r="R106" i="51"/>
  <c r="R107" i="51"/>
  <c r="H106" i="51"/>
  <c r="G99" i="51"/>
  <c r="T99" i="51" s="1"/>
  <c r="U99" i="51" s="1"/>
  <c r="G98" i="51"/>
  <c r="I98" i="51" s="1"/>
  <c r="F91" i="51"/>
  <c r="R91" i="51"/>
  <c r="F90" i="51"/>
  <c r="R90" i="51"/>
  <c r="F89" i="51"/>
  <c r="R89" i="51"/>
  <c r="F73" i="51"/>
  <c r="R73" i="51"/>
  <c r="F71" i="51"/>
  <c r="R71" i="51"/>
  <c r="F70" i="51"/>
  <c r="R70" i="51"/>
  <c r="F68" i="51"/>
  <c r="R68" i="51" s="1"/>
  <c r="P59" i="51"/>
  <c r="D43" i="51"/>
  <c r="E40" i="51"/>
  <c r="C43" i="51"/>
  <c r="C29" i="51"/>
  <c r="F28" i="51"/>
  <c r="F27" i="51"/>
  <c r="F26" i="51"/>
  <c r="F25" i="51"/>
  <c r="F24" i="51"/>
  <c r="F23" i="51"/>
  <c r="F22" i="51"/>
  <c r="F21" i="51"/>
  <c r="F20" i="51"/>
  <c r="F19" i="51"/>
  <c r="F18" i="51"/>
  <c r="F17" i="51"/>
  <c r="F16" i="51"/>
  <c r="F15" i="51"/>
  <c r="F14" i="51"/>
  <c r="F13" i="51"/>
  <c r="H8" i="51"/>
  <c r="I40" i="51" s="1"/>
  <c r="C8" i="51"/>
  <c r="P4" i="51"/>
  <c r="N1" i="51"/>
  <c r="H107" i="50"/>
  <c r="T107" i="50"/>
  <c r="F107" i="50"/>
  <c r="R106" i="50"/>
  <c r="R107" i="50" s="1"/>
  <c r="H106" i="50"/>
  <c r="G99" i="50"/>
  <c r="T99" i="50"/>
  <c r="U99" i="50" s="1"/>
  <c r="G98" i="50"/>
  <c r="T98" i="50" s="1"/>
  <c r="F91" i="50"/>
  <c r="R91" i="50"/>
  <c r="F90" i="50"/>
  <c r="R90" i="50" s="1"/>
  <c r="F89" i="50"/>
  <c r="R89" i="50" s="1"/>
  <c r="F73" i="50"/>
  <c r="R73" i="50" s="1"/>
  <c r="R72" i="50"/>
  <c r="F71" i="50"/>
  <c r="R71" i="50" s="1"/>
  <c r="F70" i="50"/>
  <c r="R70" i="50" s="1"/>
  <c r="F68" i="50"/>
  <c r="R68" i="50"/>
  <c r="H65" i="50"/>
  <c r="T65" i="50" s="1"/>
  <c r="H62" i="50"/>
  <c r="T62" i="50" s="1"/>
  <c r="P59" i="50"/>
  <c r="H58" i="50"/>
  <c r="T58" i="50" s="1"/>
  <c r="U58" i="50" s="1"/>
  <c r="H57" i="50"/>
  <c r="T57" i="50" s="1"/>
  <c r="U57" i="50" s="1"/>
  <c r="H56" i="50"/>
  <c r="T56" i="50" s="1"/>
  <c r="U56" i="50" s="1"/>
  <c r="H55" i="50"/>
  <c r="T55" i="50"/>
  <c r="U55" i="50" s="1"/>
  <c r="H54" i="50"/>
  <c r="T54" i="50" s="1"/>
  <c r="U54" i="50" s="1"/>
  <c r="H53" i="50"/>
  <c r="T53" i="50" s="1"/>
  <c r="U53" i="50" s="1"/>
  <c r="H52" i="50"/>
  <c r="T52" i="50" s="1"/>
  <c r="U52" i="50" s="1"/>
  <c r="H51" i="50"/>
  <c r="H50" i="50"/>
  <c r="D43" i="50"/>
  <c r="E39" i="50"/>
  <c r="I39" i="50" s="1"/>
  <c r="C43" i="50"/>
  <c r="C29" i="50"/>
  <c r="F28" i="50"/>
  <c r="F27" i="50"/>
  <c r="F26" i="50"/>
  <c r="F25" i="50"/>
  <c r="F24" i="50"/>
  <c r="F23" i="50"/>
  <c r="F22" i="50"/>
  <c r="F21" i="50"/>
  <c r="F20" i="50"/>
  <c r="F19" i="50"/>
  <c r="F18" i="50"/>
  <c r="F17" i="50"/>
  <c r="F16" i="50"/>
  <c r="F15" i="50"/>
  <c r="F14" i="50"/>
  <c r="F13" i="50"/>
  <c r="H8" i="50"/>
  <c r="C8" i="50"/>
  <c r="P4" i="50"/>
  <c r="N1" i="50"/>
  <c r="H107" i="48"/>
  <c r="F107" i="48"/>
  <c r="R106" i="48"/>
  <c r="R107" i="48"/>
  <c r="H106" i="48"/>
  <c r="H108" i="48"/>
  <c r="G99" i="48"/>
  <c r="I99" i="48" s="1"/>
  <c r="G98" i="48"/>
  <c r="T98" i="48" s="1"/>
  <c r="F91" i="48"/>
  <c r="R91" i="48" s="1"/>
  <c r="F90" i="48"/>
  <c r="R90" i="48" s="1"/>
  <c r="F89" i="48"/>
  <c r="R89" i="48"/>
  <c r="R79" i="48"/>
  <c r="F73" i="48"/>
  <c r="R73" i="48" s="1"/>
  <c r="F71" i="48"/>
  <c r="R71" i="48" s="1"/>
  <c r="F70" i="48"/>
  <c r="R70" i="48"/>
  <c r="F68" i="48"/>
  <c r="R68" i="48"/>
  <c r="H65" i="48"/>
  <c r="T65" i="48" s="1"/>
  <c r="H62" i="48"/>
  <c r="T62" i="48" s="1"/>
  <c r="P59" i="48"/>
  <c r="H58" i="48"/>
  <c r="T58" i="48" s="1"/>
  <c r="U58" i="48" s="1"/>
  <c r="H57" i="48"/>
  <c r="H56" i="48"/>
  <c r="H55" i="48"/>
  <c r="H54" i="48"/>
  <c r="H53" i="48"/>
  <c r="T53" i="48" s="1"/>
  <c r="U53" i="48" s="1"/>
  <c r="H52" i="48"/>
  <c r="H51" i="48"/>
  <c r="T51" i="48"/>
  <c r="U51" i="48" s="1"/>
  <c r="H50" i="48"/>
  <c r="T50" i="48" s="1"/>
  <c r="U50" i="48"/>
  <c r="D43" i="48"/>
  <c r="C43" i="48"/>
  <c r="F28" i="48"/>
  <c r="F27" i="48"/>
  <c r="F26" i="48"/>
  <c r="F25" i="48"/>
  <c r="F24" i="48"/>
  <c r="F23" i="48"/>
  <c r="F22" i="48"/>
  <c r="F21" i="48"/>
  <c r="F20" i="48"/>
  <c r="F19" i="48"/>
  <c r="F18" i="48"/>
  <c r="F17" i="48"/>
  <c r="F16" i="48"/>
  <c r="F15" i="48"/>
  <c r="F14" i="48"/>
  <c r="F13" i="48"/>
  <c r="H8" i="48"/>
  <c r="C8" i="48"/>
  <c r="P4" i="48"/>
  <c r="N1" i="48"/>
  <c r="H107" i="47"/>
  <c r="T107" i="47"/>
  <c r="F107" i="47"/>
  <c r="R106" i="47"/>
  <c r="R107" i="47" s="1"/>
  <c r="H106" i="47"/>
  <c r="G99" i="47"/>
  <c r="G98" i="47"/>
  <c r="T98" i="47"/>
  <c r="F91" i="47"/>
  <c r="R91" i="47" s="1"/>
  <c r="F90" i="47"/>
  <c r="R90" i="47" s="1"/>
  <c r="F89" i="47"/>
  <c r="R89" i="47" s="1"/>
  <c r="F73" i="47"/>
  <c r="R73" i="47" s="1"/>
  <c r="F71" i="47"/>
  <c r="R71" i="47" s="1"/>
  <c r="F70" i="47"/>
  <c r="R70" i="47"/>
  <c r="F68" i="47"/>
  <c r="R68" i="47" s="1"/>
  <c r="H65" i="47"/>
  <c r="T65" i="47"/>
  <c r="H62" i="47"/>
  <c r="P59" i="47"/>
  <c r="H58" i="47"/>
  <c r="T58" i="47" s="1"/>
  <c r="U58" i="47" s="1"/>
  <c r="H57" i="47"/>
  <c r="T57" i="47"/>
  <c r="U57" i="47"/>
  <c r="H56" i="47"/>
  <c r="T56" i="47"/>
  <c r="U56" i="47" s="1"/>
  <c r="H55" i="47"/>
  <c r="H54" i="47"/>
  <c r="H53" i="47"/>
  <c r="H52" i="47"/>
  <c r="T52" i="47" s="1"/>
  <c r="U52" i="47" s="1"/>
  <c r="H51" i="47"/>
  <c r="T51" i="47"/>
  <c r="U51" i="47"/>
  <c r="H50" i="47"/>
  <c r="T50" i="47"/>
  <c r="U50" i="47" s="1"/>
  <c r="D43" i="47"/>
  <c r="E38" i="47" s="1"/>
  <c r="I38" i="47" s="1"/>
  <c r="C43" i="47"/>
  <c r="F28" i="47"/>
  <c r="F27" i="47"/>
  <c r="F26" i="47"/>
  <c r="F25" i="47"/>
  <c r="F24" i="47"/>
  <c r="F23" i="47"/>
  <c r="F22" i="47"/>
  <c r="F21" i="47"/>
  <c r="F20" i="47"/>
  <c r="F19" i="47"/>
  <c r="F18" i="47"/>
  <c r="F17" i="47"/>
  <c r="F16" i="47"/>
  <c r="F15" i="47"/>
  <c r="F14" i="47"/>
  <c r="F13" i="47"/>
  <c r="H8" i="47"/>
  <c r="E89" i="47"/>
  <c r="C8" i="47"/>
  <c r="P4" i="47"/>
  <c r="N1" i="47"/>
  <c r="H107" i="45"/>
  <c r="T107" i="45"/>
  <c r="F107" i="45"/>
  <c r="R106" i="45"/>
  <c r="R107" i="45"/>
  <c r="H106" i="45"/>
  <c r="G99" i="45"/>
  <c r="G98" i="45"/>
  <c r="I98" i="45" s="1"/>
  <c r="F91" i="45"/>
  <c r="R91" i="45" s="1"/>
  <c r="F90" i="45"/>
  <c r="R90" i="45" s="1"/>
  <c r="F89" i="45"/>
  <c r="R89" i="45" s="1"/>
  <c r="R80" i="45"/>
  <c r="R79" i="45"/>
  <c r="F73" i="45"/>
  <c r="R73" i="45"/>
  <c r="F71" i="45"/>
  <c r="R71" i="45" s="1"/>
  <c r="F70" i="45"/>
  <c r="R70" i="45" s="1"/>
  <c r="F68" i="45"/>
  <c r="R68" i="45" s="1"/>
  <c r="P59" i="45"/>
  <c r="D43" i="45"/>
  <c r="E38" i="45" s="1"/>
  <c r="C43" i="45"/>
  <c r="C29" i="45"/>
  <c r="F28" i="45"/>
  <c r="F27" i="45"/>
  <c r="F26" i="45"/>
  <c r="F25" i="45"/>
  <c r="F24" i="45"/>
  <c r="F23" i="45"/>
  <c r="F22" i="45"/>
  <c r="F21" i="45"/>
  <c r="F20" i="45"/>
  <c r="F19" i="45"/>
  <c r="F18" i="45"/>
  <c r="F17" i="45"/>
  <c r="F16" i="45"/>
  <c r="F15" i="45"/>
  <c r="F14" i="45"/>
  <c r="F13" i="45"/>
  <c r="H8" i="45"/>
  <c r="T8" i="45"/>
  <c r="C8" i="45"/>
  <c r="P4" i="45"/>
  <c r="N1" i="45"/>
  <c r="H107" i="44"/>
  <c r="T107" i="44"/>
  <c r="F107" i="44"/>
  <c r="R106" i="44"/>
  <c r="R107" i="44"/>
  <c r="H106" i="44"/>
  <c r="G99" i="44"/>
  <c r="T99" i="44" s="1"/>
  <c r="U99" i="44" s="1"/>
  <c r="G98" i="44"/>
  <c r="I98" i="44"/>
  <c r="F91" i="44"/>
  <c r="R91" i="44" s="1"/>
  <c r="F90" i="44"/>
  <c r="R90" i="44" s="1"/>
  <c r="F89" i="44"/>
  <c r="R89" i="44"/>
  <c r="F73" i="44"/>
  <c r="R73" i="44" s="1"/>
  <c r="F71" i="44"/>
  <c r="R71" i="44"/>
  <c r="F70" i="44"/>
  <c r="R70" i="44"/>
  <c r="F68" i="44"/>
  <c r="R68" i="44" s="1"/>
  <c r="H65" i="44"/>
  <c r="T65" i="44" s="1"/>
  <c r="H62" i="44"/>
  <c r="T62" i="44" s="1"/>
  <c r="P59" i="44"/>
  <c r="C59" i="44"/>
  <c r="H58" i="44"/>
  <c r="H57" i="44"/>
  <c r="T57" i="44" s="1"/>
  <c r="U57" i="44"/>
  <c r="H56" i="44"/>
  <c r="H55" i="44"/>
  <c r="T55" i="44"/>
  <c r="U55" i="44" s="1"/>
  <c r="H54" i="44"/>
  <c r="H53" i="44"/>
  <c r="H52" i="44"/>
  <c r="H51" i="44"/>
  <c r="H50" i="44"/>
  <c r="T50" i="44"/>
  <c r="U50" i="44" s="1"/>
  <c r="D43" i="44"/>
  <c r="C43" i="44"/>
  <c r="F28" i="44"/>
  <c r="F27" i="44"/>
  <c r="F26" i="44"/>
  <c r="F25" i="44"/>
  <c r="F24" i="44"/>
  <c r="F23" i="44"/>
  <c r="F22" i="44"/>
  <c r="F21" i="44"/>
  <c r="F20" i="44"/>
  <c r="F19" i="44"/>
  <c r="F18" i="44"/>
  <c r="F17" i="44"/>
  <c r="F16" i="44"/>
  <c r="F15" i="44"/>
  <c r="F14" i="44"/>
  <c r="F13" i="44"/>
  <c r="H8" i="44"/>
  <c r="C8" i="44"/>
  <c r="P4" i="44"/>
  <c r="N1" i="44"/>
  <c r="H107" i="43"/>
  <c r="F107" i="43"/>
  <c r="R106" i="43"/>
  <c r="R107" i="43" s="1"/>
  <c r="H106" i="43"/>
  <c r="H108" i="43"/>
  <c r="G99" i="43"/>
  <c r="T99" i="43"/>
  <c r="U99" i="43"/>
  <c r="G98" i="43"/>
  <c r="F91" i="43"/>
  <c r="R91" i="43" s="1"/>
  <c r="F90" i="43"/>
  <c r="R90" i="43" s="1"/>
  <c r="F89" i="43"/>
  <c r="R89" i="43" s="1"/>
  <c r="R80" i="43"/>
  <c r="F73" i="43"/>
  <c r="R73" i="43" s="1"/>
  <c r="F71" i="43"/>
  <c r="R71" i="43" s="1"/>
  <c r="F70" i="43"/>
  <c r="R70" i="43"/>
  <c r="F68" i="43"/>
  <c r="R68" i="43"/>
  <c r="H65" i="43"/>
  <c r="T65" i="43" s="1"/>
  <c r="H62" i="43"/>
  <c r="P59" i="43"/>
  <c r="C59" i="43"/>
  <c r="H58" i="43"/>
  <c r="T58" i="43"/>
  <c r="U58" i="43"/>
  <c r="H57" i="43"/>
  <c r="T57" i="43"/>
  <c r="U57" i="43" s="1"/>
  <c r="H56" i="43"/>
  <c r="T56" i="43" s="1"/>
  <c r="U56" i="43" s="1"/>
  <c r="H55" i="43"/>
  <c r="T55" i="43" s="1"/>
  <c r="U55" i="43" s="1"/>
  <c r="H54" i="43"/>
  <c r="H53" i="43"/>
  <c r="T53" i="43"/>
  <c r="U53" i="43" s="1"/>
  <c r="H52" i="43"/>
  <c r="T52" i="43" s="1"/>
  <c r="U52" i="43" s="1"/>
  <c r="H51" i="43"/>
  <c r="T51" i="43"/>
  <c r="H50" i="43"/>
  <c r="T50" i="43" s="1"/>
  <c r="U50" i="43" s="1"/>
  <c r="D43" i="43"/>
  <c r="E39" i="43"/>
  <c r="C43" i="43"/>
  <c r="C29" i="43"/>
  <c r="F28" i="43"/>
  <c r="F27" i="43"/>
  <c r="F26" i="43"/>
  <c r="F25" i="43"/>
  <c r="F24" i="43"/>
  <c r="F23" i="43"/>
  <c r="F22" i="43"/>
  <c r="F21" i="43"/>
  <c r="F20" i="43"/>
  <c r="F19" i="43"/>
  <c r="F18" i="43"/>
  <c r="F17" i="43"/>
  <c r="F16" i="43"/>
  <c r="F15" i="43"/>
  <c r="F14" i="43"/>
  <c r="F13" i="43"/>
  <c r="H8" i="43"/>
  <c r="C8" i="43"/>
  <c r="P4" i="43"/>
  <c r="N1" i="43"/>
  <c r="H107" i="42"/>
  <c r="T107" i="42"/>
  <c r="F107" i="42"/>
  <c r="R106" i="42"/>
  <c r="R107" i="42"/>
  <c r="H106" i="42"/>
  <c r="I106" i="42"/>
  <c r="G99" i="42"/>
  <c r="I99" i="42"/>
  <c r="G98" i="42"/>
  <c r="I98" i="42" s="1"/>
  <c r="F91" i="42"/>
  <c r="R91" i="42" s="1"/>
  <c r="F90" i="42"/>
  <c r="R90" i="42"/>
  <c r="F89" i="42"/>
  <c r="R89" i="42"/>
  <c r="F73" i="42"/>
  <c r="R73" i="42"/>
  <c r="R72" i="42"/>
  <c r="F71" i="42"/>
  <c r="R71" i="42" s="1"/>
  <c r="F70" i="42"/>
  <c r="R70" i="42"/>
  <c r="F68" i="42"/>
  <c r="R68" i="42"/>
  <c r="H65" i="42"/>
  <c r="H62" i="42"/>
  <c r="T62" i="42"/>
  <c r="P59" i="42"/>
  <c r="C59" i="42"/>
  <c r="H58" i="42"/>
  <c r="T58" i="42"/>
  <c r="U58" i="42" s="1"/>
  <c r="H57" i="42"/>
  <c r="T57" i="42"/>
  <c r="U57" i="42" s="1"/>
  <c r="H56" i="42"/>
  <c r="H55" i="42"/>
  <c r="H54" i="42"/>
  <c r="T54" i="42"/>
  <c r="U54" i="42" s="1"/>
  <c r="H53" i="42"/>
  <c r="T53" i="42" s="1"/>
  <c r="U53" i="42"/>
  <c r="H52" i="42"/>
  <c r="H51" i="42"/>
  <c r="T51" i="42"/>
  <c r="U51" i="42" s="1"/>
  <c r="H50" i="42"/>
  <c r="D43" i="42"/>
  <c r="E39" i="42" s="1"/>
  <c r="C43" i="42"/>
  <c r="C29" i="42"/>
  <c r="F28" i="42"/>
  <c r="F27" i="42"/>
  <c r="F26" i="42"/>
  <c r="F25" i="42"/>
  <c r="F24" i="42"/>
  <c r="F23" i="42"/>
  <c r="F22" i="42"/>
  <c r="F21" i="42"/>
  <c r="F20" i="42"/>
  <c r="F19" i="42"/>
  <c r="F18" i="42"/>
  <c r="F17" i="42"/>
  <c r="F16" i="42"/>
  <c r="F15" i="42"/>
  <c r="F14" i="42"/>
  <c r="F13" i="42"/>
  <c r="H8" i="42"/>
  <c r="C8" i="42"/>
  <c r="P4" i="42"/>
  <c r="N1" i="42"/>
  <c r="H107" i="40"/>
  <c r="T107" i="40" s="1"/>
  <c r="F107" i="40"/>
  <c r="R106" i="40"/>
  <c r="H106" i="40"/>
  <c r="G99" i="40"/>
  <c r="G98" i="40"/>
  <c r="F91" i="40"/>
  <c r="R91" i="40" s="1"/>
  <c r="F90" i="40"/>
  <c r="R90" i="40" s="1"/>
  <c r="F89" i="40"/>
  <c r="R89" i="40"/>
  <c r="R80" i="40"/>
  <c r="F73" i="40"/>
  <c r="R73" i="40" s="1"/>
  <c r="R72" i="40"/>
  <c r="F71" i="40"/>
  <c r="R71" i="40"/>
  <c r="F70" i="40"/>
  <c r="R70" i="40" s="1"/>
  <c r="F68" i="40"/>
  <c r="R68" i="40" s="1"/>
  <c r="H65" i="40"/>
  <c r="H62" i="40"/>
  <c r="P59" i="40"/>
  <c r="C59" i="40"/>
  <c r="H58" i="40"/>
  <c r="H57" i="40"/>
  <c r="H56" i="40"/>
  <c r="H55" i="40"/>
  <c r="H54" i="40"/>
  <c r="T54" i="40" s="1"/>
  <c r="U54" i="40" s="1"/>
  <c r="H53" i="40"/>
  <c r="T53" i="40"/>
  <c r="U53" i="40"/>
  <c r="H52" i="40"/>
  <c r="T52" i="40"/>
  <c r="U52" i="40" s="1"/>
  <c r="H51" i="40"/>
  <c r="T51" i="40" s="1"/>
  <c r="U51" i="40"/>
  <c r="H50" i="40"/>
  <c r="D43" i="40"/>
  <c r="E41" i="40"/>
  <c r="C43" i="40"/>
  <c r="C29" i="40"/>
  <c r="F28" i="40"/>
  <c r="F27" i="40"/>
  <c r="F26" i="40"/>
  <c r="F25" i="40"/>
  <c r="F24" i="40"/>
  <c r="F23" i="40"/>
  <c r="F22" i="40"/>
  <c r="F21" i="40"/>
  <c r="F20" i="40"/>
  <c r="F19" i="40"/>
  <c r="F18" i="40"/>
  <c r="F17" i="40"/>
  <c r="F16" i="40"/>
  <c r="F15" i="40"/>
  <c r="F14" i="40"/>
  <c r="F13" i="40"/>
  <c r="H8" i="40"/>
  <c r="C8" i="40"/>
  <c r="P4" i="40"/>
  <c r="N1" i="40"/>
  <c r="H107" i="39"/>
  <c r="T107" i="39"/>
  <c r="F107" i="39"/>
  <c r="R106" i="39"/>
  <c r="R107" i="39"/>
  <c r="H106" i="39"/>
  <c r="G99" i="39"/>
  <c r="I99" i="39" s="1"/>
  <c r="G98" i="39"/>
  <c r="I98" i="39" s="1"/>
  <c r="F91" i="39"/>
  <c r="R91" i="39" s="1"/>
  <c r="F90" i="39"/>
  <c r="R90" i="39" s="1"/>
  <c r="F89" i="39"/>
  <c r="R89" i="39"/>
  <c r="R79" i="39"/>
  <c r="F73" i="39"/>
  <c r="R73" i="39"/>
  <c r="R72" i="39"/>
  <c r="F71" i="39"/>
  <c r="R71" i="39" s="1"/>
  <c r="F70" i="39"/>
  <c r="R70" i="39" s="1"/>
  <c r="F68" i="39"/>
  <c r="R68" i="39" s="1"/>
  <c r="H65" i="39"/>
  <c r="T65" i="39"/>
  <c r="H62" i="39"/>
  <c r="T62" i="39"/>
  <c r="P59" i="39"/>
  <c r="H58" i="39"/>
  <c r="T58" i="39"/>
  <c r="U58" i="39" s="1"/>
  <c r="H57" i="39"/>
  <c r="H56" i="39"/>
  <c r="T56" i="39"/>
  <c r="U56" i="39" s="1"/>
  <c r="H55" i="39"/>
  <c r="T55" i="39"/>
  <c r="U55" i="39" s="1"/>
  <c r="H54" i="39"/>
  <c r="T54" i="39"/>
  <c r="U54" i="39" s="1"/>
  <c r="H53" i="39"/>
  <c r="H52" i="39"/>
  <c r="H51" i="39"/>
  <c r="H50" i="39"/>
  <c r="T50" i="39"/>
  <c r="U50" i="39" s="1"/>
  <c r="D43" i="39"/>
  <c r="C43" i="39"/>
  <c r="F28" i="39"/>
  <c r="F27" i="39"/>
  <c r="F26" i="39"/>
  <c r="F25" i="39"/>
  <c r="F24" i="39"/>
  <c r="F23" i="39"/>
  <c r="F22" i="39"/>
  <c r="F21" i="39"/>
  <c r="F20" i="39"/>
  <c r="F19" i="39"/>
  <c r="F18" i="39"/>
  <c r="F17" i="39"/>
  <c r="H17" i="39" s="1"/>
  <c r="F16" i="39"/>
  <c r="F15" i="39"/>
  <c r="F14" i="39"/>
  <c r="F13" i="39"/>
  <c r="H8" i="39"/>
  <c r="C8" i="39"/>
  <c r="P4" i="39"/>
  <c r="N1" i="39"/>
  <c r="H107" i="38"/>
  <c r="F107" i="38"/>
  <c r="R106" i="38"/>
  <c r="R107" i="38" s="1"/>
  <c r="H106" i="38"/>
  <c r="G99" i="38"/>
  <c r="I99" i="38" s="1"/>
  <c r="G98" i="38"/>
  <c r="I98" i="38" s="1"/>
  <c r="F91" i="38"/>
  <c r="R91" i="38"/>
  <c r="F90" i="38"/>
  <c r="R90" i="38"/>
  <c r="F89" i="38"/>
  <c r="R89" i="38" s="1"/>
  <c r="R79" i="38"/>
  <c r="F73" i="38"/>
  <c r="R73" i="38"/>
  <c r="R72" i="38"/>
  <c r="F71" i="38"/>
  <c r="R71" i="38"/>
  <c r="F70" i="38"/>
  <c r="R70" i="38"/>
  <c r="F68" i="38"/>
  <c r="R68" i="38"/>
  <c r="H65" i="38"/>
  <c r="T65" i="38" s="1"/>
  <c r="H62" i="38"/>
  <c r="T62" i="38" s="1"/>
  <c r="P59" i="38"/>
  <c r="C59" i="38"/>
  <c r="H58" i="38"/>
  <c r="H57" i="38"/>
  <c r="H56" i="38"/>
  <c r="H55" i="38"/>
  <c r="T55" i="38" s="1"/>
  <c r="U55" i="38" s="1"/>
  <c r="H54" i="38"/>
  <c r="H53" i="38"/>
  <c r="T53" i="38"/>
  <c r="U53" i="38" s="1"/>
  <c r="H52" i="38"/>
  <c r="T52" i="38"/>
  <c r="U52" i="38" s="1"/>
  <c r="H51" i="38"/>
  <c r="T51" i="38" s="1"/>
  <c r="U51" i="38"/>
  <c r="H50" i="38"/>
  <c r="T50" i="38"/>
  <c r="U50" i="38" s="1"/>
  <c r="D43" i="38"/>
  <c r="E41" i="38"/>
  <c r="C43" i="38"/>
  <c r="F28" i="38"/>
  <c r="F27" i="38"/>
  <c r="F26" i="38"/>
  <c r="F25" i="38"/>
  <c r="F24" i="38"/>
  <c r="F23" i="38"/>
  <c r="F22" i="38"/>
  <c r="F21" i="38"/>
  <c r="F20" i="38"/>
  <c r="F19" i="38"/>
  <c r="F18" i="38"/>
  <c r="F17" i="38"/>
  <c r="F16" i="38"/>
  <c r="F15" i="38"/>
  <c r="F14" i="38"/>
  <c r="F13" i="38"/>
  <c r="H8" i="38"/>
  <c r="C8" i="38"/>
  <c r="P4" i="38"/>
  <c r="N1" i="38"/>
  <c r="H107" i="37"/>
  <c r="T107" i="37" s="1"/>
  <c r="F107" i="37"/>
  <c r="R106" i="37"/>
  <c r="R107" i="37"/>
  <c r="H106" i="37"/>
  <c r="G99" i="37"/>
  <c r="G98" i="37"/>
  <c r="I98" i="37" s="1"/>
  <c r="F91" i="37"/>
  <c r="R91" i="37" s="1"/>
  <c r="F90" i="37"/>
  <c r="R90" i="37" s="1"/>
  <c r="F89" i="37"/>
  <c r="R89" i="37"/>
  <c r="F73" i="37"/>
  <c r="R73" i="37"/>
  <c r="F71" i="37"/>
  <c r="R71" i="37" s="1"/>
  <c r="F70" i="37"/>
  <c r="R70" i="37" s="1"/>
  <c r="F68" i="37"/>
  <c r="R68" i="37" s="1"/>
  <c r="H65" i="37"/>
  <c r="T65" i="37" s="1"/>
  <c r="H62" i="37"/>
  <c r="T62" i="37"/>
  <c r="P59" i="37"/>
  <c r="C59" i="37"/>
  <c r="H58" i="37"/>
  <c r="H57" i="37"/>
  <c r="T57" i="37"/>
  <c r="U57" i="37" s="1"/>
  <c r="H56" i="37"/>
  <c r="T56" i="37" s="1"/>
  <c r="U56" i="37"/>
  <c r="H55" i="37"/>
  <c r="H54" i="37"/>
  <c r="T54" i="37"/>
  <c r="U54" i="37" s="1"/>
  <c r="H53" i="37"/>
  <c r="T53" i="37"/>
  <c r="U53" i="37" s="1"/>
  <c r="H52" i="37"/>
  <c r="T52" i="37" s="1"/>
  <c r="U52" i="37"/>
  <c r="H51" i="37"/>
  <c r="T51" i="37"/>
  <c r="U51" i="37" s="1"/>
  <c r="H50" i="37"/>
  <c r="D43" i="37"/>
  <c r="C43" i="37"/>
  <c r="F28" i="37"/>
  <c r="F27" i="37"/>
  <c r="F26" i="37"/>
  <c r="F25" i="37"/>
  <c r="F24" i="37"/>
  <c r="F23" i="37"/>
  <c r="F22" i="37"/>
  <c r="F21" i="37"/>
  <c r="F20" i="37"/>
  <c r="F19" i="37"/>
  <c r="F18" i="37"/>
  <c r="F17" i="37"/>
  <c r="F16" i="37"/>
  <c r="F15" i="37"/>
  <c r="F14" i="37"/>
  <c r="F13" i="37"/>
  <c r="H8" i="37"/>
  <c r="C8" i="37"/>
  <c r="P4" i="37"/>
  <c r="N1" i="37"/>
  <c r="H107" i="36"/>
  <c r="T107" i="36" s="1"/>
  <c r="F107" i="36"/>
  <c r="R106" i="36"/>
  <c r="R107" i="36"/>
  <c r="H106" i="36"/>
  <c r="G99" i="36"/>
  <c r="T99" i="36"/>
  <c r="U99" i="36" s="1"/>
  <c r="G98" i="36"/>
  <c r="I98" i="36" s="1"/>
  <c r="F91" i="36"/>
  <c r="R91" i="36" s="1"/>
  <c r="F90" i="36"/>
  <c r="R90" i="36"/>
  <c r="F89" i="36"/>
  <c r="R89" i="36"/>
  <c r="F73" i="36"/>
  <c r="R73" i="36" s="1"/>
  <c r="R72" i="36"/>
  <c r="F71" i="36"/>
  <c r="R71" i="36"/>
  <c r="F70" i="36"/>
  <c r="R70" i="36"/>
  <c r="F68" i="36"/>
  <c r="R68" i="36" s="1"/>
  <c r="H65" i="36"/>
  <c r="T65" i="36" s="1"/>
  <c r="H62" i="36"/>
  <c r="T62" i="36"/>
  <c r="P59" i="36"/>
  <c r="C59" i="36"/>
  <c r="H58" i="36"/>
  <c r="H57" i="36"/>
  <c r="H56" i="36"/>
  <c r="H55" i="36"/>
  <c r="T55" i="36" s="1"/>
  <c r="U55" i="36" s="1"/>
  <c r="H54" i="36"/>
  <c r="H53" i="36"/>
  <c r="T53" i="36"/>
  <c r="U53" i="36"/>
  <c r="H52" i="36"/>
  <c r="H51" i="36"/>
  <c r="H50" i="36"/>
  <c r="T50" i="36"/>
  <c r="U50" i="36" s="1"/>
  <c r="D43" i="36"/>
  <c r="E40" i="36" s="1"/>
  <c r="I40" i="36" s="1"/>
  <c r="C43" i="36"/>
  <c r="C29" i="36"/>
  <c r="F28" i="36"/>
  <c r="F27" i="36"/>
  <c r="F26" i="36"/>
  <c r="F25" i="36"/>
  <c r="F24" i="36"/>
  <c r="F23" i="36"/>
  <c r="F22" i="36"/>
  <c r="F21" i="36"/>
  <c r="F20" i="36"/>
  <c r="F19" i="36"/>
  <c r="F18" i="36"/>
  <c r="F17" i="36"/>
  <c r="F16" i="36"/>
  <c r="F15" i="36"/>
  <c r="F14" i="36"/>
  <c r="F13" i="36"/>
  <c r="H8" i="36"/>
  <c r="T8" i="36"/>
  <c r="C8" i="36"/>
  <c r="P4" i="36"/>
  <c r="N1" i="36"/>
  <c r="H107" i="35"/>
  <c r="F107" i="35"/>
  <c r="R106" i="35"/>
  <c r="R107" i="35"/>
  <c r="H106" i="35"/>
  <c r="T106" i="35"/>
  <c r="G99" i="35"/>
  <c r="T99" i="35" s="1"/>
  <c r="U99" i="35" s="1"/>
  <c r="G98" i="35"/>
  <c r="I98" i="35"/>
  <c r="F91" i="35"/>
  <c r="R91" i="35"/>
  <c r="F90" i="35"/>
  <c r="R90" i="35" s="1"/>
  <c r="F89" i="35"/>
  <c r="R89" i="35" s="1"/>
  <c r="R80" i="35"/>
  <c r="F73" i="35"/>
  <c r="R73" i="35" s="1"/>
  <c r="R72" i="35"/>
  <c r="F71" i="35"/>
  <c r="R71" i="35"/>
  <c r="F70" i="35"/>
  <c r="R70" i="35"/>
  <c r="F68" i="35"/>
  <c r="R68" i="35" s="1"/>
  <c r="H65" i="35"/>
  <c r="T65" i="35" s="1"/>
  <c r="H62" i="35"/>
  <c r="P59" i="35"/>
  <c r="C59" i="35"/>
  <c r="H58" i="35"/>
  <c r="T58" i="35" s="1"/>
  <c r="U58" i="35"/>
  <c r="H57" i="35"/>
  <c r="T57" i="35"/>
  <c r="U57" i="35" s="1"/>
  <c r="H56" i="35"/>
  <c r="H55" i="35"/>
  <c r="H54" i="35"/>
  <c r="T54" i="35"/>
  <c r="U54" i="35"/>
  <c r="H53" i="35"/>
  <c r="H52" i="35"/>
  <c r="H51" i="35"/>
  <c r="H50" i="35"/>
  <c r="D43" i="35"/>
  <c r="E42" i="35"/>
  <c r="C43" i="35"/>
  <c r="C29" i="35"/>
  <c r="F28" i="35"/>
  <c r="F27" i="35"/>
  <c r="F26" i="35"/>
  <c r="F25" i="35"/>
  <c r="F24" i="35"/>
  <c r="F23" i="35"/>
  <c r="F22" i="35"/>
  <c r="F21" i="35"/>
  <c r="F20" i="35"/>
  <c r="F19" i="35"/>
  <c r="F18" i="35"/>
  <c r="F17" i="35"/>
  <c r="F16" i="35"/>
  <c r="F15" i="35"/>
  <c r="F14" i="35"/>
  <c r="F13" i="35"/>
  <c r="H8" i="35"/>
  <c r="C8" i="35"/>
  <c r="P4" i="35"/>
  <c r="N1" i="35"/>
  <c r="H107" i="34"/>
  <c r="T107" i="34"/>
  <c r="F107" i="34"/>
  <c r="R106" i="34"/>
  <c r="R107" i="34"/>
  <c r="H106" i="34"/>
  <c r="H108" i="34"/>
  <c r="G99" i="34"/>
  <c r="I99" i="34" s="1"/>
  <c r="G98" i="34"/>
  <c r="I98" i="34" s="1"/>
  <c r="F91" i="34"/>
  <c r="R91" i="34" s="1"/>
  <c r="F90" i="34"/>
  <c r="R90" i="34" s="1"/>
  <c r="F89" i="34"/>
  <c r="R89" i="34"/>
  <c r="R80" i="34"/>
  <c r="F73" i="34"/>
  <c r="R73" i="34" s="1"/>
  <c r="F71" i="34"/>
  <c r="R71" i="34"/>
  <c r="F70" i="34"/>
  <c r="R70" i="34"/>
  <c r="F68" i="34"/>
  <c r="R68" i="34"/>
  <c r="H65" i="34"/>
  <c r="T65" i="34" s="1"/>
  <c r="H62" i="34"/>
  <c r="T62" i="34" s="1"/>
  <c r="P59" i="34"/>
  <c r="C59" i="34"/>
  <c r="H58" i="34"/>
  <c r="I58" i="34"/>
  <c r="T58" i="34"/>
  <c r="U58" i="34"/>
  <c r="H57" i="34"/>
  <c r="H56" i="34"/>
  <c r="T56" i="34" s="1"/>
  <c r="U56" i="34" s="1"/>
  <c r="H55" i="34"/>
  <c r="H54" i="34"/>
  <c r="H53" i="34"/>
  <c r="H52" i="34"/>
  <c r="H51" i="34"/>
  <c r="H50" i="34"/>
  <c r="D43" i="34"/>
  <c r="E38" i="34"/>
  <c r="C43" i="34"/>
  <c r="C29" i="34"/>
  <c r="F28" i="34"/>
  <c r="F27" i="34"/>
  <c r="F26" i="34"/>
  <c r="F25" i="34"/>
  <c r="F24" i="34"/>
  <c r="F23" i="34"/>
  <c r="F22" i="34"/>
  <c r="F21" i="34"/>
  <c r="F20" i="34"/>
  <c r="F19" i="34"/>
  <c r="F18" i="34"/>
  <c r="F17" i="34"/>
  <c r="F16" i="34"/>
  <c r="F15" i="34"/>
  <c r="F14" i="34"/>
  <c r="F13" i="34"/>
  <c r="H8" i="34"/>
  <c r="C8" i="34"/>
  <c r="P4" i="34"/>
  <c r="N1" i="34"/>
  <c r="H107" i="33"/>
  <c r="T107" i="33"/>
  <c r="F107" i="33"/>
  <c r="R106" i="33"/>
  <c r="R107" i="33" s="1"/>
  <c r="H106" i="33"/>
  <c r="T106" i="33" s="1"/>
  <c r="G99" i="33"/>
  <c r="I99" i="33"/>
  <c r="G98" i="33"/>
  <c r="I98" i="33" s="1"/>
  <c r="F91" i="33"/>
  <c r="R91" i="33" s="1"/>
  <c r="F90" i="33"/>
  <c r="R90" i="33" s="1"/>
  <c r="F89" i="33"/>
  <c r="R89" i="33" s="1"/>
  <c r="F73" i="33"/>
  <c r="R73" i="33" s="1"/>
  <c r="R72" i="33"/>
  <c r="F71" i="33"/>
  <c r="R71" i="33" s="1"/>
  <c r="F70" i="33"/>
  <c r="R70" i="33"/>
  <c r="F68" i="33"/>
  <c r="R68" i="33"/>
  <c r="H65" i="33"/>
  <c r="T65" i="33"/>
  <c r="H62" i="33"/>
  <c r="T62" i="33"/>
  <c r="P59" i="33"/>
  <c r="C59" i="33"/>
  <c r="H58" i="33"/>
  <c r="T58" i="33" s="1"/>
  <c r="U58" i="33" s="1"/>
  <c r="H57" i="33"/>
  <c r="H56" i="33"/>
  <c r="T56" i="33"/>
  <c r="U56" i="33" s="1"/>
  <c r="H55" i="33"/>
  <c r="T55" i="33" s="1"/>
  <c r="U55" i="33" s="1"/>
  <c r="H54" i="33"/>
  <c r="T54" i="33"/>
  <c r="H53" i="33"/>
  <c r="T53" i="33" s="1"/>
  <c r="U53" i="33" s="1"/>
  <c r="H52" i="33"/>
  <c r="H51" i="33"/>
  <c r="T51" i="33"/>
  <c r="U51" i="33" s="1"/>
  <c r="H50" i="33"/>
  <c r="D43" i="33"/>
  <c r="C43" i="33"/>
  <c r="F28" i="33"/>
  <c r="F27" i="33"/>
  <c r="F26" i="33"/>
  <c r="F25" i="33"/>
  <c r="F24" i="33"/>
  <c r="F23" i="33"/>
  <c r="F22" i="33"/>
  <c r="F21" i="33"/>
  <c r="F20" i="33"/>
  <c r="F19" i="33"/>
  <c r="F18" i="33"/>
  <c r="F17" i="33"/>
  <c r="F16" i="33"/>
  <c r="F15" i="33"/>
  <c r="F14" i="33"/>
  <c r="F13" i="33"/>
  <c r="H8" i="33"/>
  <c r="C8" i="33"/>
  <c r="P4" i="33"/>
  <c r="N1" i="33"/>
  <c r="H107" i="32"/>
  <c r="F107" i="32"/>
  <c r="R106" i="32"/>
  <c r="R107" i="32"/>
  <c r="H106" i="32"/>
  <c r="G99" i="32"/>
  <c r="T99" i="32" s="1"/>
  <c r="U99" i="32" s="1"/>
  <c r="G98" i="32"/>
  <c r="I98" i="32" s="1"/>
  <c r="F91" i="32"/>
  <c r="R91" i="32"/>
  <c r="F90" i="32"/>
  <c r="R90" i="32"/>
  <c r="F89" i="32"/>
  <c r="R89" i="32"/>
  <c r="F73" i="32"/>
  <c r="R73" i="32"/>
  <c r="F71" i="32"/>
  <c r="R71" i="32" s="1"/>
  <c r="F70" i="32"/>
  <c r="R70" i="32" s="1"/>
  <c r="F68" i="32"/>
  <c r="R68" i="32"/>
  <c r="H65" i="32"/>
  <c r="T65" i="32"/>
  <c r="H62" i="32"/>
  <c r="P59" i="32"/>
  <c r="H58" i="32"/>
  <c r="T58" i="32"/>
  <c r="U58" i="32" s="1"/>
  <c r="H57" i="32"/>
  <c r="H56" i="32"/>
  <c r="H55" i="32"/>
  <c r="T55" i="32"/>
  <c r="U55" i="32"/>
  <c r="H54" i="32"/>
  <c r="T54" i="32"/>
  <c r="U54" i="32" s="1"/>
  <c r="H53" i="32"/>
  <c r="H52" i="32"/>
  <c r="T52" i="32"/>
  <c r="U52" i="32" s="1"/>
  <c r="H51" i="32"/>
  <c r="H50" i="32"/>
  <c r="T50" i="32" s="1"/>
  <c r="U50" i="32" s="1"/>
  <c r="D43" i="32"/>
  <c r="C43" i="32"/>
  <c r="F28" i="32"/>
  <c r="F27" i="32"/>
  <c r="F26" i="32"/>
  <c r="F25" i="32"/>
  <c r="F24" i="32"/>
  <c r="F23" i="32"/>
  <c r="F22" i="32"/>
  <c r="F21" i="32"/>
  <c r="F20" i="32"/>
  <c r="F19" i="32"/>
  <c r="F18" i="32"/>
  <c r="F17" i="32"/>
  <c r="F16" i="32"/>
  <c r="F15" i="32"/>
  <c r="F14" i="32"/>
  <c r="F13" i="32"/>
  <c r="H8" i="32"/>
  <c r="C8" i="32"/>
  <c r="P4" i="32"/>
  <c r="N1" i="32"/>
  <c r="H107" i="31"/>
  <c r="F107" i="31"/>
  <c r="R106" i="31"/>
  <c r="R107" i="31" s="1"/>
  <c r="H106" i="31"/>
  <c r="G99" i="31"/>
  <c r="T99" i="31"/>
  <c r="U99" i="31" s="1"/>
  <c r="G98" i="31"/>
  <c r="F91" i="31"/>
  <c r="R91" i="31" s="1"/>
  <c r="F90" i="31"/>
  <c r="R90" i="31" s="1"/>
  <c r="F89" i="31"/>
  <c r="R89" i="31"/>
  <c r="F73" i="31"/>
  <c r="R73" i="31" s="1"/>
  <c r="R72" i="31"/>
  <c r="F71" i="31"/>
  <c r="R71" i="31" s="1"/>
  <c r="F70" i="31"/>
  <c r="R70" i="31" s="1"/>
  <c r="F68" i="31"/>
  <c r="R68" i="31" s="1"/>
  <c r="H65" i="31"/>
  <c r="T65" i="31"/>
  <c r="H62" i="31"/>
  <c r="T62" i="31" s="1"/>
  <c r="P59" i="31"/>
  <c r="C59" i="31"/>
  <c r="H58" i="31"/>
  <c r="H57" i="31"/>
  <c r="T57" i="31"/>
  <c r="U57" i="31" s="1"/>
  <c r="H56" i="31"/>
  <c r="H55" i="31"/>
  <c r="H54" i="31"/>
  <c r="H53" i="31"/>
  <c r="T53" i="31"/>
  <c r="U53" i="31" s="1"/>
  <c r="H52" i="31"/>
  <c r="H51" i="31"/>
  <c r="T51" i="31"/>
  <c r="U51" i="31" s="1"/>
  <c r="H50" i="31"/>
  <c r="T50" i="31" s="1"/>
  <c r="U50" i="31" s="1"/>
  <c r="D43" i="31"/>
  <c r="E39" i="31" s="1"/>
  <c r="C43" i="31"/>
  <c r="F28" i="31"/>
  <c r="F27" i="31"/>
  <c r="F26" i="31"/>
  <c r="F25" i="31"/>
  <c r="F24" i="31"/>
  <c r="H24" i="31" s="1"/>
  <c r="I24" i="31" s="1"/>
  <c r="F23" i="31"/>
  <c r="H23" i="31"/>
  <c r="F22" i="31"/>
  <c r="F21" i="31"/>
  <c r="F20" i="31"/>
  <c r="F19" i="31"/>
  <c r="F18" i="31"/>
  <c r="F17" i="31"/>
  <c r="F16" i="31"/>
  <c r="F15" i="31"/>
  <c r="F14" i="31"/>
  <c r="F13" i="31"/>
  <c r="H8" i="31"/>
  <c r="C8" i="31"/>
  <c r="I38" i="31" s="1"/>
  <c r="P4" i="31"/>
  <c r="N1" i="31"/>
  <c r="H107" i="30"/>
  <c r="T107" i="30" s="1"/>
  <c r="F107" i="30"/>
  <c r="R106" i="30"/>
  <c r="R107" i="30" s="1"/>
  <c r="H106" i="30"/>
  <c r="G99" i="30"/>
  <c r="I99" i="30"/>
  <c r="G98" i="30"/>
  <c r="T98" i="30" s="1"/>
  <c r="F91" i="30"/>
  <c r="R91" i="30" s="1"/>
  <c r="F90" i="30"/>
  <c r="R90" i="30" s="1"/>
  <c r="F89" i="30"/>
  <c r="R89" i="30"/>
  <c r="R80" i="30"/>
  <c r="F73" i="30"/>
  <c r="R73" i="30" s="1"/>
  <c r="R72" i="30"/>
  <c r="F71" i="30"/>
  <c r="R71" i="30" s="1"/>
  <c r="F70" i="30"/>
  <c r="R70" i="30" s="1"/>
  <c r="F68" i="30"/>
  <c r="H65" i="30"/>
  <c r="T65" i="30"/>
  <c r="H62" i="30"/>
  <c r="T62" i="30" s="1"/>
  <c r="P59" i="30"/>
  <c r="H58" i="30"/>
  <c r="T58" i="30"/>
  <c r="U58" i="30" s="1"/>
  <c r="H57" i="30"/>
  <c r="H56" i="30"/>
  <c r="T56" i="30" s="1"/>
  <c r="U56" i="30" s="1"/>
  <c r="H55" i="30"/>
  <c r="T55" i="30"/>
  <c r="U55" i="30"/>
  <c r="H54" i="30"/>
  <c r="T54" i="30"/>
  <c r="U54" i="30" s="1"/>
  <c r="H53" i="30"/>
  <c r="H52" i="30"/>
  <c r="T52" i="30"/>
  <c r="U52" i="30" s="1"/>
  <c r="H51" i="30"/>
  <c r="T51" i="30"/>
  <c r="U51" i="30" s="1"/>
  <c r="H50" i="30"/>
  <c r="T50" i="30"/>
  <c r="U50" i="30" s="1"/>
  <c r="D43" i="30"/>
  <c r="E42" i="30" s="1"/>
  <c r="C43" i="30"/>
  <c r="F28" i="30"/>
  <c r="F27" i="30"/>
  <c r="F26" i="30"/>
  <c r="F25" i="30"/>
  <c r="F24" i="30"/>
  <c r="F23" i="30"/>
  <c r="F22" i="30"/>
  <c r="F21" i="30"/>
  <c r="F20" i="30"/>
  <c r="F19" i="30"/>
  <c r="F18" i="30"/>
  <c r="F17" i="30"/>
  <c r="F16" i="30"/>
  <c r="F15" i="30"/>
  <c r="F14" i="30"/>
  <c r="F13" i="30"/>
  <c r="H8" i="30"/>
  <c r="C8" i="30"/>
  <c r="P4" i="30"/>
  <c r="N1" i="30"/>
  <c r="H107" i="29"/>
  <c r="F107" i="29"/>
  <c r="R106" i="29"/>
  <c r="R107" i="29"/>
  <c r="H106" i="29"/>
  <c r="I106" i="29"/>
  <c r="G99" i="29"/>
  <c r="T99" i="29" s="1"/>
  <c r="U99" i="29" s="1"/>
  <c r="G98" i="29"/>
  <c r="I98" i="29"/>
  <c r="T98" i="29"/>
  <c r="F91" i="29"/>
  <c r="R91" i="29"/>
  <c r="F90" i="29"/>
  <c r="R90" i="29"/>
  <c r="F89" i="29"/>
  <c r="R89" i="29"/>
  <c r="R79" i="29"/>
  <c r="F73" i="29"/>
  <c r="R73" i="29"/>
  <c r="F71" i="29"/>
  <c r="R71" i="29"/>
  <c r="F70" i="29"/>
  <c r="R70" i="29" s="1"/>
  <c r="F68" i="29"/>
  <c r="R68" i="29" s="1"/>
  <c r="H65" i="29"/>
  <c r="T65" i="29" s="1"/>
  <c r="H62" i="29"/>
  <c r="T62" i="29" s="1"/>
  <c r="P59" i="29"/>
  <c r="C59" i="29"/>
  <c r="H58" i="29"/>
  <c r="H57" i="29"/>
  <c r="T57" i="29"/>
  <c r="U57" i="29" s="1"/>
  <c r="H56" i="29"/>
  <c r="T56" i="29" s="1"/>
  <c r="U56" i="29" s="1"/>
  <c r="H55" i="29"/>
  <c r="T55" i="29"/>
  <c r="U55" i="29" s="1"/>
  <c r="H54" i="29"/>
  <c r="T54" i="29"/>
  <c r="U54" i="29" s="1"/>
  <c r="H53" i="29"/>
  <c r="T53" i="29"/>
  <c r="U53" i="29" s="1"/>
  <c r="H52" i="29"/>
  <c r="H51" i="29"/>
  <c r="H50" i="29"/>
  <c r="T50" i="29" s="1"/>
  <c r="U50" i="29"/>
  <c r="D43" i="29"/>
  <c r="C43" i="29"/>
  <c r="C29" i="29"/>
  <c r="F28" i="29"/>
  <c r="F27" i="29"/>
  <c r="F26" i="29"/>
  <c r="F25" i="29"/>
  <c r="F24" i="29"/>
  <c r="F23" i="29"/>
  <c r="F22" i="29"/>
  <c r="F21" i="29"/>
  <c r="F20" i="29"/>
  <c r="F19" i="29"/>
  <c r="F18" i="29"/>
  <c r="F17" i="29"/>
  <c r="F16" i="29"/>
  <c r="F15" i="29"/>
  <c r="F14" i="29"/>
  <c r="F13" i="29"/>
  <c r="H8" i="29"/>
  <c r="C8" i="29"/>
  <c r="P4" i="29"/>
  <c r="N1" i="29"/>
  <c r="H107" i="28"/>
  <c r="F107" i="28"/>
  <c r="R106" i="28"/>
  <c r="H106" i="28"/>
  <c r="H108" i="28" s="1"/>
  <c r="G99" i="28"/>
  <c r="I99" i="28" s="1"/>
  <c r="G98" i="28"/>
  <c r="I98" i="28" s="1"/>
  <c r="F91" i="28"/>
  <c r="R91" i="28" s="1"/>
  <c r="F90" i="28"/>
  <c r="R90" i="28" s="1"/>
  <c r="F89" i="28"/>
  <c r="R89" i="28" s="1"/>
  <c r="F73" i="28"/>
  <c r="R73" i="28"/>
  <c r="R72" i="28"/>
  <c r="F71" i="28"/>
  <c r="R71" i="28"/>
  <c r="F70" i="28"/>
  <c r="R70" i="28"/>
  <c r="F68" i="28"/>
  <c r="R68" i="28"/>
  <c r="H65" i="28"/>
  <c r="T65" i="28" s="1"/>
  <c r="H62" i="28"/>
  <c r="P59" i="28"/>
  <c r="H58" i="28"/>
  <c r="T58" i="28" s="1"/>
  <c r="U58" i="28" s="1"/>
  <c r="H57" i="28"/>
  <c r="H56" i="28"/>
  <c r="T56" i="28"/>
  <c r="U56" i="28" s="1"/>
  <c r="H55" i="28"/>
  <c r="T55" i="28" s="1"/>
  <c r="U55" i="28"/>
  <c r="H54" i="28"/>
  <c r="T54" i="28" s="1"/>
  <c r="U54" i="28" s="1"/>
  <c r="H53" i="28"/>
  <c r="T53" i="28"/>
  <c r="U53" i="28"/>
  <c r="H52" i="28"/>
  <c r="H51" i="28"/>
  <c r="T51" i="28" s="1"/>
  <c r="U51" i="28" s="1"/>
  <c r="H50" i="28"/>
  <c r="D43" i="28"/>
  <c r="E42" i="28" s="1"/>
  <c r="I42" i="28" s="1"/>
  <c r="C43" i="28"/>
  <c r="F28" i="28"/>
  <c r="F27" i="28"/>
  <c r="F26" i="28"/>
  <c r="F25" i="28"/>
  <c r="F24" i="28"/>
  <c r="F23" i="28"/>
  <c r="F22" i="28"/>
  <c r="F21" i="28"/>
  <c r="F20" i="28"/>
  <c r="F19" i="28"/>
  <c r="F18" i="28"/>
  <c r="F17" i="28"/>
  <c r="F16" i="28"/>
  <c r="F15" i="28"/>
  <c r="F14" i="28"/>
  <c r="F13" i="28"/>
  <c r="H8" i="28"/>
  <c r="C8" i="28"/>
  <c r="P4" i="28"/>
  <c r="N1" i="28"/>
  <c r="H107" i="27"/>
  <c r="F107" i="27"/>
  <c r="R106" i="27"/>
  <c r="R107" i="27" s="1"/>
  <c r="H106" i="27"/>
  <c r="G99" i="27"/>
  <c r="I99" i="27" s="1"/>
  <c r="G98" i="27"/>
  <c r="I98" i="27"/>
  <c r="F91" i="27"/>
  <c r="R91" i="27"/>
  <c r="F90" i="27"/>
  <c r="R90" i="27"/>
  <c r="F89" i="27"/>
  <c r="R89" i="27"/>
  <c r="R80" i="27"/>
  <c r="R79" i="27"/>
  <c r="F73" i="27"/>
  <c r="R73" i="27" s="1"/>
  <c r="F71" i="27"/>
  <c r="R71" i="27"/>
  <c r="F70" i="27"/>
  <c r="R70" i="27"/>
  <c r="F68" i="27"/>
  <c r="R68" i="27"/>
  <c r="H65" i="27"/>
  <c r="T65" i="27"/>
  <c r="H62" i="27"/>
  <c r="T62" i="27" s="1"/>
  <c r="P59" i="27"/>
  <c r="C59" i="27"/>
  <c r="H58" i="27"/>
  <c r="H57" i="27"/>
  <c r="T57" i="27" s="1"/>
  <c r="H56" i="27"/>
  <c r="T56" i="27" s="1"/>
  <c r="U56" i="27" s="1"/>
  <c r="H55" i="27"/>
  <c r="H54" i="27"/>
  <c r="T54" i="27" s="1"/>
  <c r="U54" i="27" s="1"/>
  <c r="H53" i="27"/>
  <c r="T53" i="27" s="1"/>
  <c r="U53" i="27" s="1"/>
  <c r="H52" i="27"/>
  <c r="H51" i="27"/>
  <c r="T51" i="27"/>
  <c r="U51" i="27" s="1"/>
  <c r="H50" i="27"/>
  <c r="D43" i="27"/>
  <c r="C43" i="27"/>
  <c r="E25" i="27"/>
  <c r="H25" i="27" s="1"/>
  <c r="C29" i="27"/>
  <c r="F28" i="27"/>
  <c r="F27" i="27"/>
  <c r="F26" i="27"/>
  <c r="F25" i="27"/>
  <c r="F24" i="27"/>
  <c r="F23" i="27"/>
  <c r="F22" i="27"/>
  <c r="F21" i="27"/>
  <c r="F20" i="27"/>
  <c r="F19" i="27"/>
  <c r="F18" i="27"/>
  <c r="F17" i="27"/>
  <c r="F16" i="27"/>
  <c r="F15" i="27"/>
  <c r="F14" i="27"/>
  <c r="F13" i="27"/>
  <c r="H8" i="27"/>
  <c r="C8" i="27"/>
  <c r="P4" i="27"/>
  <c r="N1" i="27"/>
  <c r="H107" i="26"/>
  <c r="F107" i="26"/>
  <c r="R106" i="26"/>
  <c r="R107" i="26" s="1"/>
  <c r="H106" i="26"/>
  <c r="H108" i="26" s="1"/>
  <c r="G99" i="26"/>
  <c r="G98" i="26"/>
  <c r="T98" i="26" s="1"/>
  <c r="F91" i="26"/>
  <c r="R91" i="26" s="1"/>
  <c r="F90" i="26"/>
  <c r="R90" i="26" s="1"/>
  <c r="F89" i="26"/>
  <c r="R89" i="26" s="1"/>
  <c r="F73" i="26"/>
  <c r="R73" i="26"/>
  <c r="R72" i="26"/>
  <c r="F71" i="26"/>
  <c r="R71" i="26"/>
  <c r="F70" i="26"/>
  <c r="R70" i="26"/>
  <c r="F68" i="26"/>
  <c r="R68" i="26"/>
  <c r="H65" i="26"/>
  <c r="T65" i="26" s="1"/>
  <c r="H62" i="26"/>
  <c r="T62" i="26" s="1"/>
  <c r="P59" i="26"/>
  <c r="C59" i="26"/>
  <c r="H58" i="26"/>
  <c r="T58" i="26"/>
  <c r="U58" i="26" s="1"/>
  <c r="H57" i="26"/>
  <c r="H56" i="26"/>
  <c r="T56" i="26"/>
  <c r="U56" i="26" s="1"/>
  <c r="H55" i="26"/>
  <c r="H54" i="26"/>
  <c r="H53" i="26"/>
  <c r="H52" i="26"/>
  <c r="H51" i="26"/>
  <c r="T51" i="26"/>
  <c r="U51" i="26"/>
  <c r="H50" i="26"/>
  <c r="T50" i="26"/>
  <c r="U50" i="26" s="1"/>
  <c r="D43" i="26"/>
  <c r="C43" i="26"/>
  <c r="C29" i="26"/>
  <c r="F28" i="26"/>
  <c r="F27" i="26"/>
  <c r="F26" i="26"/>
  <c r="F25" i="26"/>
  <c r="F24" i="26"/>
  <c r="F23" i="26"/>
  <c r="F22" i="26"/>
  <c r="F21" i="26"/>
  <c r="F20" i="26"/>
  <c r="F19" i="26"/>
  <c r="F18" i="26"/>
  <c r="F17" i="26"/>
  <c r="F16" i="26"/>
  <c r="F15" i="26"/>
  <c r="F14" i="26"/>
  <c r="F13" i="26"/>
  <c r="H8" i="26"/>
  <c r="C8" i="26"/>
  <c r="P4" i="26"/>
  <c r="N1" i="26"/>
  <c r="H107" i="25"/>
  <c r="F107" i="25"/>
  <c r="R106" i="25"/>
  <c r="R107" i="25"/>
  <c r="H106" i="25"/>
  <c r="G99" i="25"/>
  <c r="T99" i="25"/>
  <c r="U99" i="25" s="1"/>
  <c r="G98" i="25"/>
  <c r="T98" i="25"/>
  <c r="F91" i="25"/>
  <c r="R91" i="25"/>
  <c r="F90" i="25"/>
  <c r="R90" i="25"/>
  <c r="F89" i="25"/>
  <c r="R89" i="25"/>
  <c r="R80" i="25"/>
  <c r="R79" i="25"/>
  <c r="F73" i="25"/>
  <c r="R73" i="25" s="1"/>
  <c r="R72" i="25"/>
  <c r="F71" i="25"/>
  <c r="R71" i="25" s="1"/>
  <c r="F70" i="25"/>
  <c r="R70" i="25" s="1"/>
  <c r="F68" i="25"/>
  <c r="R68" i="25" s="1"/>
  <c r="H65" i="25"/>
  <c r="T65" i="25" s="1"/>
  <c r="H62" i="25"/>
  <c r="T62" i="25" s="1"/>
  <c r="P59" i="25"/>
  <c r="C59" i="25"/>
  <c r="H58" i="25"/>
  <c r="H57" i="25"/>
  <c r="T57" i="25"/>
  <c r="U57" i="25" s="1"/>
  <c r="H56" i="25"/>
  <c r="T56" i="25" s="1"/>
  <c r="U56" i="25" s="1"/>
  <c r="H55" i="25"/>
  <c r="T55" i="25"/>
  <c r="U55" i="25" s="1"/>
  <c r="H54" i="25"/>
  <c r="T54" i="25"/>
  <c r="U54" i="25" s="1"/>
  <c r="H53" i="25"/>
  <c r="T53" i="25" s="1"/>
  <c r="U53" i="25"/>
  <c r="H52" i="25"/>
  <c r="T52" i="25"/>
  <c r="U52" i="25" s="1"/>
  <c r="H51" i="25"/>
  <c r="H50" i="25"/>
  <c r="D43" i="25"/>
  <c r="C43" i="25"/>
  <c r="F28" i="25"/>
  <c r="F27" i="25"/>
  <c r="F26" i="25"/>
  <c r="F25" i="25"/>
  <c r="F24" i="25"/>
  <c r="F23" i="25"/>
  <c r="F22" i="25"/>
  <c r="F21" i="25"/>
  <c r="F20" i="25"/>
  <c r="F19" i="25"/>
  <c r="F18" i="25"/>
  <c r="F17" i="25"/>
  <c r="F16" i="25"/>
  <c r="F15" i="25"/>
  <c r="F14" i="25"/>
  <c r="F13" i="25"/>
  <c r="H8" i="25"/>
  <c r="C8" i="25"/>
  <c r="P4" i="25"/>
  <c r="N1" i="25"/>
  <c r="H107" i="24"/>
  <c r="T107" i="24"/>
  <c r="F107" i="24"/>
  <c r="R106" i="24"/>
  <c r="R107" i="24" s="1"/>
  <c r="H106" i="24"/>
  <c r="G99" i="24"/>
  <c r="G98" i="24"/>
  <c r="I98" i="24" s="1"/>
  <c r="F91" i="24"/>
  <c r="R91" i="24" s="1"/>
  <c r="F90" i="24"/>
  <c r="R90" i="24"/>
  <c r="F89" i="24"/>
  <c r="R89" i="24"/>
  <c r="R80" i="24"/>
  <c r="R79" i="24"/>
  <c r="F73" i="24"/>
  <c r="R73" i="24" s="1"/>
  <c r="R72" i="24"/>
  <c r="F71" i="24"/>
  <c r="R71" i="24"/>
  <c r="F70" i="24"/>
  <c r="R70" i="24" s="1"/>
  <c r="F68" i="24"/>
  <c r="R68" i="24" s="1"/>
  <c r="T65" i="24"/>
  <c r="P59" i="24"/>
  <c r="T50" i="24"/>
  <c r="U50" i="24"/>
  <c r="D43" i="24"/>
  <c r="C43" i="24"/>
  <c r="F28" i="24"/>
  <c r="F27" i="24"/>
  <c r="F26" i="24"/>
  <c r="F25" i="24"/>
  <c r="F24" i="24"/>
  <c r="F23" i="24"/>
  <c r="F21" i="24"/>
  <c r="F20" i="24"/>
  <c r="F19" i="24"/>
  <c r="F18" i="24"/>
  <c r="F17" i="24"/>
  <c r="F16" i="24"/>
  <c r="F15" i="24"/>
  <c r="F14" i="24"/>
  <c r="F13" i="24"/>
  <c r="H8" i="24"/>
  <c r="T8" i="24"/>
  <c r="C8" i="24"/>
  <c r="P4" i="24"/>
  <c r="N1" i="24"/>
  <c r="H107" i="23"/>
  <c r="T107" i="23"/>
  <c r="F107" i="23"/>
  <c r="R106" i="23"/>
  <c r="R107" i="23" s="1"/>
  <c r="H106" i="23"/>
  <c r="T106" i="23" s="1"/>
  <c r="G99" i="23"/>
  <c r="I99" i="23"/>
  <c r="G98" i="23"/>
  <c r="T98" i="23"/>
  <c r="F91" i="23"/>
  <c r="R91" i="23" s="1"/>
  <c r="F90" i="23"/>
  <c r="R90" i="23" s="1"/>
  <c r="F89" i="23"/>
  <c r="R89" i="23" s="1"/>
  <c r="F73" i="23"/>
  <c r="R73" i="23" s="1"/>
  <c r="F71" i="23"/>
  <c r="R71" i="23"/>
  <c r="F70" i="23"/>
  <c r="R70" i="23"/>
  <c r="F68" i="23"/>
  <c r="R68" i="23" s="1"/>
  <c r="H65" i="23"/>
  <c r="T65" i="23" s="1"/>
  <c r="H62" i="23"/>
  <c r="T62" i="23" s="1"/>
  <c r="P59" i="23"/>
  <c r="C59" i="23"/>
  <c r="H58" i="23"/>
  <c r="T58" i="23"/>
  <c r="U58" i="23" s="1"/>
  <c r="H57" i="23"/>
  <c r="H56" i="23"/>
  <c r="T56" i="23" s="1"/>
  <c r="U56" i="23" s="1"/>
  <c r="H55" i="23"/>
  <c r="T55" i="23"/>
  <c r="U55" i="23" s="1"/>
  <c r="H54" i="23"/>
  <c r="T54" i="23" s="1"/>
  <c r="U54" i="23" s="1"/>
  <c r="H53" i="23"/>
  <c r="T53" i="23" s="1"/>
  <c r="U53" i="23" s="1"/>
  <c r="H52" i="23"/>
  <c r="T52" i="23"/>
  <c r="U52" i="23" s="1"/>
  <c r="H51" i="23"/>
  <c r="T51" i="23" s="1"/>
  <c r="U51" i="23"/>
  <c r="H50" i="23"/>
  <c r="T50" i="23" s="1"/>
  <c r="U50" i="23" s="1"/>
  <c r="D43" i="23"/>
  <c r="E42" i="23"/>
  <c r="C43" i="23"/>
  <c r="C29" i="23"/>
  <c r="F28" i="23"/>
  <c r="F27" i="23"/>
  <c r="F26" i="23"/>
  <c r="F25" i="23"/>
  <c r="F24" i="23"/>
  <c r="F23" i="23"/>
  <c r="F22" i="23"/>
  <c r="F21" i="23"/>
  <c r="F20" i="23"/>
  <c r="F19" i="23"/>
  <c r="F18" i="23"/>
  <c r="F17" i="23"/>
  <c r="F16" i="23"/>
  <c r="F15" i="23"/>
  <c r="F14" i="23"/>
  <c r="F13" i="23"/>
  <c r="H8" i="23"/>
  <c r="C8" i="23"/>
  <c r="P4" i="23"/>
  <c r="N1" i="23"/>
  <c r="H107" i="22"/>
  <c r="T107" i="22"/>
  <c r="F107" i="22"/>
  <c r="R106" i="22"/>
  <c r="R107" i="22"/>
  <c r="H106" i="22"/>
  <c r="G99" i="22"/>
  <c r="T99" i="22" s="1"/>
  <c r="U99" i="22"/>
  <c r="G98" i="22"/>
  <c r="T98" i="22" s="1"/>
  <c r="F91" i="22"/>
  <c r="R91" i="22" s="1"/>
  <c r="F90" i="22"/>
  <c r="R90" i="22"/>
  <c r="F89" i="22"/>
  <c r="R89" i="22"/>
  <c r="R80" i="22"/>
  <c r="R79" i="22"/>
  <c r="F73" i="22"/>
  <c r="R73" i="22"/>
  <c r="R72" i="22"/>
  <c r="F71" i="22"/>
  <c r="R71" i="22"/>
  <c r="F70" i="22"/>
  <c r="R70" i="22"/>
  <c r="F68" i="22"/>
  <c r="R68" i="22" s="1"/>
  <c r="H65" i="22"/>
  <c r="T65" i="22" s="1"/>
  <c r="H62" i="22"/>
  <c r="T62" i="22" s="1"/>
  <c r="P59" i="22"/>
  <c r="C59" i="22"/>
  <c r="H58" i="22"/>
  <c r="T58" i="22"/>
  <c r="U58" i="22" s="1"/>
  <c r="H57" i="22"/>
  <c r="T57" i="22"/>
  <c r="U57" i="22" s="1"/>
  <c r="H56" i="22"/>
  <c r="T56" i="22" s="1"/>
  <c r="U56" i="22"/>
  <c r="H55" i="22"/>
  <c r="H54" i="22"/>
  <c r="T54" i="22" s="1"/>
  <c r="U54" i="22" s="1"/>
  <c r="H53" i="22"/>
  <c r="T53" i="22" s="1"/>
  <c r="U53" i="22" s="1"/>
  <c r="H52" i="22"/>
  <c r="T52" i="22" s="1"/>
  <c r="U52" i="22" s="1"/>
  <c r="H51" i="22"/>
  <c r="H50" i="22"/>
  <c r="T50" i="22" s="1"/>
  <c r="U50" i="22"/>
  <c r="D43" i="22"/>
  <c r="E41" i="22"/>
  <c r="C43" i="22"/>
  <c r="C29" i="22"/>
  <c r="F28" i="22"/>
  <c r="F27" i="22"/>
  <c r="F26" i="22"/>
  <c r="F25" i="22"/>
  <c r="F24" i="22"/>
  <c r="F23" i="22"/>
  <c r="F22" i="22"/>
  <c r="F21" i="22"/>
  <c r="F20" i="22"/>
  <c r="F19" i="22"/>
  <c r="F18" i="22"/>
  <c r="F17" i="22"/>
  <c r="F16" i="22"/>
  <c r="F15" i="22"/>
  <c r="F14" i="22"/>
  <c r="F13" i="22"/>
  <c r="H8" i="22"/>
  <c r="T8" i="22"/>
  <c r="C8" i="22"/>
  <c r="I39" i="22"/>
  <c r="P4" i="22"/>
  <c r="N1" i="22"/>
  <c r="H107" i="21"/>
  <c r="F107" i="21"/>
  <c r="R106" i="21"/>
  <c r="R107" i="21" s="1"/>
  <c r="H106" i="21"/>
  <c r="G99" i="21"/>
  <c r="I99" i="21" s="1"/>
  <c r="G98" i="21"/>
  <c r="I98" i="21" s="1"/>
  <c r="F91" i="21"/>
  <c r="R91" i="21" s="1"/>
  <c r="F90" i="21"/>
  <c r="R90" i="21" s="1"/>
  <c r="F89" i="21"/>
  <c r="R89" i="21"/>
  <c r="R80" i="21"/>
  <c r="F73" i="21"/>
  <c r="R73" i="21"/>
  <c r="F71" i="21"/>
  <c r="R71" i="21"/>
  <c r="F70" i="21"/>
  <c r="R70" i="21"/>
  <c r="F68" i="21"/>
  <c r="R68" i="21"/>
  <c r="H65" i="21"/>
  <c r="T65" i="21" s="1"/>
  <c r="H62" i="21"/>
  <c r="T62" i="21" s="1"/>
  <c r="P59" i="21"/>
  <c r="C59" i="21"/>
  <c r="H58" i="21"/>
  <c r="H57" i="21"/>
  <c r="T57" i="21" s="1"/>
  <c r="U57" i="21" s="1"/>
  <c r="H56" i="21"/>
  <c r="T56" i="21"/>
  <c r="U56" i="21" s="1"/>
  <c r="H55" i="21"/>
  <c r="T55" i="21"/>
  <c r="U55" i="21" s="1"/>
  <c r="H54" i="21"/>
  <c r="T54" i="21"/>
  <c r="U54" i="21" s="1"/>
  <c r="H53" i="21"/>
  <c r="H52" i="21"/>
  <c r="H51" i="21"/>
  <c r="T51" i="21" s="1"/>
  <c r="U51" i="21"/>
  <c r="H50" i="21"/>
  <c r="T50" i="21" s="1"/>
  <c r="U50" i="21" s="1"/>
  <c r="D43" i="21"/>
  <c r="C43" i="21"/>
  <c r="F28" i="21"/>
  <c r="F27" i="21"/>
  <c r="F26" i="21"/>
  <c r="F25" i="21"/>
  <c r="F24" i="21"/>
  <c r="F23" i="21"/>
  <c r="F22" i="21"/>
  <c r="F21" i="21"/>
  <c r="F20" i="21"/>
  <c r="F19" i="21"/>
  <c r="F18" i="21"/>
  <c r="F17" i="21"/>
  <c r="F16" i="21"/>
  <c r="F15" i="21"/>
  <c r="F14" i="21"/>
  <c r="F13" i="21"/>
  <c r="H8" i="21"/>
  <c r="E91" i="21" s="1"/>
  <c r="C8" i="21"/>
  <c r="P4" i="21"/>
  <c r="N1" i="21"/>
  <c r="H107" i="20"/>
  <c r="T107" i="20" s="1"/>
  <c r="F107" i="20"/>
  <c r="R106" i="20"/>
  <c r="R107" i="20" s="1"/>
  <c r="H106" i="20"/>
  <c r="G99" i="20"/>
  <c r="I99" i="20"/>
  <c r="G98" i="20"/>
  <c r="F91" i="20"/>
  <c r="R91" i="20" s="1"/>
  <c r="F90" i="20"/>
  <c r="R90" i="20"/>
  <c r="F89" i="20"/>
  <c r="R89" i="20"/>
  <c r="F73" i="20"/>
  <c r="R73" i="20" s="1"/>
  <c r="R72" i="20"/>
  <c r="F71" i="20"/>
  <c r="R71" i="20"/>
  <c r="F70" i="20"/>
  <c r="R70" i="20"/>
  <c r="F68" i="20"/>
  <c r="R68" i="20" s="1"/>
  <c r="H65" i="20"/>
  <c r="T65" i="20" s="1"/>
  <c r="H62" i="20"/>
  <c r="T62" i="20" s="1"/>
  <c r="P59" i="20"/>
  <c r="H58" i="20"/>
  <c r="T58" i="20" s="1"/>
  <c r="U58" i="20"/>
  <c r="H57" i="20"/>
  <c r="T57" i="20"/>
  <c r="U57" i="20" s="1"/>
  <c r="H56" i="20"/>
  <c r="T56" i="20"/>
  <c r="U56" i="20" s="1"/>
  <c r="H55" i="20"/>
  <c r="H54" i="20"/>
  <c r="T54" i="20" s="1"/>
  <c r="U54" i="20"/>
  <c r="H53" i="20"/>
  <c r="T53" i="20"/>
  <c r="U53" i="20" s="1"/>
  <c r="H52" i="20"/>
  <c r="H51" i="20"/>
  <c r="H50" i="20"/>
  <c r="T50" i="20"/>
  <c r="U50" i="20" s="1"/>
  <c r="D43" i="20"/>
  <c r="E38" i="20"/>
  <c r="C43" i="20"/>
  <c r="F28" i="20"/>
  <c r="F27" i="20"/>
  <c r="F26" i="20"/>
  <c r="F25" i="20"/>
  <c r="F24" i="20"/>
  <c r="F23" i="20"/>
  <c r="F22" i="20"/>
  <c r="F21" i="20"/>
  <c r="F20" i="20"/>
  <c r="F19" i="20"/>
  <c r="F18" i="20"/>
  <c r="F17" i="20"/>
  <c r="F16" i="20"/>
  <c r="F15" i="20"/>
  <c r="F14" i="20"/>
  <c r="F13" i="20"/>
  <c r="H8" i="20"/>
  <c r="E91" i="20" s="1"/>
  <c r="C8" i="20"/>
  <c r="P4" i="20"/>
  <c r="N1" i="20"/>
  <c r="F107" i="18"/>
  <c r="F107" i="17"/>
  <c r="F107" i="16"/>
  <c r="F107" i="15"/>
  <c r="R106" i="15"/>
  <c r="R107" i="15" s="1"/>
  <c r="R106" i="16"/>
  <c r="R107" i="16" s="1"/>
  <c r="R106" i="17"/>
  <c r="R107" i="17"/>
  <c r="G99" i="15"/>
  <c r="T99" i="15"/>
  <c r="U99" i="15"/>
  <c r="G99" i="16"/>
  <c r="I99" i="16"/>
  <c r="G99" i="17"/>
  <c r="T99" i="17"/>
  <c r="U99" i="17" s="1"/>
  <c r="G99" i="18"/>
  <c r="T99" i="18" s="1"/>
  <c r="U99" i="18" s="1"/>
  <c r="G98" i="15"/>
  <c r="T98" i="15" s="1"/>
  <c r="G98" i="16"/>
  <c r="G98" i="17"/>
  <c r="T98" i="17" s="1"/>
  <c r="G98" i="18"/>
  <c r="I98" i="18"/>
  <c r="F91" i="15"/>
  <c r="R91" i="15"/>
  <c r="F90" i="15"/>
  <c r="R90" i="15"/>
  <c r="F91" i="16"/>
  <c r="R91" i="16"/>
  <c r="F90" i="16"/>
  <c r="R90" i="16" s="1"/>
  <c r="F91" i="17"/>
  <c r="R91" i="17" s="1"/>
  <c r="F90" i="17"/>
  <c r="R90" i="17"/>
  <c r="F91" i="18"/>
  <c r="R91" i="18"/>
  <c r="F90" i="18"/>
  <c r="R90" i="18"/>
  <c r="F89" i="15"/>
  <c r="R89" i="15"/>
  <c r="F89" i="16"/>
  <c r="R89" i="16" s="1"/>
  <c r="F89" i="17"/>
  <c r="R89" i="17" s="1"/>
  <c r="F89" i="18"/>
  <c r="R89" i="18"/>
  <c r="R80" i="16"/>
  <c r="R80" i="17"/>
  <c r="R80" i="18"/>
  <c r="R79" i="16"/>
  <c r="R79" i="17"/>
  <c r="F73" i="15"/>
  <c r="R73" i="15" s="1"/>
  <c r="F71" i="15"/>
  <c r="R71" i="15"/>
  <c r="F73" i="16"/>
  <c r="R73" i="16"/>
  <c r="R72" i="16"/>
  <c r="F71" i="16"/>
  <c r="R71" i="16"/>
  <c r="F73" i="17"/>
  <c r="R73" i="17"/>
  <c r="R72" i="17"/>
  <c r="F71" i="17"/>
  <c r="R71" i="17" s="1"/>
  <c r="F73" i="18"/>
  <c r="R73" i="18"/>
  <c r="F71" i="18"/>
  <c r="R71" i="18" s="1"/>
  <c r="F70" i="15"/>
  <c r="R70" i="15" s="1"/>
  <c r="F70" i="16"/>
  <c r="R70" i="16" s="1"/>
  <c r="F70" i="17"/>
  <c r="R70" i="17" s="1"/>
  <c r="F70" i="18"/>
  <c r="R70" i="18" s="1"/>
  <c r="F68" i="15"/>
  <c r="R68" i="15"/>
  <c r="F68" i="16"/>
  <c r="R68" i="16"/>
  <c r="F68" i="17"/>
  <c r="R68" i="17" s="1"/>
  <c r="F68" i="18"/>
  <c r="R68" i="18" s="1"/>
  <c r="H65" i="15"/>
  <c r="T65" i="15" s="1"/>
  <c r="H65" i="16"/>
  <c r="T65" i="16" s="1"/>
  <c r="H65" i="17"/>
  <c r="T65" i="17" s="1"/>
  <c r="H65" i="18"/>
  <c r="H62" i="15"/>
  <c r="T62" i="15" s="1"/>
  <c r="H62" i="16"/>
  <c r="T62" i="16" s="1"/>
  <c r="H62" i="17"/>
  <c r="T62" i="17"/>
  <c r="H62" i="18"/>
  <c r="T62" i="18"/>
  <c r="H58" i="15"/>
  <c r="T58" i="15" s="1"/>
  <c r="U58" i="15"/>
  <c r="H57" i="15"/>
  <c r="T57" i="15" s="1"/>
  <c r="U57" i="15" s="1"/>
  <c r="H56" i="15"/>
  <c r="T56" i="15"/>
  <c r="U56" i="15" s="1"/>
  <c r="H55" i="15"/>
  <c r="T55" i="15" s="1"/>
  <c r="U55" i="15"/>
  <c r="H54" i="15"/>
  <c r="T54" i="15" s="1"/>
  <c r="U54" i="15" s="1"/>
  <c r="H53" i="15"/>
  <c r="H52" i="15"/>
  <c r="H51" i="15"/>
  <c r="H58" i="16"/>
  <c r="H57" i="16"/>
  <c r="H56" i="16"/>
  <c r="T56" i="16"/>
  <c r="U56" i="16" s="1"/>
  <c r="H55" i="16"/>
  <c r="T55" i="16" s="1"/>
  <c r="U55" i="16" s="1"/>
  <c r="H54" i="16"/>
  <c r="T54" i="16" s="1"/>
  <c r="U54" i="16" s="1"/>
  <c r="H53" i="16"/>
  <c r="T53" i="16" s="1"/>
  <c r="U53" i="16"/>
  <c r="H52" i="16"/>
  <c r="T52" i="16"/>
  <c r="U52" i="16" s="1"/>
  <c r="H51" i="16"/>
  <c r="H58" i="17"/>
  <c r="H57" i="17"/>
  <c r="H56" i="17"/>
  <c r="T56" i="17" s="1"/>
  <c r="U56" i="17" s="1"/>
  <c r="H55" i="17"/>
  <c r="H54" i="17"/>
  <c r="T54" i="17"/>
  <c r="U54" i="17" s="1"/>
  <c r="H53" i="17"/>
  <c r="H52" i="17"/>
  <c r="T52" i="17"/>
  <c r="U52" i="17" s="1"/>
  <c r="H51" i="17"/>
  <c r="H58" i="18"/>
  <c r="T58" i="18" s="1"/>
  <c r="U58" i="18" s="1"/>
  <c r="H57" i="18"/>
  <c r="T57" i="18" s="1"/>
  <c r="U57" i="18"/>
  <c r="H56" i="18"/>
  <c r="T56" i="18"/>
  <c r="U56" i="18" s="1"/>
  <c r="H55" i="18"/>
  <c r="T55" i="18" s="1"/>
  <c r="U55" i="18" s="1"/>
  <c r="H54" i="18"/>
  <c r="H53" i="18"/>
  <c r="T53" i="18"/>
  <c r="U53" i="18" s="1"/>
  <c r="H52" i="18"/>
  <c r="H51" i="18"/>
  <c r="T51" i="18"/>
  <c r="U51" i="18" s="1"/>
  <c r="H50" i="15"/>
  <c r="T50" i="15" s="1"/>
  <c r="U50" i="15" s="1"/>
  <c r="H50" i="16"/>
  <c r="T50" i="16" s="1"/>
  <c r="U50" i="16"/>
  <c r="H50" i="17"/>
  <c r="H50" i="18"/>
  <c r="F28" i="15"/>
  <c r="F27" i="15"/>
  <c r="F26" i="15"/>
  <c r="F25" i="15"/>
  <c r="F24" i="15"/>
  <c r="F23" i="15"/>
  <c r="F22" i="15"/>
  <c r="F21" i="15"/>
  <c r="F20" i="15"/>
  <c r="F19" i="15"/>
  <c r="F18" i="15"/>
  <c r="F17" i="15"/>
  <c r="F16" i="15"/>
  <c r="F15" i="15"/>
  <c r="F14" i="15"/>
  <c r="F28" i="16"/>
  <c r="F27" i="16"/>
  <c r="F26" i="16"/>
  <c r="F25" i="16"/>
  <c r="F24" i="16"/>
  <c r="F23" i="16"/>
  <c r="F22" i="16"/>
  <c r="F21" i="16"/>
  <c r="F20" i="16"/>
  <c r="F19" i="16"/>
  <c r="F18" i="16"/>
  <c r="F17" i="16"/>
  <c r="F16" i="16"/>
  <c r="F15" i="16"/>
  <c r="F14" i="16"/>
  <c r="F28" i="17"/>
  <c r="F27" i="17"/>
  <c r="F26" i="17"/>
  <c r="F25" i="17"/>
  <c r="F24" i="17"/>
  <c r="F23" i="17"/>
  <c r="F22" i="17"/>
  <c r="F21" i="17"/>
  <c r="F20" i="17"/>
  <c r="F19" i="17"/>
  <c r="F18" i="17"/>
  <c r="F17" i="17"/>
  <c r="F16" i="17"/>
  <c r="F15" i="17"/>
  <c r="F14" i="17"/>
  <c r="F28" i="18"/>
  <c r="F27" i="18"/>
  <c r="F26" i="18"/>
  <c r="F25" i="18"/>
  <c r="F24" i="18"/>
  <c r="F23" i="18"/>
  <c r="F22" i="18"/>
  <c r="F21" i="18"/>
  <c r="F20" i="18"/>
  <c r="F19" i="18"/>
  <c r="F18" i="18"/>
  <c r="F17" i="18"/>
  <c r="F16" i="18"/>
  <c r="F15" i="18"/>
  <c r="F14" i="18"/>
  <c r="F13" i="15"/>
  <c r="F13" i="16"/>
  <c r="F13" i="17"/>
  <c r="F13" i="18"/>
  <c r="H8" i="15"/>
  <c r="E91" i="15" s="1"/>
  <c r="H8" i="16"/>
  <c r="E90" i="16" s="1"/>
  <c r="H8" i="17"/>
  <c r="H8" i="18"/>
  <c r="E91" i="18" s="1"/>
  <c r="C8" i="15"/>
  <c r="C8" i="16"/>
  <c r="C8" i="17"/>
  <c r="C8" i="18"/>
  <c r="H107" i="18"/>
  <c r="T107" i="18"/>
  <c r="R106" i="18"/>
  <c r="R107" i="18"/>
  <c r="H106" i="18"/>
  <c r="P59" i="18"/>
  <c r="C59" i="18"/>
  <c r="D43" i="18"/>
  <c r="E41" i="18" s="1"/>
  <c r="C43" i="18"/>
  <c r="C29" i="18"/>
  <c r="P4" i="18"/>
  <c r="N1" i="18"/>
  <c r="H107" i="17"/>
  <c r="T107" i="17" s="1"/>
  <c r="H106" i="17"/>
  <c r="T106" i="17" s="1"/>
  <c r="P59" i="17"/>
  <c r="D43" i="17"/>
  <c r="C43" i="17"/>
  <c r="P4" i="17"/>
  <c r="N1" i="17"/>
  <c r="H107" i="16"/>
  <c r="H106" i="16"/>
  <c r="P59" i="16"/>
  <c r="C59" i="16"/>
  <c r="D43" i="16"/>
  <c r="C43" i="16"/>
  <c r="P4" i="16"/>
  <c r="N1" i="16"/>
  <c r="H107" i="15"/>
  <c r="T107" i="15" s="1"/>
  <c r="H106" i="15"/>
  <c r="H108" i="15"/>
  <c r="P59" i="15"/>
  <c r="D43" i="15"/>
  <c r="C43" i="15"/>
  <c r="C29" i="15"/>
  <c r="P4" i="15"/>
  <c r="N1" i="15"/>
  <c r="E91" i="7"/>
  <c r="E90" i="7"/>
  <c r="E89" i="7"/>
  <c r="D43" i="7"/>
  <c r="C43" i="7"/>
  <c r="P4" i="7"/>
  <c r="R106" i="7"/>
  <c r="R107" i="7"/>
  <c r="T99" i="7"/>
  <c r="U99" i="7"/>
  <c r="T98" i="7"/>
  <c r="R91" i="7"/>
  <c r="R90" i="7"/>
  <c r="R89" i="7"/>
  <c r="R82" i="7"/>
  <c r="R81" i="7"/>
  <c r="R80" i="7"/>
  <c r="R79" i="7"/>
  <c r="R73" i="7"/>
  <c r="R72" i="7"/>
  <c r="R71" i="7"/>
  <c r="R70" i="7"/>
  <c r="R68" i="7"/>
  <c r="T65" i="7"/>
  <c r="T62" i="7"/>
  <c r="T58" i="7"/>
  <c r="U58" i="7" s="1"/>
  <c r="T57" i="7"/>
  <c r="U57" i="7"/>
  <c r="T56" i="7"/>
  <c r="U56" i="7" s="1"/>
  <c r="T55" i="7"/>
  <c r="U55" i="7" s="1"/>
  <c r="T54" i="7"/>
  <c r="U54" i="7" s="1"/>
  <c r="T53" i="7"/>
  <c r="U53" i="7"/>
  <c r="T52" i="7"/>
  <c r="U52" i="7" s="1"/>
  <c r="T51" i="7"/>
  <c r="U51" i="7" s="1"/>
  <c r="T50" i="7"/>
  <c r="U50" i="7" s="1"/>
  <c r="U59" i="7" s="1"/>
  <c r="T8" i="7"/>
  <c r="N1" i="7"/>
  <c r="P59" i="7"/>
  <c r="H107" i="7"/>
  <c r="T107" i="7" s="1"/>
  <c r="H106" i="7"/>
  <c r="T106" i="7" s="1"/>
  <c r="C59" i="7"/>
  <c r="F107" i="7"/>
  <c r="E40" i="52"/>
  <c r="E39" i="52"/>
  <c r="E42" i="66"/>
  <c r="C59" i="15"/>
  <c r="E19" i="62"/>
  <c r="E20" i="62"/>
  <c r="E26" i="62" s="1"/>
  <c r="E28" i="62" s="1"/>
  <c r="C29" i="7"/>
  <c r="E50" i="55"/>
  <c r="I50" i="55" s="1"/>
  <c r="E108" i="55"/>
  <c r="E41" i="58"/>
  <c r="T54" i="51"/>
  <c r="U54" i="51" s="1"/>
  <c r="C29" i="25"/>
  <c r="C29" i="33"/>
  <c r="E42" i="34"/>
  <c r="C29" i="24"/>
  <c r="E39" i="32"/>
  <c r="E42" i="32"/>
  <c r="E40" i="55"/>
  <c r="E37" i="66"/>
  <c r="E39" i="69"/>
  <c r="E40" i="69"/>
  <c r="I40" i="69" s="1"/>
  <c r="E41" i="69"/>
  <c r="E42" i="43"/>
  <c r="E41" i="70"/>
  <c r="E38" i="68"/>
  <c r="E37" i="32"/>
  <c r="E21" i="27"/>
  <c r="E18" i="27"/>
  <c r="E28" i="27"/>
  <c r="H28" i="27" s="1"/>
  <c r="E26" i="27"/>
  <c r="H26" i="27" s="1"/>
  <c r="I26" i="27" s="1"/>
  <c r="E24" i="27"/>
  <c r="H24" i="27" s="1"/>
  <c r="E50" i="52"/>
  <c r="I50" i="52" s="1"/>
  <c r="E51" i="52"/>
  <c r="I51" i="52" s="1"/>
  <c r="E51" i="67"/>
  <c r="I51" i="67" s="1"/>
  <c r="E108" i="67"/>
  <c r="E55" i="51"/>
  <c r="I55" i="51"/>
  <c r="E52" i="36"/>
  <c r="I52" i="36" s="1"/>
  <c r="E53" i="36"/>
  <c r="I53" i="36" s="1"/>
  <c r="E51" i="36"/>
  <c r="I51" i="36" s="1"/>
  <c r="E53" i="35"/>
  <c r="I53" i="35" s="1"/>
  <c r="E56" i="29"/>
  <c r="I56" i="29" s="1"/>
  <c r="E108" i="29"/>
  <c r="E50" i="29"/>
  <c r="I50" i="29"/>
  <c r="E51" i="29"/>
  <c r="I51" i="29" s="1"/>
  <c r="E52" i="29"/>
  <c r="I52" i="29" s="1"/>
  <c r="E37" i="71"/>
  <c r="E42" i="71"/>
  <c r="E38" i="71"/>
  <c r="E41" i="71"/>
  <c r="I41" i="71" s="1"/>
  <c r="E39" i="48"/>
  <c r="I39" i="48"/>
  <c r="E37" i="48"/>
  <c r="E42" i="48"/>
  <c r="I42" i="48" s="1"/>
  <c r="E40" i="48"/>
  <c r="I40" i="48" s="1"/>
  <c r="E39" i="71"/>
  <c r="E19" i="42"/>
  <c r="H19" i="42" s="1"/>
  <c r="E39" i="22"/>
  <c r="E41" i="35"/>
  <c r="I41" i="35" s="1"/>
  <c r="E39" i="35"/>
  <c r="E37" i="30"/>
  <c r="E40" i="30"/>
  <c r="E41" i="30"/>
  <c r="E39" i="40"/>
  <c r="E37" i="40"/>
  <c r="E42" i="40"/>
  <c r="E40" i="40"/>
  <c r="H108" i="45"/>
  <c r="T108" i="45"/>
  <c r="T106" i="45"/>
  <c r="T106" i="31"/>
  <c r="H108" i="31"/>
  <c r="T106" i="42"/>
  <c r="H108" i="56"/>
  <c r="T108" i="56"/>
  <c r="H108" i="67"/>
  <c r="T106" i="69"/>
  <c r="E26" i="39"/>
  <c r="H26" i="39" s="1"/>
  <c r="I26" i="39" s="1"/>
  <c r="E37" i="28"/>
  <c r="E40" i="28"/>
  <c r="T106" i="48"/>
  <c r="E14" i="35"/>
  <c r="H14" i="35" s="1"/>
  <c r="I14" i="35" s="1"/>
  <c r="E56" i="36"/>
  <c r="I56" i="36" s="1"/>
  <c r="T106" i="28"/>
  <c r="E38" i="52"/>
  <c r="I38" i="52"/>
  <c r="E40" i="66"/>
  <c r="I40" i="66" s="1"/>
  <c r="E38" i="66"/>
  <c r="E39" i="20"/>
  <c r="I39" i="20" s="1"/>
  <c r="E40" i="20"/>
  <c r="E37" i="67"/>
  <c r="E40" i="67"/>
  <c r="E42" i="70"/>
  <c r="E40" i="70"/>
  <c r="I40" i="70"/>
  <c r="E42" i="33"/>
  <c r="I42" i="33"/>
  <c r="E37" i="33"/>
  <c r="I37" i="33" s="1"/>
  <c r="E41" i="33"/>
  <c r="E39" i="34"/>
  <c r="E37" i="34"/>
  <c r="E38" i="35"/>
  <c r="I38" i="35" s="1"/>
  <c r="E37" i="35"/>
  <c r="I37" i="35" s="1"/>
  <c r="H108" i="30"/>
  <c r="T108" i="30"/>
  <c r="T106" i="30"/>
  <c r="E39" i="38"/>
  <c r="I39" i="38" s="1"/>
  <c r="E41" i="43"/>
  <c r="E17" i="26"/>
  <c r="H17" i="26" s="1"/>
  <c r="E39" i="68"/>
  <c r="E37" i="68"/>
  <c r="E43" i="68"/>
  <c r="E41" i="68"/>
  <c r="E42" i="68"/>
  <c r="E40" i="68"/>
  <c r="E58" i="25"/>
  <c r="I58" i="25" s="1"/>
  <c r="E42" i="20"/>
  <c r="E40" i="35"/>
  <c r="I40" i="35"/>
  <c r="E37" i="22"/>
  <c r="E41" i="20"/>
  <c r="I41" i="20" s="1"/>
  <c r="E40" i="43"/>
  <c r="E20" i="42"/>
  <c r="H20" i="42" s="1"/>
  <c r="I20" i="42" s="1"/>
  <c r="E107" i="36"/>
  <c r="E38" i="33"/>
  <c r="I38" i="33"/>
  <c r="E37" i="55"/>
  <c r="E41" i="36"/>
  <c r="I41" i="36"/>
  <c r="E42" i="36"/>
  <c r="I42" i="36"/>
  <c r="E39" i="36"/>
  <c r="E38" i="36"/>
  <c r="I38" i="36" s="1"/>
  <c r="E37" i="36"/>
  <c r="I37" i="36"/>
  <c r="E41" i="28"/>
  <c r="E50" i="40"/>
  <c r="I50" i="40" s="1"/>
  <c r="E56" i="40"/>
  <c r="E41" i="23"/>
  <c r="H108" i="35"/>
  <c r="T108" i="35"/>
  <c r="T107" i="26"/>
  <c r="E39" i="29"/>
  <c r="E38" i="29"/>
  <c r="E37" i="43"/>
  <c r="E38" i="43"/>
  <c r="E39" i="44"/>
  <c r="E37" i="44"/>
  <c r="I37" i="44"/>
  <c r="E40" i="44"/>
  <c r="I40" i="44"/>
  <c r="E53" i="55"/>
  <c r="I53" i="55" s="1"/>
  <c r="E57" i="55"/>
  <c r="I57" i="55" s="1"/>
  <c r="E56" i="55"/>
  <c r="T106" i="58"/>
  <c r="E39" i="67"/>
  <c r="E42" i="67"/>
  <c r="E38" i="67"/>
  <c r="I38" i="67" s="1"/>
  <c r="I43" i="67" s="1"/>
  <c r="E41" i="67"/>
  <c r="E40" i="56"/>
  <c r="E41" i="56"/>
  <c r="E38" i="32"/>
  <c r="E41" i="32"/>
  <c r="E40" i="32"/>
  <c r="I40" i="32" s="1"/>
  <c r="E42" i="52"/>
  <c r="I42" i="52"/>
  <c r="E37" i="52"/>
  <c r="E39" i="66"/>
  <c r="E41" i="66"/>
  <c r="E38" i="69"/>
  <c r="E42" i="69"/>
  <c r="I42" i="69"/>
  <c r="E40" i="31"/>
  <c r="E37" i="31"/>
  <c r="E43" i="31" s="1"/>
  <c r="E38" i="31"/>
  <c r="E42" i="31"/>
  <c r="E41" i="31"/>
  <c r="E57" i="36"/>
  <c r="I57" i="36" s="1"/>
  <c r="E58" i="36"/>
  <c r="I58" i="36" s="1"/>
  <c r="E108" i="36"/>
  <c r="T106" i="51"/>
  <c r="H108" i="51"/>
  <c r="I108" i="51" s="1"/>
  <c r="T108" i="51"/>
  <c r="E37" i="58"/>
  <c r="I37" i="58" s="1"/>
  <c r="E42" i="58"/>
  <c r="E38" i="58"/>
  <c r="E40" i="58"/>
  <c r="E39" i="58"/>
  <c r="E39" i="70"/>
  <c r="E37" i="70"/>
  <c r="I37" i="70"/>
  <c r="E23" i="21"/>
  <c r="H23" i="21" s="1"/>
  <c r="E56" i="52"/>
  <c r="I56" i="52" s="1"/>
  <c r="E58" i="52"/>
  <c r="E57" i="52"/>
  <c r="E42" i="56"/>
  <c r="E38" i="56"/>
  <c r="E40" i="33"/>
  <c r="E37" i="56"/>
  <c r="E39" i="33"/>
  <c r="E41" i="44"/>
  <c r="I41" i="44" s="1"/>
  <c r="I43" i="44" s="1"/>
  <c r="E38" i="44"/>
  <c r="I38" i="44" s="1"/>
  <c r="E42" i="44"/>
  <c r="I42" i="44"/>
  <c r="E37" i="50"/>
  <c r="H108" i="50"/>
  <c r="T108" i="50" s="1"/>
  <c r="T106" i="50"/>
  <c r="E42" i="27"/>
  <c r="I39" i="42"/>
  <c r="E40" i="42"/>
  <c r="I40" i="42" s="1"/>
  <c r="H108" i="44"/>
  <c r="T106" i="44"/>
  <c r="E37" i="25"/>
  <c r="I37" i="25"/>
  <c r="E39" i="25"/>
  <c r="E42" i="25"/>
  <c r="I42" i="25" s="1"/>
  <c r="E40" i="25"/>
  <c r="I40" i="25" s="1"/>
  <c r="H108" i="38"/>
  <c r="T108" i="38"/>
  <c r="T106" i="38"/>
  <c r="H108" i="39"/>
  <c r="T108" i="39"/>
  <c r="E38" i="40"/>
  <c r="E41" i="34"/>
  <c r="E40" i="34"/>
  <c r="E54" i="52"/>
  <c r="I54" i="52" s="1"/>
  <c r="T50" i="50"/>
  <c r="U50" i="50" s="1"/>
  <c r="U59" i="50" s="1"/>
  <c r="T55" i="37"/>
  <c r="U55" i="37" s="1"/>
  <c r="U59" i="37" s="1"/>
  <c r="T58" i="38"/>
  <c r="U58" i="38"/>
  <c r="T51" i="32"/>
  <c r="U51" i="32"/>
  <c r="I98" i="57"/>
  <c r="T52" i="35"/>
  <c r="U52" i="35"/>
  <c r="T52" i="58"/>
  <c r="U52" i="58"/>
  <c r="U59" i="58" s="1"/>
  <c r="T58" i="21"/>
  <c r="U58" i="21"/>
  <c r="T54" i="71"/>
  <c r="U54" i="71"/>
  <c r="T51" i="35"/>
  <c r="U51" i="35" s="1"/>
  <c r="T62" i="40"/>
  <c r="R78" i="35"/>
  <c r="U78" i="35"/>
  <c r="E89" i="31"/>
  <c r="T55" i="35"/>
  <c r="U55" i="35"/>
  <c r="T57" i="51"/>
  <c r="U57" i="51"/>
  <c r="U59" i="51" s="1"/>
  <c r="T56" i="48"/>
  <c r="U56" i="48"/>
  <c r="R78" i="58"/>
  <c r="T55" i="52"/>
  <c r="U55" i="52"/>
  <c r="T55" i="56"/>
  <c r="U55" i="56"/>
  <c r="E91" i="58"/>
  <c r="T8" i="58"/>
  <c r="P89" i="58"/>
  <c r="E90" i="58"/>
  <c r="T55" i="48"/>
  <c r="U55" i="48" s="1"/>
  <c r="R78" i="70"/>
  <c r="U78" i="70"/>
  <c r="T56" i="24"/>
  <c r="U56" i="24"/>
  <c r="U55" i="66"/>
  <c r="T55" i="67"/>
  <c r="U55" i="67"/>
  <c r="T50" i="70"/>
  <c r="U50" i="70"/>
  <c r="R78" i="16"/>
  <c r="U78" i="16"/>
  <c r="T50" i="51"/>
  <c r="U50" i="51"/>
  <c r="T52" i="39"/>
  <c r="U52" i="39" s="1"/>
  <c r="U59" i="39" s="1"/>
  <c r="T50" i="40"/>
  <c r="U50" i="40"/>
  <c r="T57" i="40"/>
  <c r="U57" i="40" s="1"/>
  <c r="T58" i="67"/>
  <c r="U58" i="67" s="1"/>
  <c r="R78" i="31"/>
  <c r="R78" i="27"/>
  <c r="U78" i="27" s="1"/>
  <c r="T55" i="27"/>
  <c r="U55" i="27" s="1"/>
  <c r="T8" i="33"/>
  <c r="P89" i="33"/>
  <c r="T57" i="39"/>
  <c r="U57" i="39"/>
  <c r="U51" i="43"/>
  <c r="T52" i="68"/>
  <c r="U52" i="68" s="1"/>
  <c r="E91" i="57"/>
  <c r="E89" i="57"/>
  <c r="T51" i="57"/>
  <c r="U51" i="57"/>
  <c r="T8" i="68"/>
  <c r="E89" i="68"/>
  <c r="T62" i="70"/>
  <c r="E89" i="58"/>
  <c r="R78" i="47"/>
  <c r="U78" i="47" s="1"/>
  <c r="T54" i="38"/>
  <c r="U54" i="38" s="1"/>
  <c r="T55" i="31"/>
  <c r="U55" i="31"/>
  <c r="R77" i="56"/>
  <c r="U77" i="56" s="1"/>
  <c r="E90" i="36"/>
  <c r="E89" i="36"/>
  <c r="P89" i="36"/>
  <c r="E91" i="36"/>
  <c r="R79" i="40"/>
  <c r="T51" i="24"/>
  <c r="U51" i="24"/>
  <c r="R80" i="52"/>
  <c r="T56" i="71"/>
  <c r="U56" i="71"/>
  <c r="T52" i="28"/>
  <c r="U52" i="28"/>
  <c r="T51" i="50"/>
  <c r="U51" i="50"/>
  <c r="T53" i="32"/>
  <c r="U53" i="32"/>
  <c r="T55" i="34"/>
  <c r="U55" i="34"/>
  <c r="E90" i="44"/>
  <c r="T8" i="44"/>
  <c r="R78" i="43"/>
  <c r="U78" i="43" s="1"/>
  <c r="T52" i="71"/>
  <c r="U52" i="71" s="1"/>
  <c r="E108" i="52"/>
  <c r="E52" i="52"/>
  <c r="I52" i="52" s="1"/>
  <c r="E20" i="40"/>
  <c r="H20" i="40" s="1"/>
  <c r="E15" i="40"/>
  <c r="H15" i="40" s="1"/>
  <c r="E27" i="39"/>
  <c r="H27" i="39" s="1"/>
  <c r="I27" i="39" s="1"/>
  <c r="E13" i="39"/>
  <c r="E18" i="39"/>
  <c r="H18" i="39" s="1"/>
  <c r="E14" i="21"/>
  <c r="H14" i="21" s="1"/>
  <c r="I14" i="21" s="1"/>
  <c r="E21" i="21"/>
  <c r="H21" i="21" s="1"/>
  <c r="I21" i="21" s="1"/>
  <c r="E16" i="21"/>
  <c r="H16" i="21" s="1"/>
  <c r="E26" i="21"/>
  <c r="H26" i="21" s="1"/>
  <c r="I26" i="21" s="1"/>
  <c r="E58" i="50"/>
  <c r="I58" i="50" s="1"/>
  <c r="E57" i="22"/>
  <c r="I57" i="22"/>
  <c r="E56" i="22"/>
  <c r="I56" i="22"/>
  <c r="E52" i="22"/>
  <c r="I52" i="22"/>
  <c r="E52" i="67"/>
  <c r="I52" i="67" s="1"/>
  <c r="E53" i="67"/>
  <c r="E56" i="67"/>
  <c r="E54" i="67"/>
  <c r="I54" i="67" s="1"/>
  <c r="E58" i="67"/>
  <c r="I58" i="67" s="1"/>
  <c r="E55" i="67"/>
  <c r="I55" i="67" s="1"/>
  <c r="E107" i="67"/>
  <c r="E57" i="67"/>
  <c r="I57" i="67" s="1"/>
  <c r="E106" i="67"/>
  <c r="I106" i="67"/>
  <c r="E107" i="35"/>
  <c r="E106" i="51"/>
  <c r="I106" i="51" s="1"/>
  <c r="E51" i="51"/>
  <c r="E15" i="28"/>
  <c r="H15" i="28" s="1"/>
  <c r="E18" i="28"/>
  <c r="E27" i="28"/>
  <c r="H27" i="28" s="1"/>
  <c r="I27" i="28" s="1"/>
  <c r="E21" i="28"/>
  <c r="H21" i="28" s="1"/>
  <c r="I21" i="28" s="1"/>
  <c r="E13" i="52"/>
  <c r="H13" i="52" s="1"/>
  <c r="I13" i="52" s="1"/>
  <c r="E20" i="52"/>
  <c r="H20" i="52" s="1"/>
  <c r="I20" i="52" s="1"/>
  <c r="E25" i="40"/>
  <c r="H25" i="40"/>
  <c r="I25" i="40" s="1"/>
  <c r="E19" i="40"/>
  <c r="H19" i="40" s="1"/>
  <c r="E15" i="26"/>
  <c r="H15" i="26" s="1"/>
  <c r="E27" i="26"/>
  <c r="H27" i="26"/>
  <c r="I27" i="26"/>
  <c r="E20" i="26"/>
  <c r="H20" i="26" s="1"/>
  <c r="I20" i="26" s="1"/>
  <c r="E28" i="26"/>
  <c r="H28" i="26" s="1"/>
  <c r="I28" i="26" s="1"/>
  <c r="E19" i="27"/>
  <c r="E15" i="27"/>
  <c r="H15" i="27" s="1"/>
  <c r="E13" i="27"/>
  <c r="H13" i="27" s="1"/>
  <c r="E27" i="27"/>
  <c r="H27" i="27" s="1"/>
  <c r="I27" i="27" s="1"/>
  <c r="E17" i="27"/>
  <c r="H17" i="27" s="1"/>
  <c r="E22" i="27"/>
  <c r="H22" i="27" s="1"/>
  <c r="I22" i="27" s="1"/>
  <c r="E20" i="27"/>
  <c r="H20" i="27" s="1"/>
  <c r="I20" i="27" s="1"/>
  <c r="E14" i="27"/>
  <c r="H14" i="27" s="1"/>
  <c r="I14" i="27" s="1"/>
  <c r="E23" i="27"/>
  <c r="E16" i="27"/>
  <c r="H16" i="27" s="1"/>
  <c r="I16" i="27" s="1"/>
  <c r="E16" i="37"/>
  <c r="E20" i="21"/>
  <c r="H20" i="21" s="1"/>
  <c r="I20" i="21" s="1"/>
  <c r="E15" i="21"/>
  <c r="H15" i="21" s="1"/>
  <c r="E28" i="21"/>
  <c r="H28" i="21" s="1"/>
  <c r="I28" i="21" s="1"/>
  <c r="E22" i="7"/>
  <c r="H22" i="7" s="1"/>
  <c r="I22" i="7" s="1"/>
  <c r="E24" i="7"/>
  <c r="H24" i="7" s="1"/>
  <c r="I24" i="7" s="1"/>
  <c r="T99" i="70"/>
  <c r="U99" i="70" s="1"/>
  <c r="T62" i="55"/>
  <c r="I99" i="56"/>
  <c r="I98" i="26"/>
  <c r="T65" i="42"/>
  <c r="T65" i="69"/>
  <c r="T62" i="43"/>
  <c r="E17" i="67"/>
  <c r="H17" i="67" s="1"/>
  <c r="E52" i="48"/>
  <c r="E58" i="68"/>
  <c r="I58" i="68" s="1"/>
  <c r="E19" i="67"/>
  <c r="H19" i="67" s="1"/>
  <c r="I19" i="67" s="1"/>
  <c r="E24" i="67"/>
  <c r="E18" i="52"/>
  <c r="E28" i="52"/>
  <c r="H28" i="52" s="1"/>
  <c r="I28" i="52" s="1"/>
  <c r="E23" i="52"/>
  <c r="H23" i="52" s="1"/>
  <c r="I23" i="52" s="1"/>
  <c r="E14" i="52"/>
  <c r="H14" i="52" s="1"/>
  <c r="E26" i="52"/>
  <c r="H26" i="52" s="1"/>
  <c r="I26" i="52" s="1"/>
  <c r="E25" i="52"/>
  <c r="H25" i="52" s="1"/>
  <c r="I25" i="52" s="1"/>
  <c r="E24" i="52"/>
  <c r="H24" i="52" s="1"/>
  <c r="I24" i="52" s="1"/>
  <c r="E50" i="51"/>
  <c r="I50" i="51"/>
  <c r="E107" i="51"/>
  <c r="E57" i="51"/>
  <c r="I57" i="51" s="1"/>
  <c r="E108" i="51"/>
  <c r="E52" i="51"/>
  <c r="I52" i="51"/>
  <c r="E14" i="44"/>
  <c r="H14" i="44" s="1"/>
  <c r="I14" i="44" s="1"/>
  <c r="E22" i="44"/>
  <c r="H22" i="44" s="1"/>
  <c r="I22" i="44" s="1"/>
  <c r="E25" i="42"/>
  <c r="H25" i="42" s="1"/>
  <c r="I25" i="42" s="1"/>
  <c r="E14" i="40"/>
  <c r="H14" i="40" s="1"/>
  <c r="E26" i="40"/>
  <c r="H26" i="40" s="1"/>
  <c r="E23" i="40"/>
  <c r="H23" i="40" s="1"/>
  <c r="E13" i="40"/>
  <c r="H13" i="40" s="1"/>
  <c r="E18" i="40"/>
  <c r="E21" i="39"/>
  <c r="H21" i="39" s="1"/>
  <c r="I21" i="39" s="1"/>
  <c r="E25" i="39"/>
  <c r="H25" i="39" s="1"/>
  <c r="I25" i="39" s="1"/>
  <c r="E15" i="39"/>
  <c r="H15" i="39" s="1"/>
  <c r="E28" i="39"/>
  <c r="H28" i="39" s="1"/>
  <c r="I28" i="39" s="1"/>
  <c r="E22" i="39"/>
  <c r="E14" i="39"/>
  <c r="H14" i="39" s="1"/>
  <c r="I14" i="39" s="1"/>
  <c r="E20" i="39"/>
  <c r="H20" i="39" s="1"/>
  <c r="I20" i="39" s="1"/>
  <c r="E23" i="39"/>
  <c r="E16" i="39"/>
  <c r="H16" i="39" s="1"/>
  <c r="I16" i="39" s="1"/>
  <c r="E24" i="39"/>
  <c r="H24" i="39" s="1"/>
  <c r="I24" i="39" s="1"/>
  <c r="E19" i="39"/>
  <c r="H19" i="39" s="1"/>
  <c r="I19" i="39" s="1"/>
  <c r="E56" i="30"/>
  <c r="I56" i="30" s="1"/>
  <c r="E50" i="30"/>
  <c r="I50" i="30" s="1"/>
  <c r="E108" i="27"/>
  <c r="E13" i="26"/>
  <c r="H13" i="26"/>
  <c r="I13" i="26" s="1"/>
  <c r="E19" i="26"/>
  <c r="E18" i="26"/>
  <c r="H18" i="26" s="1"/>
  <c r="I18" i="26" s="1"/>
  <c r="E26" i="26"/>
  <c r="E24" i="26"/>
  <c r="H24" i="26"/>
  <c r="I24" i="26"/>
  <c r="E25" i="26"/>
  <c r="H25" i="26" s="1"/>
  <c r="I25" i="26" s="1"/>
  <c r="E22" i="26"/>
  <c r="H22" i="26"/>
  <c r="I22" i="26" s="1"/>
  <c r="E14" i="26"/>
  <c r="E21" i="26"/>
  <c r="H21" i="26" s="1"/>
  <c r="I21" i="26" s="1"/>
  <c r="E23" i="26"/>
  <c r="H23" i="26" s="1"/>
  <c r="I23" i="26" s="1"/>
  <c r="E17" i="25"/>
  <c r="H17" i="25" s="1"/>
  <c r="E20" i="25"/>
  <c r="H20" i="25" s="1"/>
  <c r="I20" i="25" s="1"/>
  <c r="E26" i="25"/>
  <c r="H26" i="25" s="1"/>
  <c r="I26" i="25" s="1"/>
  <c r="E14" i="25"/>
  <c r="E52" i="18"/>
  <c r="I52" i="18" s="1"/>
  <c r="E15" i="15"/>
  <c r="H15" i="15" s="1"/>
  <c r="R72" i="44"/>
  <c r="P90" i="7"/>
  <c r="P89" i="7"/>
  <c r="P91" i="7"/>
  <c r="E90" i="60"/>
  <c r="E91" i="60"/>
  <c r="E89" i="60"/>
  <c r="E90" i="68"/>
  <c r="E91" i="68"/>
  <c r="T8" i="77"/>
  <c r="P91" i="77" s="1"/>
  <c r="I39" i="77"/>
  <c r="E90" i="77"/>
  <c r="E91" i="77"/>
  <c r="E90" i="20"/>
  <c r="E89" i="33"/>
  <c r="E90" i="33"/>
  <c r="E91" i="33"/>
  <c r="E90" i="42"/>
  <c r="T8" i="42"/>
  <c r="E89" i="42"/>
  <c r="E91" i="42"/>
  <c r="E89" i="44"/>
  <c r="E91" i="44"/>
  <c r="E90" i="57"/>
  <c r="T8" i="57"/>
  <c r="P90" i="57"/>
  <c r="T8" i="21"/>
  <c r="P89" i="21"/>
  <c r="T8" i="66"/>
  <c r="P90" i="66"/>
  <c r="E91" i="38"/>
  <c r="E89" i="38"/>
  <c r="T65" i="58"/>
  <c r="T99" i="34"/>
  <c r="U99" i="34"/>
  <c r="T99" i="16"/>
  <c r="U99" i="16"/>
  <c r="T99" i="27"/>
  <c r="U99" i="27"/>
  <c r="R73" i="77"/>
  <c r="E19" i="7"/>
  <c r="H19" i="7" s="1"/>
  <c r="I19" i="7" s="1"/>
  <c r="E20" i="7"/>
  <c r="H20" i="7" s="1"/>
  <c r="I20" i="7" s="1"/>
  <c r="R77" i="18"/>
  <c r="U77" i="18" s="1"/>
  <c r="R77" i="40"/>
  <c r="U77" i="40" s="1"/>
  <c r="R77" i="50"/>
  <c r="U77" i="50" s="1"/>
  <c r="E53" i="58"/>
  <c r="I53" i="58"/>
  <c r="E56" i="58"/>
  <c r="I56" i="58" s="1"/>
  <c r="E50" i="58"/>
  <c r="I50" i="58" s="1"/>
  <c r="E56" i="68"/>
  <c r="I56" i="68" s="1"/>
  <c r="E57" i="68"/>
  <c r="I57" i="68" s="1"/>
  <c r="E20" i="68"/>
  <c r="H20" i="68" s="1"/>
  <c r="I20" i="68" s="1"/>
  <c r="E41" i="27"/>
  <c r="E37" i="27"/>
  <c r="E39" i="27"/>
  <c r="E40" i="27"/>
  <c r="E38" i="27"/>
  <c r="T106" i="21"/>
  <c r="H108" i="21"/>
  <c r="H108" i="24"/>
  <c r="T108" i="24"/>
  <c r="T106" i="24"/>
  <c r="E37" i="20"/>
  <c r="E41" i="16"/>
  <c r="T98" i="56"/>
  <c r="T8" i="78"/>
  <c r="E90" i="78"/>
  <c r="E91" i="78"/>
  <c r="E89" i="78"/>
  <c r="T52" i="77"/>
  <c r="U52" i="77" s="1"/>
  <c r="T98" i="75"/>
  <c r="E27" i="76"/>
  <c r="H27" i="76" s="1"/>
  <c r="I27" i="76" s="1"/>
  <c r="E26" i="76"/>
  <c r="H26" i="76" s="1"/>
  <c r="I26" i="76" s="1"/>
  <c r="E20" i="76"/>
  <c r="H20" i="76" s="1"/>
  <c r="I20" i="76" s="1"/>
  <c r="E13" i="76"/>
  <c r="H13" i="76" s="1"/>
  <c r="E14" i="76"/>
  <c r="E16" i="76"/>
  <c r="H16" i="76" s="1"/>
  <c r="I16" i="76" s="1"/>
  <c r="E25" i="76"/>
  <c r="H25" i="76" s="1"/>
  <c r="I25" i="76" s="1"/>
  <c r="E15" i="76"/>
  <c r="H15" i="76" s="1"/>
  <c r="E21" i="76"/>
  <c r="H21" i="76" s="1"/>
  <c r="E19" i="76"/>
  <c r="H19" i="76" s="1"/>
  <c r="I19" i="76" s="1"/>
  <c r="E18" i="76"/>
  <c r="H18" i="76" s="1"/>
  <c r="I18" i="76" s="1"/>
  <c r="E28" i="76"/>
  <c r="H28" i="76" s="1"/>
  <c r="I28" i="76" s="1"/>
  <c r="T107" i="43"/>
  <c r="T57" i="71"/>
  <c r="U57" i="71"/>
  <c r="T56" i="77"/>
  <c r="U56" i="77" s="1"/>
  <c r="H108" i="66"/>
  <c r="E91" i="76"/>
  <c r="T52" i="42"/>
  <c r="U52" i="42"/>
  <c r="T50" i="25"/>
  <c r="U50" i="25"/>
  <c r="T51" i="16"/>
  <c r="U51" i="16"/>
  <c r="T99" i="39"/>
  <c r="U99" i="39"/>
  <c r="T8" i="31"/>
  <c r="E90" i="31"/>
  <c r="E91" i="31"/>
  <c r="T8" i="69"/>
  <c r="P91" i="69"/>
  <c r="E90" i="69"/>
  <c r="E89" i="69"/>
  <c r="E91" i="69"/>
  <c r="T54" i="36"/>
  <c r="U54" i="36"/>
  <c r="T50" i="45"/>
  <c r="U50" i="45"/>
  <c r="U59" i="45" s="1"/>
  <c r="I40" i="77"/>
  <c r="T51" i="78"/>
  <c r="U51" i="78" s="1"/>
  <c r="E24" i="77"/>
  <c r="H24" i="77" s="1"/>
  <c r="I24" i="77" s="1"/>
  <c r="E17" i="77"/>
  <c r="H17" i="77" s="1"/>
  <c r="E15" i="77"/>
  <c r="H15" i="77" s="1"/>
  <c r="E25" i="77"/>
  <c r="H25" i="77" s="1"/>
  <c r="I25" i="77" s="1"/>
  <c r="E20" i="77"/>
  <c r="H20" i="77" s="1"/>
  <c r="I20" i="77" s="1"/>
  <c r="E23" i="77"/>
  <c r="H23" i="77" s="1"/>
  <c r="I23" i="77" s="1"/>
  <c r="E28" i="77"/>
  <c r="H28" i="77" s="1"/>
  <c r="I28" i="77" s="1"/>
  <c r="E18" i="51"/>
  <c r="H18" i="51" s="1"/>
  <c r="I18" i="51" s="1"/>
  <c r="E23" i="51"/>
  <c r="H23" i="51" s="1"/>
  <c r="I23" i="51" s="1"/>
  <c r="E58" i="35"/>
  <c r="I58" i="35" s="1"/>
  <c r="E106" i="35"/>
  <c r="I106" i="35" s="1"/>
  <c r="E50" i="35"/>
  <c r="I50" i="35" s="1"/>
  <c r="E51" i="35"/>
  <c r="I51" i="35" s="1"/>
  <c r="T50" i="77"/>
  <c r="U50" i="77"/>
  <c r="T106" i="22"/>
  <c r="H108" i="22"/>
  <c r="T108" i="22"/>
  <c r="H108" i="16"/>
  <c r="T106" i="16"/>
  <c r="T107" i="16"/>
  <c r="E38" i="51"/>
  <c r="I38" i="51" s="1"/>
  <c r="E37" i="51"/>
  <c r="E41" i="57"/>
  <c r="E40" i="16"/>
  <c r="E39" i="16"/>
  <c r="T106" i="68"/>
  <c r="E26" i="75"/>
  <c r="H26" i="75" s="1"/>
  <c r="I26" i="75" s="1"/>
  <c r="E28" i="75"/>
  <c r="H28" i="75" s="1"/>
  <c r="I28" i="75" s="1"/>
  <c r="E41" i="78"/>
  <c r="E42" i="78"/>
  <c r="I42" i="78" s="1"/>
  <c r="E19" i="77"/>
  <c r="H19" i="77" s="1"/>
  <c r="I19" i="77" s="1"/>
  <c r="E38" i="77"/>
  <c r="I38" i="77"/>
  <c r="E108" i="58"/>
  <c r="E17" i="75"/>
  <c r="H17" i="75" s="1"/>
  <c r="I17" i="75" s="1"/>
  <c r="E13" i="77"/>
  <c r="H13" i="77" s="1"/>
  <c r="E24" i="75"/>
  <c r="H24" i="75" s="1"/>
  <c r="I24" i="75" s="1"/>
  <c r="E22" i="75"/>
  <c r="H22" i="75" s="1"/>
  <c r="I22" i="75" s="1"/>
  <c r="E37" i="78"/>
  <c r="I37" i="78"/>
  <c r="T99" i="68"/>
  <c r="U99" i="68"/>
  <c r="T99" i="30"/>
  <c r="U99" i="30"/>
  <c r="I99" i="25"/>
  <c r="T65" i="18"/>
  <c r="T65" i="55"/>
  <c r="T65" i="40"/>
  <c r="T62" i="66"/>
  <c r="E41" i="39"/>
  <c r="I41" i="39"/>
  <c r="E40" i="39"/>
  <c r="I40" i="39" s="1"/>
  <c r="E42" i="39"/>
  <c r="I42" i="39" s="1"/>
  <c r="E39" i="39"/>
  <c r="E38" i="39"/>
  <c r="E37" i="39"/>
  <c r="H108" i="29"/>
  <c r="T106" i="29"/>
  <c r="E42" i="24"/>
  <c r="I42" i="24"/>
  <c r="E37" i="24"/>
  <c r="E41" i="24"/>
  <c r="E38" i="24"/>
  <c r="H108" i="68"/>
  <c r="T108" i="68"/>
  <c r="E37" i="16"/>
  <c r="E38" i="16"/>
  <c r="E42" i="16"/>
  <c r="T107" i="25"/>
  <c r="T107" i="29"/>
  <c r="T106" i="37"/>
  <c r="H108" i="37"/>
  <c r="T108" i="37"/>
  <c r="E40" i="15"/>
  <c r="I40" i="15"/>
  <c r="E37" i="37"/>
  <c r="E39" i="37"/>
  <c r="E40" i="37"/>
  <c r="I40" i="37"/>
  <c r="E38" i="37"/>
  <c r="I38" i="37"/>
  <c r="H108" i="75"/>
  <c r="E14" i="77"/>
  <c r="H14" i="77" s="1"/>
  <c r="I14" i="77" s="1"/>
  <c r="E38" i="78"/>
  <c r="I38" i="78"/>
  <c r="E39" i="78"/>
  <c r="E41" i="76"/>
  <c r="I41" i="76"/>
  <c r="E39" i="76"/>
  <c r="I39" i="76"/>
  <c r="E42" i="76"/>
  <c r="I42" i="76" s="1"/>
  <c r="E42" i="77"/>
  <c r="I42" i="77" s="1"/>
  <c r="D13" i="60"/>
  <c r="C106" i="60"/>
  <c r="H106" i="60" s="1"/>
  <c r="H108" i="60" s="1"/>
  <c r="D23" i="60"/>
  <c r="C24" i="60"/>
  <c r="D24" i="60"/>
  <c r="D42" i="60"/>
  <c r="D41" i="60"/>
  <c r="D43" i="60" s="1"/>
  <c r="C25" i="60"/>
  <c r="D25" i="60"/>
  <c r="C26" i="60"/>
  <c r="D26" i="60"/>
  <c r="I122" i="60"/>
  <c r="C27" i="60"/>
  <c r="C13" i="60"/>
  <c r="D27" i="60"/>
  <c r="I74" i="60"/>
  <c r="I112" i="60"/>
  <c r="C28" i="60"/>
  <c r="D28" i="60"/>
  <c r="I75" i="60"/>
  <c r="D14" i="60"/>
  <c r="C38" i="60"/>
  <c r="C98" i="60"/>
  <c r="C14" i="60"/>
  <c r="D15" i="60"/>
  <c r="C39" i="60"/>
  <c r="C99" i="60"/>
  <c r="C16" i="60"/>
  <c r="D16" i="60"/>
  <c r="C40" i="60"/>
  <c r="D99" i="60"/>
  <c r="C17" i="60"/>
  <c r="D17" i="60"/>
  <c r="C41" i="60"/>
  <c r="C107" i="60"/>
  <c r="H107" i="60" s="1"/>
  <c r="C18" i="60"/>
  <c r="D18" i="60"/>
  <c r="C42" i="60"/>
  <c r="C108" i="60"/>
  <c r="C15" i="60"/>
  <c r="C19" i="60"/>
  <c r="D19" i="60"/>
  <c r="D106" i="60"/>
  <c r="C23" i="60"/>
  <c r="D37" i="60"/>
  <c r="C20" i="60"/>
  <c r="D20" i="60"/>
  <c r="D38" i="60"/>
  <c r="D107" i="60"/>
  <c r="C37" i="60"/>
  <c r="D98" i="60"/>
  <c r="C21" i="60"/>
  <c r="D21" i="60"/>
  <c r="D39" i="60"/>
  <c r="D108" i="60"/>
  <c r="C22" i="60"/>
  <c r="D22" i="60"/>
  <c r="D40" i="60"/>
  <c r="I111" i="60"/>
  <c r="E23" i="55"/>
  <c r="H23" i="55" s="1"/>
  <c r="I23" i="55" s="1"/>
  <c r="H26" i="30"/>
  <c r="I26" i="30" s="1"/>
  <c r="R68" i="30"/>
  <c r="P89" i="57"/>
  <c r="P90" i="36"/>
  <c r="U77" i="7"/>
  <c r="E90" i="47"/>
  <c r="T51" i="69"/>
  <c r="U51" i="69" s="1"/>
  <c r="I99" i="50"/>
  <c r="E91" i="22"/>
  <c r="T8" i="15"/>
  <c r="P89" i="15"/>
  <c r="T8" i="47"/>
  <c r="P90" i="47"/>
  <c r="E91" i="47"/>
  <c r="I38" i="68"/>
  <c r="T57" i="68"/>
  <c r="U57" i="68" s="1"/>
  <c r="T57" i="23"/>
  <c r="U57" i="23"/>
  <c r="T57" i="28"/>
  <c r="U57" i="28" s="1"/>
  <c r="T58" i="55"/>
  <c r="U58" i="55" s="1"/>
  <c r="U59" i="55" s="1"/>
  <c r="T52" i="67"/>
  <c r="U52" i="67" s="1"/>
  <c r="U59" i="67" s="1"/>
  <c r="T55" i="26"/>
  <c r="U55" i="26"/>
  <c r="I99" i="29"/>
  <c r="E91" i="52"/>
  <c r="T50" i="27"/>
  <c r="U50" i="27"/>
  <c r="T99" i="21"/>
  <c r="U99" i="21"/>
  <c r="E89" i="52"/>
  <c r="T56" i="45"/>
  <c r="U56" i="45" s="1"/>
  <c r="E91" i="71"/>
  <c r="T57" i="24"/>
  <c r="U57" i="24" s="1"/>
  <c r="T56" i="69"/>
  <c r="U56" i="69" s="1"/>
  <c r="T99" i="77"/>
  <c r="U99" i="77"/>
  <c r="T58" i="17"/>
  <c r="U58" i="17"/>
  <c r="T51" i="44"/>
  <c r="U51" i="44"/>
  <c r="T56" i="70"/>
  <c r="U56" i="70"/>
  <c r="T56" i="78"/>
  <c r="U56" i="78" s="1"/>
  <c r="T99" i="20"/>
  <c r="U99" i="20" s="1"/>
  <c r="T99" i="47"/>
  <c r="U99" i="47"/>
  <c r="E89" i="30"/>
  <c r="T8" i="30"/>
  <c r="T58" i="78"/>
  <c r="U58" i="78" s="1"/>
  <c r="T57" i="30"/>
  <c r="U57" i="30"/>
  <c r="T58" i="45"/>
  <c r="U58" i="45"/>
  <c r="T53" i="26"/>
  <c r="U53" i="26"/>
  <c r="E89" i="56"/>
  <c r="T50" i="33"/>
  <c r="U50" i="33" s="1"/>
  <c r="U59" i="33" s="1"/>
  <c r="T52" i="18"/>
  <c r="U52" i="18" s="1"/>
  <c r="T98" i="28"/>
  <c r="T98" i="42"/>
  <c r="E91" i="56"/>
  <c r="T8" i="29"/>
  <c r="T52" i="29"/>
  <c r="U52" i="29"/>
  <c r="P91" i="66"/>
  <c r="I39" i="66"/>
  <c r="E90" i="56"/>
  <c r="P90" i="58"/>
  <c r="I42" i="30"/>
  <c r="I37" i="66"/>
  <c r="T8" i="56"/>
  <c r="P91" i="58"/>
  <c r="T56" i="31"/>
  <c r="U56" i="31"/>
  <c r="I42" i="66"/>
  <c r="E89" i="66"/>
  <c r="T50" i="17"/>
  <c r="U50" i="17" s="1"/>
  <c r="E91" i="66"/>
  <c r="T51" i="70"/>
  <c r="U51" i="70" s="1"/>
  <c r="E90" i="30"/>
  <c r="I98" i="23"/>
  <c r="I41" i="30"/>
  <c r="E90" i="66"/>
  <c r="E91" i="30"/>
  <c r="I98" i="30"/>
  <c r="T57" i="36"/>
  <c r="U57" i="36" s="1"/>
  <c r="T54" i="34"/>
  <c r="U54" i="34" s="1"/>
  <c r="T52" i="31"/>
  <c r="U52" i="31" s="1"/>
  <c r="T50" i="67"/>
  <c r="U50" i="67"/>
  <c r="E89" i="23"/>
  <c r="E89" i="29"/>
  <c r="E90" i="24"/>
  <c r="T53" i="17"/>
  <c r="U53" i="17" s="1"/>
  <c r="T53" i="15"/>
  <c r="U53" i="15" s="1"/>
  <c r="T52" i="20"/>
  <c r="U52" i="20" s="1"/>
  <c r="E91" i="16"/>
  <c r="T98" i="44"/>
  <c r="I99" i="22"/>
  <c r="T62" i="28"/>
  <c r="T54" i="26"/>
  <c r="U54" i="26"/>
  <c r="T8" i="23"/>
  <c r="P89" i="23" s="1"/>
  <c r="P91" i="23"/>
  <c r="T57" i="32"/>
  <c r="U57" i="32"/>
  <c r="T52" i="55"/>
  <c r="U52" i="55"/>
  <c r="E91" i="23"/>
  <c r="T54" i="68"/>
  <c r="U54" i="68"/>
  <c r="T98" i="21"/>
  <c r="T51" i="22"/>
  <c r="U51" i="22"/>
  <c r="T53" i="44"/>
  <c r="U53" i="44"/>
  <c r="T58" i="16"/>
  <c r="U58" i="16"/>
  <c r="T52" i="70"/>
  <c r="U52" i="70"/>
  <c r="T56" i="36"/>
  <c r="U56" i="36" s="1"/>
  <c r="T8" i="67"/>
  <c r="T98" i="36"/>
  <c r="E91" i="67"/>
  <c r="T55" i="22"/>
  <c r="U55" i="22" s="1"/>
  <c r="E90" i="67"/>
  <c r="T53" i="34"/>
  <c r="U53" i="34"/>
  <c r="E91" i="35"/>
  <c r="E89" i="22"/>
  <c r="T62" i="35"/>
  <c r="T52" i="34"/>
  <c r="U52" i="34"/>
  <c r="I39" i="35"/>
  <c r="E90" i="35"/>
  <c r="E90" i="22"/>
  <c r="E89" i="35"/>
  <c r="T8" i="35"/>
  <c r="T50" i="18"/>
  <c r="U50" i="18"/>
  <c r="I99" i="44"/>
  <c r="T58" i="75"/>
  <c r="U58" i="75"/>
  <c r="T54" i="66"/>
  <c r="U54" i="66"/>
  <c r="T51" i="25"/>
  <c r="U51" i="25" s="1"/>
  <c r="T52" i="69"/>
  <c r="U52" i="69" s="1"/>
  <c r="I40" i="33"/>
  <c r="E91" i="26"/>
  <c r="T98" i="27"/>
  <c r="T56" i="44"/>
  <c r="U56" i="44" s="1"/>
  <c r="T8" i="26"/>
  <c r="P91" i="26" s="1"/>
  <c r="T50" i="42"/>
  <c r="U50" i="42"/>
  <c r="E89" i="26"/>
  <c r="I41" i="33"/>
  <c r="E90" i="26"/>
  <c r="I39" i="33"/>
  <c r="I43" i="33" s="1"/>
  <c r="I37" i="67"/>
  <c r="P91" i="76"/>
  <c r="P90" i="76"/>
  <c r="P89" i="76"/>
  <c r="P91" i="45"/>
  <c r="P89" i="45"/>
  <c r="P90" i="45"/>
  <c r="I99" i="35"/>
  <c r="E89" i="76"/>
  <c r="I38" i="45"/>
  <c r="T54" i="52"/>
  <c r="U54" i="52"/>
  <c r="I40" i="68"/>
  <c r="T57" i="76"/>
  <c r="U57" i="76"/>
  <c r="T98" i="68"/>
  <c r="T62" i="47"/>
  <c r="E90" i="21"/>
  <c r="I41" i="68"/>
  <c r="E89" i="45"/>
  <c r="T58" i="29"/>
  <c r="U58" i="29"/>
  <c r="U59" i="29" s="1"/>
  <c r="E91" i="37"/>
  <c r="I42" i="35"/>
  <c r="T51" i="34"/>
  <c r="U51" i="34"/>
  <c r="E90" i="45"/>
  <c r="I40" i="76"/>
  <c r="I42" i="68"/>
  <c r="E90" i="37"/>
  <c r="T99" i="48"/>
  <c r="U99" i="48"/>
  <c r="E89" i="75"/>
  <c r="I39" i="68"/>
  <c r="I43" i="68" s="1"/>
  <c r="T54" i="43"/>
  <c r="U54" i="43"/>
  <c r="T53" i="24"/>
  <c r="U53" i="24"/>
  <c r="E90" i="76"/>
  <c r="T57" i="33"/>
  <c r="U57" i="33"/>
  <c r="T8" i="75"/>
  <c r="P89" i="75"/>
  <c r="T57" i="70"/>
  <c r="U57" i="70" s="1"/>
  <c r="T58" i="71"/>
  <c r="U58" i="71" s="1"/>
  <c r="E89" i="37"/>
  <c r="E90" i="75"/>
  <c r="T8" i="37"/>
  <c r="E91" i="45"/>
  <c r="E91" i="75"/>
  <c r="E89" i="21"/>
  <c r="T54" i="69"/>
  <c r="U54" i="69"/>
  <c r="T53" i="30"/>
  <c r="U53" i="30" s="1"/>
  <c r="T57" i="48"/>
  <c r="U57" i="48" s="1"/>
  <c r="T98" i="39"/>
  <c r="I98" i="52"/>
  <c r="I38" i="71"/>
  <c r="I39" i="67"/>
  <c r="T8" i="71"/>
  <c r="T52" i="48"/>
  <c r="U52" i="48"/>
  <c r="T52" i="27"/>
  <c r="U52" i="27" s="1"/>
  <c r="I40" i="71"/>
  <c r="I42" i="71"/>
  <c r="I37" i="31"/>
  <c r="I39" i="34"/>
  <c r="I39" i="71"/>
  <c r="T56" i="32"/>
  <c r="U56" i="32" s="1"/>
  <c r="T51" i="17"/>
  <c r="U51" i="17" s="1"/>
  <c r="T58" i="37"/>
  <c r="U58" i="37" s="1"/>
  <c r="T58" i="40"/>
  <c r="U58" i="40" s="1"/>
  <c r="T56" i="38"/>
  <c r="U56" i="38" s="1"/>
  <c r="E91" i="25"/>
  <c r="T8" i="25"/>
  <c r="P90" i="25" s="1"/>
  <c r="I41" i="67"/>
  <c r="T53" i="35"/>
  <c r="U53" i="35"/>
  <c r="E89" i="71"/>
  <c r="T8" i="18"/>
  <c r="P91" i="18"/>
  <c r="E89" i="18"/>
  <c r="T98" i="58"/>
  <c r="E90" i="71"/>
  <c r="I42" i="67"/>
  <c r="T54" i="47"/>
  <c r="U54" i="47" s="1"/>
  <c r="E90" i="25"/>
  <c r="E90" i="18"/>
  <c r="E89" i="25"/>
  <c r="I39" i="25"/>
  <c r="E90" i="52"/>
  <c r="I40" i="31"/>
  <c r="T57" i="69"/>
  <c r="U57" i="69"/>
  <c r="I39" i="52"/>
  <c r="E89" i="50"/>
  <c r="T51" i="56"/>
  <c r="U51" i="56"/>
  <c r="I39" i="57"/>
  <c r="T51" i="36"/>
  <c r="U51" i="36"/>
  <c r="T56" i="42"/>
  <c r="U56" i="42" s="1"/>
  <c r="T98" i="35"/>
  <c r="T98" i="71"/>
  <c r="I41" i="57"/>
  <c r="T57" i="38"/>
  <c r="U57" i="38"/>
  <c r="E91" i="50"/>
  <c r="I37" i="69"/>
  <c r="E90" i="50"/>
  <c r="T53" i="45"/>
  <c r="U53" i="45"/>
  <c r="I41" i="69"/>
  <c r="I37" i="52"/>
  <c r="I98" i="78"/>
  <c r="I99" i="69"/>
  <c r="I39" i="69"/>
  <c r="I40" i="52"/>
  <c r="T51" i="15"/>
  <c r="U51" i="15"/>
  <c r="U59" i="15" s="1"/>
  <c r="T8" i="50"/>
  <c r="P89" i="50"/>
  <c r="T8" i="17"/>
  <c r="P91" i="17"/>
  <c r="I98" i="25"/>
  <c r="I41" i="52"/>
  <c r="I99" i="15"/>
  <c r="T53" i="47"/>
  <c r="U53" i="47"/>
  <c r="T99" i="38"/>
  <c r="U99" i="38" s="1"/>
  <c r="T53" i="39"/>
  <c r="U53" i="39" s="1"/>
  <c r="I99" i="18"/>
  <c r="I40" i="20"/>
  <c r="I42" i="20"/>
  <c r="I37" i="20"/>
  <c r="I41" i="38"/>
  <c r="T99" i="57"/>
  <c r="U99" i="57"/>
  <c r="I99" i="57"/>
  <c r="T53" i="58"/>
  <c r="U53" i="58" s="1"/>
  <c r="T55" i="68"/>
  <c r="U55" i="68"/>
  <c r="T8" i="70"/>
  <c r="P89" i="70"/>
  <c r="E91" i="70"/>
  <c r="E90" i="70"/>
  <c r="E89" i="70"/>
  <c r="T52" i="24"/>
  <c r="U52" i="24"/>
  <c r="T50" i="37"/>
  <c r="U50" i="37"/>
  <c r="T58" i="57"/>
  <c r="U58" i="57"/>
  <c r="T50" i="28"/>
  <c r="U50" i="28" s="1"/>
  <c r="U59" i="28" s="1"/>
  <c r="T58" i="36"/>
  <c r="U58" i="36" s="1"/>
  <c r="T53" i="78"/>
  <c r="U53" i="78" s="1"/>
  <c r="U57" i="27"/>
  <c r="T50" i="35"/>
  <c r="U50" i="35" s="1"/>
  <c r="T62" i="77"/>
  <c r="T57" i="17"/>
  <c r="U57" i="17"/>
  <c r="T58" i="25"/>
  <c r="U58" i="25" s="1"/>
  <c r="T52" i="26"/>
  <c r="U52" i="26" s="1"/>
  <c r="T54" i="48"/>
  <c r="U54" i="48" s="1"/>
  <c r="U54" i="33"/>
  <c r="T62" i="32"/>
  <c r="I99" i="45"/>
  <c r="T99" i="45"/>
  <c r="U99" i="45" s="1"/>
  <c r="T52" i="21"/>
  <c r="U52" i="21" s="1"/>
  <c r="I38" i="43"/>
  <c r="I40" i="43"/>
  <c r="T54" i="31"/>
  <c r="U54" i="31"/>
  <c r="T55" i="42"/>
  <c r="U55" i="42" s="1"/>
  <c r="I40" i="40"/>
  <c r="I39" i="40"/>
  <c r="T57" i="66"/>
  <c r="U57" i="66" s="1"/>
  <c r="I39" i="70"/>
  <c r="I42" i="70"/>
  <c r="I38" i="70"/>
  <c r="I41" i="70"/>
  <c r="E89" i="32"/>
  <c r="E91" i="32"/>
  <c r="T8" i="32"/>
  <c r="I41" i="32"/>
  <c r="E90" i="32"/>
  <c r="E89" i="27"/>
  <c r="E90" i="27"/>
  <c r="E91" i="27"/>
  <c r="T8" i="27"/>
  <c r="I41" i="27"/>
  <c r="I39" i="27"/>
  <c r="I40" i="27"/>
  <c r="I37" i="27"/>
  <c r="I42" i="27"/>
  <c r="T58" i="27"/>
  <c r="U58" i="27" s="1"/>
  <c r="T99" i="55"/>
  <c r="U99" i="55" s="1"/>
  <c r="I99" i="55"/>
  <c r="T54" i="78"/>
  <c r="U54" i="78" s="1"/>
  <c r="T58" i="31"/>
  <c r="U58" i="31"/>
  <c r="T58" i="44"/>
  <c r="U58" i="44"/>
  <c r="T51" i="52"/>
  <c r="U51" i="52" s="1"/>
  <c r="U59" i="52" s="1"/>
  <c r="E90" i="55"/>
  <c r="E91" i="55"/>
  <c r="E89" i="55"/>
  <c r="I37" i="55"/>
  <c r="T8" i="55"/>
  <c r="E90" i="51"/>
  <c r="E91" i="51"/>
  <c r="E89" i="51"/>
  <c r="T8" i="51"/>
  <c r="T54" i="67"/>
  <c r="U54" i="67"/>
  <c r="T56" i="35"/>
  <c r="U56" i="35" s="1"/>
  <c r="T57" i="16"/>
  <c r="U57" i="16" s="1"/>
  <c r="T51" i="29"/>
  <c r="U51" i="29" s="1"/>
  <c r="E90" i="48"/>
  <c r="I37" i="48"/>
  <c r="T8" i="48"/>
  <c r="E91" i="48"/>
  <c r="E89" i="48"/>
  <c r="T55" i="20"/>
  <c r="U55" i="20" s="1"/>
  <c r="T55" i="40"/>
  <c r="U55" i="40" s="1"/>
  <c r="U59" i="40" s="1"/>
  <c r="T55" i="47"/>
  <c r="U55" i="47"/>
  <c r="T52" i="33"/>
  <c r="U52" i="33"/>
  <c r="T51" i="39"/>
  <c r="U51" i="39" s="1"/>
  <c r="T54" i="75"/>
  <c r="U54" i="75" s="1"/>
  <c r="P89" i="66"/>
  <c r="T57" i="77"/>
  <c r="U57" i="77" s="1"/>
  <c r="T50" i="75"/>
  <c r="U50" i="75" s="1"/>
  <c r="U59" i="75" s="1"/>
  <c r="T55" i="75"/>
  <c r="U55" i="75"/>
  <c r="P90" i="26"/>
  <c r="T99" i="33"/>
  <c r="U99" i="33"/>
  <c r="I98" i="67"/>
  <c r="T98" i="69"/>
  <c r="I98" i="17"/>
  <c r="T98" i="55"/>
  <c r="R80" i="50"/>
  <c r="R78" i="38"/>
  <c r="U78" i="38"/>
  <c r="T50" i="34"/>
  <c r="U50" i="34" s="1"/>
  <c r="U59" i="34" s="1"/>
  <c r="T107" i="76"/>
  <c r="I41" i="78"/>
  <c r="I40" i="78"/>
  <c r="T99" i="23"/>
  <c r="U99" i="23" s="1"/>
  <c r="E37" i="45"/>
  <c r="E40" i="45"/>
  <c r="I40" i="45" s="1"/>
  <c r="E42" i="45"/>
  <c r="I42" i="45" s="1"/>
  <c r="E41" i="45"/>
  <c r="E39" i="45"/>
  <c r="I39" i="45" s="1"/>
  <c r="T106" i="55"/>
  <c r="H108" i="55"/>
  <c r="E91" i="29"/>
  <c r="E90" i="29"/>
  <c r="I39" i="29"/>
  <c r="E90" i="38"/>
  <c r="T8" i="38"/>
  <c r="H108" i="40"/>
  <c r="T106" i="40"/>
  <c r="I98" i="48"/>
  <c r="E58" i="75"/>
  <c r="I58" i="75" s="1"/>
  <c r="E55" i="75"/>
  <c r="E54" i="75"/>
  <c r="I54" i="75" s="1"/>
  <c r="E52" i="75"/>
  <c r="E107" i="75"/>
  <c r="I107" i="75" s="1"/>
  <c r="E51" i="75"/>
  <c r="I51" i="75" s="1"/>
  <c r="E56" i="75"/>
  <c r="I56" i="75" s="1"/>
  <c r="E57" i="75"/>
  <c r="I57" i="75" s="1"/>
  <c r="E53" i="75"/>
  <c r="I53" i="75" s="1"/>
  <c r="E56" i="20"/>
  <c r="I56" i="20"/>
  <c r="E50" i="24"/>
  <c r="E59" i="24" s="1"/>
  <c r="E55" i="20"/>
  <c r="E54" i="20"/>
  <c r="I54" i="20"/>
  <c r="E106" i="24"/>
  <c r="I106" i="24" s="1"/>
  <c r="E58" i="24"/>
  <c r="I58" i="24"/>
  <c r="E54" i="24"/>
  <c r="I54" i="24"/>
  <c r="E58" i="71"/>
  <c r="I58" i="71" s="1"/>
  <c r="E106" i="71"/>
  <c r="I106" i="71" s="1"/>
  <c r="E53" i="71"/>
  <c r="I53" i="71" s="1"/>
  <c r="E51" i="20"/>
  <c r="E108" i="20"/>
  <c r="I108" i="20" s="1"/>
  <c r="E107" i="24"/>
  <c r="E51" i="71"/>
  <c r="I51" i="71" s="1"/>
  <c r="E54" i="71"/>
  <c r="I54" i="71" s="1"/>
  <c r="E107" i="71"/>
  <c r="E16" i="20"/>
  <c r="E28" i="18"/>
  <c r="H28" i="18" s="1"/>
  <c r="E17" i="18"/>
  <c r="H17" i="18" s="1"/>
  <c r="I56" i="67"/>
  <c r="E55" i="28"/>
  <c r="I55" i="28"/>
  <c r="E58" i="58"/>
  <c r="I58" i="58" s="1"/>
  <c r="E55" i="58"/>
  <c r="I55" i="58" s="1"/>
  <c r="E51" i="27"/>
  <c r="I51" i="27" s="1"/>
  <c r="E50" i="27"/>
  <c r="E51" i="58"/>
  <c r="I51" i="58" s="1"/>
  <c r="E57" i="40"/>
  <c r="I57" i="40" s="1"/>
  <c r="E51" i="40"/>
  <c r="I51" i="40" s="1"/>
  <c r="E107" i="40"/>
  <c r="I107" i="40" s="1"/>
  <c r="E51" i="55"/>
  <c r="I51" i="55"/>
  <c r="E54" i="55"/>
  <c r="E106" i="55"/>
  <c r="I106" i="55" s="1"/>
  <c r="E107" i="55"/>
  <c r="I107" i="55" s="1"/>
  <c r="E55" i="55"/>
  <c r="E54" i="22"/>
  <c r="I54" i="22" s="1"/>
  <c r="E50" i="22"/>
  <c r="I50" i="22" s="1"/>
  <c r="I58" i="22"/>
  <c r="E108" i="22"/>
  <c r="E55" i="24"/>
  <c r="E106" i="22"/>
  <c r="I106" i="22" s="1"/>
  <c r="I109" i="22" s="1"/>
  <c r="E55" i="36"/>
  <c r="I55" i="36" s="1"/>
  <c r="E54" i="36"/>
  <c r="I54" i="36" s="1"/>
  <c r="E50" i="36"/>
  <c r="I50" i="36" s="1"/>
  <c r="E106" i="36"/>
  <c r="I106" i="36" s="1"/>
  <c r="E108" i="28"/>
  <c r="E57" i="24"/>
  <c r="I57" i="24" s="1"/>
  <c r="E106" i="56"/>
  <c r="I106" i="56" s="1"/>
  <c r="E52" i="56"/>
  <c r="I52" i="56" s="1"/>
  <c r="E107" i="22"/>
  <c r="I107" i="22"/>
  <c r="E106" i="40"/>
  <c r="I106" i="40" s="1"/>
  <c r="E107" i="58"/>
  <c r="I107" i="58" s="1"/>
  <c r="E51" i="23"/>
  <c r="I51" i="23" s="1"/>
  <c r="E53" i="24"/>
  <c r="E108" i="24"/>
  <c r="I108" i="24"/>
  <c r="E54" i="58"/>
  <c r="I54" i="58" s="1"/>
  <c r="E52" i="24"/>
  <c r="I52" i="24"/>
  <c r="E108" i="56"/>
  <c r="I108" i="56" s="1"/>
  <c r="E55" i="22"/>
  <c r="I55" i="22" s="1"/>
  <c r="E52" i="55"/>
  <c r="I52" i="55" s="1"/>
  <c r="E52" i="58"/>
  <c r="I52" i="58" s="1"/>
  <c r="E106" i="58"/>
  <c r="I106" i="58" s="1"/>
  <c r="E58" i="27"/>
  <c r="I58" i="27" s="1"/>
  <c r="E51" i="22"/>
  <c r="I51" i="22"/>
  <c r="E106" i="28"/>
  <c r="I106" i="28" s="1"/>
  <c r="E54" i="38"/>
  <c r="I54" i="38" s="1"/>
  <c r="E52" i="26"/>
  <c r="I52" i="26" s="1"/>
  <c r="E57" i="56"/>
  <c r="I57" i="56" s="1"/>
  <c r="E53" i="22"/>
  <c r="I53" i="22"/>
  <c r="E58" i="55"/>
  <c r="I58" i="55" s="1"/>
  <c r="E57" i="28"/>
  <c r="I57" i="28" s="1"/>
  <c r="E57" i="35"/>
  <c r="I57" i="35" s="1"/>
  <c r="E58" i="17"/>
  <c r="I58" i="17" s="1"/>
  <c r="E107" i="52"/>
  <c r="I107" i="52" s="1"/>
  <c r="E52" i="35"/>
  <c r="I52" i="35" s="1"/>
  <c r="E56" i="35"/>
  <c r="E57" i="50"/>
  <c r="I57" i="50" s="1"/>
  <c r="E55" i="52"/>
  <c r="I55" i="52" s="1"/>
  <c r="E55" i="35"/>
  <c r="E107" i="68"/>
  <c r="I107" i="68" s="1"/>
  <c r="E108" i="68"/>
  <c r="I108" i="68" s="1"/>
  <c r="E18" i="48"/>
  <c r="H18" i="48" s="1"/>
  <c r="I18" i="48" s="1"/>
  <c r="E25" i="48"/>
  <c r="H25" i="48" s="1"/>
  <c r="I25" i="48" s="1"/>
  <c r="E14" i="48"/>
  <c r="H14" i="48" s="1"/>
  <c r="I14" i="48" s="1"/>
  <c r="E13" i="48"/>
  <c r="H13" i="48" s="1"/>
  <c r="E19" i="48"/>
  <c r="H19" i="48"/>
  <c r="I19" i="48" s="1"/>
  <c r="E28" i="48"/>
  <c r="H28" i="48"/>
  <c r="I28" i="48" s="1"/>
  <c r="E17" i="48"/>
  <c r="H17" i="48" s="1"/>
  <c r="E23" i="48"/>
  <c r="H23" i="48" s="1"/>
  <c r="I23" i="48" s="1"/>
  <c r="E24" i="48"/>
  <c r="H24" i="48" s="1"/>
  <c r="I24" i="48" s="1"/>
  <c r="E21" i="48"/>
  <c r="H21" i="48" s="1"/>
  <c r="I21" i="48" s="1"/>
  <c r="E16" i="48"/>
  <c r="E20" i="48"/>
  <c r="H20" i="48" s="1"/>
  <c r="I20" i="48" s="1"/>
  <c r="E22" i="48"/>
  <c r="H22" i="48" s="1"/>
  <c r="I22" i="48" s="1"/>
  <c r="E26" i="48"/>
  <c r="H26" i="48" s="1"/>
  <c r="I26" i="48" s="1"/>
  <c r="E27" i="48"/>
  <c r="H27" i="48" s="1"/>
  <c r="I27" i="48" s="1"/>
  <c r="E15" i="48"/>
  <c r="H15" i="48" s="1"/>
  <c r="E15" i="17"/>
  <c r="H15" i="17" s="1"/>
  <c r="E27" i="68"/>
  <c r="H27" i="68" s="1"/>
  <c r="I27" i="68" s="1"/>
  <c r="E14" i="68"/>
  <c r="H14" i="68" s="1"/>
  <c r="E14" i="71"/>
  <c r="E15" i="71"/>
  <c r="H15" i="71" s="1"/>
  <c r="I15" i="71" s="1"/>
  <c r="E28" i="71"/>
  <c r="H28" i="71" s="1"/>
  <c r="I28" i="71" s="1"/>
  <c r="E27" i="16"/>
  <c r="H27" i="16" s="1"/>
  <c r="I27" i="16" s="1"/>
  <c r="E22" i="16"/>
  <c r="E16" i="45"/>
  <c r="H16" i="45" s="1"/>
  <c r="I16" i="45" s="1"/>
  <c r="E21" i="25"/>
  <c r="H21" i="25" s="1"/>
  <c r="I21" i="25" s="1"/>
  <c r="E13" i="25"/>
  <c r="E18" i="25"/>
  <c r="E16" i="25"/>
  <c r="H16" i="25" s="1"/>
  <c r="I16" i="25" s="1"/>
  <c r="E25" i="25"/>
  <c r="H25" i="25" s="1"/>
  <c r="I25" i="25" s="1"/>
  <c r="E15" i="25"/>
  <c r="H15" i="25" s="1"/>
  <c r="E24" i="25"/>
  <c r="H24" i="25" s="1"/>
  <c r="I24" i="25" s="1"/>
  <c r="E28" i="25"/>
  <c r="H28" i="25" s="1"/>
  <c r="I28" i="25" s="1"/>
  <c r="E22" i="25"/>
  <c r="H22" i="25" s="1"/>
  <c r="E19" i="25"/>
  <c r="H19" i="25" s="1"/>
  <c r="I19" i="25" s="1"/>
  <c r="E23" i="25"/>
  <c r="H23" i="25" s="1"/>
  <c r="I23" i="25" s="1"/>
  <c r="E27" i="25"/>
  <c r="H27" i="25" s="1"/>
  <c r="I27" i="25" s="1"/>
  <c r="E15" i="51"/>
  <c r="H15" i="51" s="1"/>
  <c r="I15" i="51" s="1"/>
  <c r="E13" i="51"/>
  <c r="E14" i="51"/>
  <c r="E27" i="51"/>
  <c r="H27" i="51" s="1"/>
  <c r="I27" i="51" s="1"/>
  <c r="E17" i="51"/>
  <c r="H17" i="51" s="1"/>
  <c r="E25" i="51"/>
  <c r="H25" i="51" s="1"/>
  <c r="I25" i="51" s="1"/>
  <c r="E22" i="51"/>
  <c r="H22" i="51" s="1"/>
  <c r="I22" i="51" s="1"/>
  <c r="E17" i="21"/>
  <c r="H17" i="21" s="1"/>
  <c r="E13" i="21"/>
  <c r="H13" i="21" s="1"/>
  <c r="I13" i="21" s="1"/>
  <c r="E22" i="21"/>
  <c r="H22" i="21" s="1"/>
  <c r="I22" i="21" s="1"/>
  <c r="E25" i="21"/>
  <c r="H25" i="21" s="1"/>
  <c r="I25" i="21" s="1"/>
  <c r="E27" i="21"/>
  <c r="H27" i="21" s="1"/>
  <c r="I27" i="21" s="1"/>
  <c r="E19" i="21"/>
  <c r="E24" i="21"/>
  <c r="H24" i="21" s="1"/>
  <c r="I24" i="21" s="1"/>
  <c r="E18" i="21"/>
  <c r="E13" i="75"/>
  <c r="E19" i="75"/>
  <c r="H19" i="75" s="1"/>
  <c r="I19" i="75" s="1"/>
  <c r="E20" i="75"/>
  <c r="H20" i="75"/>
  <c r="I20" i="75" s="1"/>
  <c r="E21" i="75"/>
  <c r="H21" i="75"/>
  <c r="I21" i="75" s="1"/>
  <c r="E23" i="75"/>
  <c r="H23" i="75" s="1"/>
  <c r="I23" i="75" s="1"/>
  <c r="E16" i="75"/>
  <c r="H16" i="75" s="1"/>
  <c r="I16" i="75" s="1"/>
  <c r="E15" i="75"/>
  <c r="H15" i="75" s="1"/>
  <c r="E18" i="75"/>
  <c r="H18" i="75" s="1"/>
  <c r="I18" i="75" s="1"/>
  <c r="E27" i="75"/>
  <c r="H27" i="75" s="1"/>
  <c r="I27" i="75" s="1"/>
  <c r="E21" i="20"/>
  <c r="H21" i="20" s="1"/>
  <c r="I21" i="20" s="1"/>
  <c r="E22" i="20"/>
  <c r="H22" i="20" s="1"/>
  <c r="I22" i="20" s="1"/>
  <c r="E22" i="77"/>
  <c r="H22" i="77" s="1"/>
  <c r="I22" i="77" s="1"/>
  <c r="E16" i="77"/>
  <c r="H16" i="77" s="1"/>
  <c r="I16" i="77" s="1"/>
  <c r="E18" i="77"/>
  <c r="E27" i="77"/>
  <c r="H27" i="77" s="1"/>
  <c r="I27" i="77" s="1"/>
  <c r="E26" i="77"/>
  <c r="H26" i="77" s="1"/>
  <c r="I26" i="77" s="1"/>
  <c r="E27" i="18"/>
  <c r="H27" i="18"/>
  <c r="E21" i="18"/>
  <c r="H21" i="18" s="1"/>
  <c r="E22" i="18"/>
  <c r="H22" i="18" s="1"/>
  <c r="E25" i="18"/>
  <c r="H25" i="18" s="1"/>
  <c r="E15" i="18"/>
  <c r="H15" i="18" s="1"/>
  <c r="E24" i="18"/>
  <c r="H24" i="18" s="1"/>
  <c r="E26" i="18"/>
  <c r="H26" i="18" s="1"/>
  <c r="E14" i="18"/>
  <c r="H14" i="18" s="1"/>
  <c r="E13" i="18"/>
  <c r="H13" i="18" s="1"/>
  <c r="E23" i="18"/>
  <c r="H23" i="18" s="1"/>
  <c r="E19" i="18"/>
  <c r="H19" i="18" s="1"/>
  <c r="I19" i="18" s="1"/>
  <c r="E27" i="67"/>
  <c r="H27" i="67" s="1"/>
  <c r="I27" i="67" s="1"/>
  <c r="E28" i="44"/>
  <c r="H28" i="44" s="1"/>
  <c r="I28" i="44" s="1"/>
  <c r="E16" i="44"/>
  <c r="E18" i="42"/>
  <c r="H18" i="42" s="1"/>
  <c r="I18" i="42" s="1"/>
  <c r="E26" i="42"/>
  <c r="H26" i="42" s="1"/>
  <c r="I26" i="42" s="1"/>
  <c r="E22" i="42"/>
  <c r="H22" i="42" s="1"/>
  <c r="I22" i="42" s="1"/>
  <c r="E27" i="42"/>
  <c r="H27" i="42" s="1"/>
  <c r="I27" i="42" s="1"/>
  <c r="E16" i="40"/>
  <c r="H16" i="40" s="1"/>
  <c r="I16" i="40" s="1"/>
  <c r="E27" i="40"/>
  <c r="H27" i="40" s="1"/>
  <c r="E17" i="40"/>
  <c r="H17" i="40" s="1"/>
  <c r="E24" i="40"/>
  <c r="E21" i="40"/>
  <c r="H21" i="40" s="1"/>
  <c r="E28" i="40"/>
  <c r="H28" i="40" s="1"/>
  <c r="E22" i="40"/>
  <c r="H22" i="40" s="1"/>
  <c r="E20" i="78"/>
  <c r="H20" i="78" s="1"/>
  <c r="I20" i="78" s="1"/>
  <c r="E107" i="77"/>
  <c r="I107" i="77" s="1"/>
  <c r="E55" i="77"/>
  <c r="I55" i="77" s="1"/>
  <c r="E57" i="77"/>
  <c r="I57" i="77" s="1"/>
  <c r="E51" i="77"/>
  <c r="I51" i="77" s="1"/>
  <c r="E108" i="77"/>
  <c r="I108" i="77" s="1"/>
  <c r="E106" i="77"/>
  <c r="I106" i="77" s="1"/>
  <c r="E52" i="77"/>
  <c r="I52" i="77" s="1"/>
  <c r="E53" i="77"/>
  <c r="I53" i="77"/>
  <c r="E54" i="77"/>
  <c r="I54" i="77" s="1"/>
  <c r="E56" i="77"/>
  <c r="I56" i="77" s="1"/>
  <c r="E58" i="77"/>
  <c r="I58" i="77" s="1"/>
  <c r="E50" i="68"/>
  <c r="I50" i="68" s="1"/>
  <c r="E51" i="68"/>
  <c r="E54" i="68"/>
  <c r="I54" i="68" s="1"/>
  <c r="E106" i="68"/>
  <c r="I106" i="68" s="1"/>
  <c r="I109" i="68" s="1"/>
  <c r="E52" i="68"/>
  <c r="I52" i="68" s="1"/>
  <c r="E50" i="71"/>
  <c r="I50" i="71" s="1"/>
  <c r="E55" i="71"/>
  <c r="E56" i="71"/>
  <c r="I56" i="71" s="1"/>
  <c r="E19" i="71"/>
  <c r="H19" i="71" s="1"/>
  <c r="I19" i="71" s="1"/>
  <c r="E27" i="71"/>
  <c r="H27" i="71" s="1"/>
  <c r="I27" i="71" s="1"/>
  <c r="E22" i="71"/>
  <c r="H22" i="71" s="1"/>
  <c r="I22" i="71" s="1"/>
  <c r="E17" i="71"/>
  <c r="H17" i="71" s="1"/>
  <c r="I17" i="71" s="1"/>
  <c r="E13" i="71"/>
  <c r="H13" i="71" s="1"/>
  <c r="E18" i="71"/>
  <c r="E21" i="71"/>
  <c r="H21" i="71"/>
  <c r="E23" i="71"/>
  <c r="H23" i="71" s="1"/>
  <c r="I23" i="71" s="1"/>
  <c r="E26" i="71"/>
  <c r="H26" i="71" s="1"/>
  <c r="I26" i="71" s="1"/>
  <c r="E20" i="71"/>
  <c r="H20" i="71" s="1"/>
  <c r="E25" i="71"/>
  <c r="H25" i="71" s="1"/>
  <c r="I25" i="71" s="1"/>
  <c r="E107" i="69"/>
  <c r="I107" i="69"/>
  <c r="E58" i="69"/>
  <c r="I58" i="69" s="1"/>
  <c r="E22" i="69"/>
  <c r="H22" i="69" s="1"/>
  <c r="I22" i="69" s="1"/>
  <c r="E15" i="67"/>
  <c r="H15" i="67" s="1"/>
  <c r="I15" i="67" s="1"/>
  <c r="E22" i="67"/>
  <c r="H22" i="67" s="1"/>
  <c r="I22" i="67" s="1"/>
  <c r="E26" i="67"/>
  <c r="H26" i="67" s="1"/>
  <c r="I26" i="67" s="1"/>
  <c r="E25" i="67"/>
  <c r="H25" i="67" s="1"/>
  <c r="I25" i="67" s="1"/>
  <c r="E18" i="67"/>
  <c r="H18" i="67" s="1"/>
  <c r="I18" i="67" s="1"/>
  <c r="E28" i="67"/>
  <c r="H28" i="67" s="1"/>
  <c r="I28" i="67" s="1"/>
  <c r="E23" i="67"/>
  <c r="H23" i="67" s="1"/>
  <c r="E13" i="67"/>
  <c r="H13" i="67" s="1"/>
  <c r="I13" i="67" s="1"/>
  <c r="E20" i="67"/>
  <c r="H20" i="67" s="1"/>
  <c r="I20" i="67" s="1"/>
  <c r="E14" i="67"/>
  <c r="H14" i="67" s="1"/>
  <c r="E21" i="67"/>
  <c r="H21" i="67" s="1"/>
  <c r="I21" i="67" s="1"/>
  <c r="E23" i="76"/>
  <c r="H23" i="76" s="1"/>
  <c r="I23" i="76" s="1"/>
  <c r="E24" i="76"/>
  <c r="H24" i="76" s="1"/>
  <c r="I24" i="76" s="1"/>
  <c r="E17" i="76"/>
  <c r="H17" i="76"/>
  <c r="I17" i="76" s="1"/>
  <c r="E106" i="52"/>
  <c r="I106" i="52" s="1"/>
  <c r="E17" i="52"/>
  <c r="H17" i="52" s="1"/>
  <c r="E22" i="52"/>
  <c r="H22" i="52" s="1"/>
  <c r="I22" i="52" s="1"/>
  <c r="E27" i="52"/>
  <c r="H27" i="52" s="1"/>
  <c r="I27" i="52" s="1"/>
  <c r="E19" i="52"/>
  <c r="H19" i="52" s="1"/>
  <c r="I19" i="52" s="1"/>
  <c r="E21" i="52"/>
  <c r="H21" i="52" s="1"/>
  <c r="I21" i="52" s="1"/>
  <c r="E54" i="51"/>
  <c r="I54" i="51" s="1"/>
  <c r="E58" i="51"/>
  <c r="I58" i="51" s="1"/>
  <c r="E16" i="51"/>
  <c r="H16" i="51" s="1"/>
  <c r="E28" i="51"/>
  <c r="H28" i="51" s="1"/>
  <c r="I28" i="51" s="1"/>
  <c r="E20" i="51"/>
  <c r="H20" i="51" s="1"/>
  <c r="I20" i="51" s="1"/>
  <c r="E19" i="51"/>
  <c r="H19" i="51" s="1"/>
  <c r="I19" i="51" s="1"/>
  <c r="E26" i="51"/>
  <c r="H26" i="51" s="1"/>
  <c r="I26" i="51" s="1"/>
  <c r="E21" i="51"/>
  <c r="H21" i="51"/>
  <c r="I21" i="51" s="1"/>
  <c r="E108" i="50"/>
  <c r="I108" i="50"/>
  <c r="E51" i="50"/>
  <c r="I51" i="50" s="1"/>
  <c r="E55" i="50"/>
  <c r="I55" i="50" s="1"/>
  <c r="E106" i="50"/>
  <c r="I106" i="50" s="1"/>
  <c r="E53" i="50"/>
  <c r="I53" i="50" s="1"/>
  <c r="E52" i="50"/>
  <c r="I52" i="50" s="1"/>
  <c r="E107" i="50"/>
  <c r="I107" i="50"/>
  <c r="E54" i="50"/>
  <c r="I54" i="50" s="1"/>
  <c r="E57" i="48"/>
  <c r="I57" i="48" s="1"/>
  <c r="E106" i="48"/>
  <c r="I106" i="48" s="1"/>
  <c r="E54" i="48"/>
  <c r="I54" i="48" s="1"/>
  <c r="E50" i="48"/>
  <c r="I50" i="48" s="1"/>
  <c r="E108" i="48"/>
  <c r="E55" i="48"/>
  <c r="I55" i="48" s="1"/>
  <c r="E51" i="48"/>
  <c r="I51" i="48" s="1"/>
  <c r="E53" i="48"/>
  <c r="I53" i="48" s="1"/>
  <c r="E58" i="48"/>
  <c r="I58" i="48" s="1"/>
  <c r="E56" i="48"/>
  <c r="E58" i="45"/>
  <c r="I58" i="45" s="1"/>
  <c r="E106" i="45"/>
  <c r="E55" i="45"/>
  <c r="I55" i="45" s="1"/>
  <c r="E56" i="45"/>
  <c r="I56" i="45" s="1"/>
  <c r="E107" i="45"/>
  <c r="I107" i="45" s="1"/>
  <c r="E50" i="45"/>
  <c r="E57" i="45"/>
  <c r="I57" i="45" s="1"/>
  <c r="E51" i="45"/>
  <c r="E108" i="45"/>
  <c r="I108" i="45" s="1"/>
  <c r="E53" i="45"/>
  <c r="I53" i="45" s="1"/>
  <c r="E54" i="45"/>
  <c r="E50" i="42"/>
  <c r="I50" i="42"/>
  <c r="E58" i="40"/>
  <c r="I58" i="40" s="1"/>
  <c r="E54" i="40"/>
  <c r="I54" i="40" s="1"/>
  <c r="E52" i="40"/>
  <c r="I52" i="40" s="1"/>
  <c r="E53" i="40"/>
  <c r="I53" i="40" s="1"/>
  <c r="E17" i="37"/>
  <c r="H17" i="37" s="1"/>
  <c r="I17" i="37" s="1"/>
  <c r="E21" i="37"/>
  <c r="H21" i="37" s="1"/>
  <c r="I21" i="37" s="1"/>
  <c r="E13" i="37"/>
  <c r="H13" i="37" s="1"/>
  <c r="E26" i="37"/>
  <c r="H26" i="37" s="1"/>
  <c r="I26" i="37" s="1"/>
  <c r="E18" i="37"/>
  <c r="E20" i="37"/>
  <c r="H20" i="37" s="1"/>
  <c r="I20" i="37" s="1"/>
  <c r="E24" i="37"/>
  <c r="H24" i="37" s="1"/>
  <c r="I24" i="37" s="1"/>
  <c r="E15" i="37"/>
  <c r="H15" i="37" s="1"/>
  <c r="E14" i="37"/>
  <c r="H14" i="37" s="1"/>
  <c r="I14" i="37" s="1"/>
  <c r="E19" i="37"/>
  <c r="H19" i="37" s="1"/>
  <c r="I19" i="37" s="1"/>
  <c r="E23" i="37"/>
  <c r="H23" i="37" s="1"/>
  <c r="I23" i="37" s="1"/>
  <c r="E28" i="37"/>
  <c r="H28" i="37" s="1"/>
  <c r="I28" i="37" s="1"/>
  <c r="E27" i="37"/>
  <c r="H27" i="37" s="1"/>
  <c r="E25" i="37"/>
  <c r="H25" i="37" s="1"/>
  <c r="I25" i="37" s="1"/>
  <c r="E23" i="36"/>
  <c r="H23" i="36" s="1"/>
  <c r="I23" i="36" s="1"/>
  <c r="E25" i="23"/>
  <c r="H25" i="23" s="1"/>
  <c r="I25" i="23" s="1"/>
  <c r="E108" i="35"/>
  <c r="I108" i="35" s="1"/>
  <c r="E56" i="32"/>
  <c r="I56" i="32" s="1"/>
  <c r="E22" i="31"/>
  <c r="H22" i="31"/>
  <c r="I22" i="31" s="1"/>
  <c r="E107" i="30"/>
  <c r="I107" i="30" s="1"/>
  <c r="E55" i="29"/>
  <c r="I55" i="29" s="1"/>
  <c r="E53" i="29"/>
  <c r="I53" i="29" s="1"/>
  <c r="E58" i="29"/>
  <c r="E57" i="29"/>
  <c r="I57" i="29" s="1"/>
  <c r="E107" i="29"/>
  <c r="I107" i="29"/>
  <c r="E54" i="29"/>
  <c r="I54" i="29"/>
  <c r="E53" i="28"/>
  <c r="I53" i="28" s="1"/>
  <c r="E52" i="28"/>
  <c r="I52" i="28" s="1"/>
  <c r="I59" i="28" s="1"/>
  <c r="E54" i="28"/>
  <c r="I54" i="28"/>
  <c r="E51" i="28"/>
  <c r="I51" i="28"/>
  <c r="E58" i="28"/>
  <c r="I58" i="28" s="1"/>
  <c r="E56" i="28"/>
  <c r="I56" i="28" s="1"/>
  <c r="E50" i="28"/>
  <c r="I50" i="28" s="1"/>
  <c r="E56" i="27"/>
  <c r="I56" i="27" s="1"/>
  <c r="E52" i="27"/>
  <c r="I52" i="27" s="1"/>
  <c r="E106" i="27"/>
  <c r="I106" i="27" s="1"/>
  <c r="E55" i="27"/>
  <c r="I55" i="27" s="1"/>
  <c r="E57" i="27"/>
  <c r="E53" i="27"/>
  <c r="H18" i="27"/>
  <c r="E108" i="26"/>
  <c r="E57" i="26"/>
  <c r="E58" i="26"/>
  <c r="I58" i="26"/>
  <c r="E54" i="26"/>
  <c r="I54" i="26" s="1"/>
  <c r="E53" i="20"/>
  <c r="E57" i="20"/>
  <c r="I57" i="20" s="1"/>
  <c r="E58" i="20"/>
  <c r="E106" i="20"/>
  <c r="E51" i="17"/>
  <c r="I51" i="17" s="1"/>
  <c r="E26" i="17"/>
  <c r="H26" i="17" s="1"/>
  <c r="I26" i="17" s="1"/>
  <c r="E24" i="17"/>
  <c r="H24" i="17" s="1"/>
  <c r="I24" i="17" s="1"/>
  <c r="E17" i="17"/>
  <c r="H17" i="17" s="1"/>
  <c r="I17" i="17" s="1"/>
  <c r="E19" i="17"/>
  <c r="H19" i="17" s="1"/>
  <c r="E13" i="17"/>
  <c r="E27" i="17"/>
  <c r="H27" i="17" s="1"/>
  <c r="I27" i="17" s="1"/>
  <c r="E23" i="17"/>
  <c r="H23" i="17" s="1"/>
  <c r="I23" i="17" s="1"/>
  <c r="E22" i="17"/>
  <c r="H22" i="17" s="1"/>
  <c r="I22" i="17" s="1"/>
  <c r="E20" i="17"/>
  <c r="H20" i="17" s="1"/>
  <c r="I20" i="17" s="1"/>
  <c r="E21" i="17"/>
  <c r="H21" i="17" s="1"/>
  <c r="I21" i="17" s="1"/>
  <c r="E18" i="17"/>
  <c r="H18" i="17" s="1"/>
  <c r="I18" i="17" s="1"/>
  <c r="E25" i="17"/>
  <c r="H25" i="17"/>
  <c r="I25" i="17" s="1"/>
  <c r="E28" i="17"/>
  <c r="H28" i="17" s="1"/>
  <c r="I28" i="17" s="1"/>
  <c r="E16" i="17"/>
  <c r="H16" i="17" s="1"/>
  <c r="I16" i="17" s="1"/>
  <c r="E57" i="16"/>
  <c r="I57" i="16" s="1"/>
  <c r="E14" i="16"/>
  <c r="E26" i="16"/>
  <c r="H26" i="16" s="1"/>
  <c r="I26" i="16" s="1"/>
  <c r="E24" i="16"/>
  <c r="H24" i="16" s="1"/>
  <c r="I24" i="16" s="1"/>
  <c r="E17" i="16"/>
  <c r="H17" i="16" s="1"/>
  <c r="I17" i="16" s="1"/>
  <c r="E18" i="16"/>
  <c r="H18" i="16" s="1"/>
  <c r="E25" i="16"/>
  <c r="H25" i="16" s="1"/>
  <c r="I25" i="16" s="1"/>
  <c r="E20" i="16"/>
  <c r="H20" i="16" s="1"/>
  <c r="I20" i="16" s="1"/>
  <c r="E13" i="16"/>
  <c r="H13" i="16" s="1"/>
  <c r="I13" i="16" s="1"/>
  <c r="E28" i="16"/>
  <c r="H28" i="16" s="1"/>
  <c r="I28" i="16" s="1"/>
  <c r="E21" i="16"/>
  <c r="E19" i="16"/>
  <c r="H19" i="16" s="1"/>
  <c r="I19" i="16" s="1"/>
  <c r="E23" i="16"/>
  <c r="H23" i="16"/>
  <c r="I23" i="16" s="1"/>
  <c r="E56" i="15"/>
  <c r="I56" i="15" s="1"/>
  <c r="E57" i="15"/>
  <c r="I57" i="15" s="1"/>
  <c r="E20" i="15"/>
  <c r="H20" i="15" s="1"/>
  <c r="I20" i="15" s="1"/>
  <c r="E28" i="15"/>
  <c r="H28" i="15" s="1"/>
  <c r="I28" i="15" s="1"/>
  <c r="E24" i="15"/>
  <c r="H24" i="15" s="1"/>
  <c r="I24" i="15" s="1"/>
  <c r="E17" i="15"/>
  <c r="E13" i="15"/>
  <c r="H13" i="15" s="1"/>
  <c r="E25" i="15"/>
  <c r="H25" i="15" s="1"/>
  <c r="I25" i="15" s="1"/>
  <c r="E19" i="15"/>
  <c r="H19" i="15" s="1"/>
  <c r="I19" i="15" s="1"/>
  <c r="E14" i="15"/>
  <c r="H14" i="15" s="1"/>
  <c r="E26" i="15"/>
  <c r="H26" i="15" s="1"/>
  <c r="I26" i="15" s="1"/>
  <c r="E22" i="15"/>
  <c r="H22" i="15" s="1"/>
  <c r="I22" i="15" s="1"/>
  <c r="E16" i="15"/>
  <c r="E27" i="15"/>
  <c r="H27" i="15" s="1"/>
  <c r="I27" i="15" s="1"/>
  <c r="E18" i="15"/>
  <c r="H18" i="15"/>
  <c r="I18" i="15" s="1"/>
  <c r="E21" i="15"/>
  <c r="H21" i="15"/>
  <c r="I21" i="15" s="1"/>
  <c r="R83" i="43"/>
  <c r="R83" i="70"/>
  <c r="R83" i="16"/>
  <c r="E16" i="71"/>
  <c r="H16" i="71"/>
  <c r="I16" i="71" s="1"/>
  <c r="E17" i="45"/>
  <c r="H17" i="45" s="1"/>
  <c r="E23" i="45"/>
  <c r="H23" i="45" s="1"/>
  <c r="I23" i="45" s="1"/>
  <c r="E20" i="45"/>
  <c r="H20" i="45" s="1"/>
  <c r="E21" i="45"/>
  <c r="H21" i="45" s="1"/>
  <c r="I21" i="45" s="1"/>
  <c r="E19" i="45"/>
  <c r="H19" i="45" s="1"/>
  <c r="E18" i="45"/>
  <c r="E26" i="45"/>
  <c r="H26" i="45" s="1"/>
  <c r="I26" i="45" s="1"/>
  <c r="E28" i="45"/>
  <c r="H28" i="45" s="1"/>
  <c r="I28" i="45" s="1"/>
  <c r="E27" i="45"/>
  <c r="H27" i="45" s="1"/>
  <c r="I27" i="45" s="1"/>
  <c r="E15" i="45"/>
  <c r="H15" i="45" s="1"/>
  <c r="I15" i="45" s="1"/>
  <c r="E25" i="45"/>
  <c r="H25" i="45" s="1"/>
  <c r="I25" i="45" s="1"/>
  <c r="E22" i="45"/>
  <c r="H22" i="45" s="1"/>
  <c r="I22" i="45" s="1"/>
  <c r="E13" i="45"/>
  <c r="E24" i="45"/>
  <c r="H24" i="45" s="1"/>
  <c r="I24" i="45" s="1"/>
  <c r="E17" i="44"/>
  <c r="E18" i="44"/>
  <c r="E24" i="44"/>
  <c r="H24" i="44" s="1"/>
  <c r="I24" i="44" s="1"/>
  <c r="E15" i="44"/>
  <c r="H15" i="44" s="1"/>
  <c r="E21" i="44"/>
  <c r="H21" i="44" s="1"/>
  <c r="I21" i="44" s="1"/>
  <c r="E25" i="44"/>
  <c r="H25" i="44" s="1"/>
  <c r="I25" i="44" s="1"/>
  <c r="E20" i="44"/>
  <c r="H20" i="44" s="1"/>
  <c r="I20" i="44" s="1"/>
  <c r="E23" i="44"/>
  <c r="H23" i="44" s="1"/>
  <c r="I23" i="44" s="1"/>
  <c r="E19" i="44"/>
  <c r="H19" i="44" s="1"/>
  <c r="I19" i="44" s="1"/>
  <c r="E13" i="44"/>
  <c r="H13" i="44" s="1"/>
  <c r="E27" i="44"/>
  <c r="H27" i="44" s="1"/>
  <c r="I27" i="44" s="1"/>
  <c r="E15" i="43"/>
  <c r="H15" i="43" s="1"/>
  <c r="E28" i="43"/>
  <c r="H28" i="43"/>
  <c r="I28" i="43" s="1"/>
  <c r="E27" i="43"/>
  <c r="H27" i="43"/>
  <c r="I27" i="43" s="1"/>
  <c r="E19" i="43"/>
  <c r="H19" i="43" s="1"/>
  <c r="I19" i="43" s="1"/>
  <c r="E20" i="43"/>
  <c r="H20" i="43" s="1"/>
  <c r="I20" i="43" s="1"/>
  <c r="E25" i="43"/>
  <c r="H25" i="43" s="1"/>
  <c r="I25" i="43" s="1"/>
  <c r="E22" i="43"/>
  <c r="H22" i="43" s="1"/>
  <c r="I22" i="43" s="1"/>
  <c r="E21" i="43"/>
  <c r="H21" i="43" s="1"/>
  <c r="I21" i="43" s="1"/>
  <c r="E16" i="43"/>
  <c r="H16" i="43" s="1"/>
  <c r="I16" i="43" s="1"/>
  <c r="E13" i="43"/>
  <c r="H13" i="43" s="1"/>
  <c r="I13" i="43" s="1"/>
  <c r="E23" i="43"/>
  <c r="H23" i="43" s="1"/>
  <c r="I23" i="43" s="1"/>
  <c r="E17" i="43"/>
  <c r="H17" i="43" s="1"/>
  <c r="E14" i="43"/>
  <c r="H14" i="43" s="1"/>
  <c r="E18" i="43"/>
  <c r="H18" i="43" s="1"/>
  <c r="I18" i="43" s="1"/>
  <c r="E108" i="40"/>
  <c r="E106" i="38"/>
  <c r="I106" i="38" s="1"/>
  <c r="E57" i="38"/>
  <c r="I57" i="38" s="1"/>
  <c r="E58" i="38"/>
  <c r="I58" i="38" s="1"/>
  <c r="E55" i="38"/>
  <c r="I55" i="38" s="1"/>
  <c r="E51" i="38"/>
  <c r="I51" i="38" s="1"/>
  <c r="E108" i="38"/>
  <c r="I108" i="38" s="1"/>
  <c r="E52" i="38"/>
  <c r="I52" i="38" s="1"/>
  <c r="E50" i="38"/>
  <c r="I50" i="38" s="1"/>
  <c r="E53" i="38"/>
  <c r="I53" i="38" s="1"/>
  <c r="E56" i="38"/>
  <c r="I56" i="38" s="1"/>
  <c r="E25" i="34"/>
  <c r="H25" i="34" s="1"/>
  <c r="I25" i="34" s="1"/>
  <c r="E23" i="34"/>
  <c r="H23" i="34" s="1"/>
  <c r="I23" i="34" s="1"/>
  <c r="E16" i="33"/>
  <c r="H16" i="33" s="1"/>
  <c r="I16" i="33" s="1"/>
  <c r="H21" i="30"/>
  <c r="I21" i="30" s="1"/>
  <c r="H22" i="30"/>
  <c r="I22" i="30" s="1"/>
  <c r="E56" i="24"/>
  <c r="I56" i="24"/>
  <c r="E15" i="16"/>
  <c r="H15" i="16" s="1"/>
  <c r="I51" i="51"/>
  <c r="E55" i="68"/>
  <c r="I55" i="68" s="1"/>
  <c r="E57" i="70"/>
  <c r="I57" i="70" s="1"/>
  <c r="E55" i="69"/>
  <c r="I55" i="69" s="1"/>
  <c r="E106" i="69"/>
  <c r="I106" i="69" s="1"/>
  <c r="E52" i="69"/>
  <c r="E54" i="69"/>
  <c r="I54" i="69" s="1"/>
  <c r="E57" i="69"/>
  <c r="E51" i="69"/>
  <c r="I51" i="69" s="1"/>
  <c r="E53" i="69"/>
  <c r="I53" i="69" s="1"/>
  <c r="E50" i="69"/>
  <c r="I50" i="69" s="1"/>
  <c r="E108" i="69"/>
  <c r="I108" i="69" s="1"/>
  <c r="E56" i="51"/>
  <c r="J18" i="51" s="1"/>
  <c r="E50" i="50"/>
  <c r="I50" i="50" s="1"/>
  <c r="E106" i="47"/>
  <c r="E52" i="47"/>
  <c r="I52" i="47" s="1"/>
  <c r="E108" i="47"/>
  <c r="E54" i="47"/>
  <c r="I54" i="47" s="1"/>
  <c r="E50" i="47"/>
  <c r="I50" i="47" s="1"/>
  <c r="E107" i="47"/>
  <c r="I107" i="47" s="1"/>
  <c r="E56" i="47"/>
  <c r="I56" i="47" s="1"/>
  <c r="E57" i="47"/>
  <c r="I57" i="47"/>
  <c r="E51" i="47"/>
  <c r="I51" i="47" s="1"/>
  <c r="E53" i="47"/>
  <c r="I53" i="47" s="1"/>
  <c r="E55" i="47"/>
  <c r="I55" i="47" s="1"/>
  <c r="E108" i="43"/>
  <c r="I108" i="43" s="1"/>
  <c r="E51" i="31"/>
  <c r="I51" i="31" s="1"/>
  <c r="E13" i="68"/>
  <c r="H13" i="68" s="1"/>
  <c r="E18" i="68"/>
  <c r="E21" i="68"/>
  <c r="H21" i="68" s="1"/>
  <c r="I21" i="68" s="1"/>
  <c r="E15" i="68"/>
  <c r="H15" i="68" s="1"/>
  <c r="I15" i="68" s="1"/>
  <c r="E26" i="68"/>
  <c r="H26" i="68" s="1"/>
  <c r="I26" i="68" s="1"/>
  <c r="E23" i="68"/>
  <c r="H23" i="68" s="1"/>
  <c r="I23" i="68" s="1"/>
  <c r="E22" i="68"/>
  <c r="H22" i="68" s="1"/>
  <c r="I22" i="68" s="1"/>
  <c r="E24" i="68"/>
  <c r="H24" i="68" s="1"/>
  <c r="I24" i="68" s="1"/>
  <c r="E16" i="68"/>
  <c r="H16" i="68" s="1"/>
  <c r="I16" i="68" s="1"/>
  <c r="E19" i="68"/>
  <c r="H19" i="68" s="1"/>
  <c r="I19" i="68" s="1"/>
  <c r="E28" i="68"/>
  <c r="H28" i="68" s="1"/>
  <c r="I28" i="68" s="1"/>
  <c r="E25" i="68"/>
  <c r="H25" i="68" s="1"/>
  <c r="I25" i="68" s="1"/>
  <c r="E22" i="66"/>
  <c r="H22" i="66" s="1"/>
  <c r="I22" i="66" s="1"/>
  <c r="E16" i="66"/>
  <c r="H16" i="66" s="1"/>
  <c r="I16" i="66" s="1"/>
  <c r="E14" i="66"/>
  <c r="H14" i="66" s="1"/>
  <c r="I14" i="66" s="1"/>
  <c r="E25" i="66"/>
  <c r="H25" i="66" s="1"/>
  <c r="I25" i="66" s="1"/>
  <c r="E18" i="66"/>
  <c r="E17" i="66"/>
  <c r="H17" i="66" s="1"/>
  <c r="I17" i="66" s="1"/>
  <c r="E26" i="66"/>
  <c r="H26" i="66" s="1"/>
  <c r="I26" i="66" s="1"/>
  <c r="E20" i="66"/>
  <c r="H20" i="66" s="1"/>
  <c r="I20" i="66" s="1"/>
  <c r="E19" i="66"/>
  <c r="H19" i="66" s="1"/>
  <c r="I19" i="66" s="1"/>
  <c r="E24" i="66"/>
  <c r="E13" i="66"/>
  <c r="H13" i="66" s="1"/>
  <c r="E21" i="66"/>
  <c r="H21" i="66" s="1"/>
  <c r="E28" i="66"/>
  <c r="H28" i="66" s="1"/>
  <c r="I28" i="66" s="1"/>
  <c r="E23" i="66"/>
  <c r="H23" i="66" s="1"/>
  <c r="I23" i="66" s="1"/>
  <c r="E27" i="66"/>
  <c r="H27" i="66"/>
  <c r="I27" i="66" s="1"/>
  <c r="E50" i="56"/>
  <c r="E55" i="56"/>
  <c r="E56" i="56"/>
  <c r="I56" i="56" s="1"/>
  <c r="E53" i="56"/>
  <c r="I53" i="56" s="1"/>
  <c r="E54" i="56"/>
  <c r="I54" i="56" s="1"/>
  <c r="E51" i="56"/>
  <c r="I51" i="56" s="1"/>
  <c r="E107" i="56"/>
  <c r="I107" i="56" s="1"/>
  <c r="E108" i="33"/>
  <c r="E56" i="33"/>
  <c r="I56" i="33" s="1"/>
  <c r="E22" i="32"/>
  <c r="H22" i="32" s="1"/>
  <c r="I22" i="32" s="1"/>
  <c r="E24" i="32"/>
  <c r="H24" i="32" s="1"/>
  <c r="I24" i="32" s="1"/>
  <c r="E13" i="31"/>
  <c r="H13" i="31" s="1"/>
  <c r="H29" i="31" s="1"/>
  <c r="E45" i="31" s="1"/>
  <c r="C65" i="31" s="1"/>
  <c r="H66" i="31" s="1"/>
  <c r="E14" i="31"/>
  <c r="H14" i="31"/>
  <c r="I14" i="31" s="1"/>
  <c r="E25" i="31"/>
  <c r="H25" i="31" s="1"/>
  <c r="I25" i="31" s="1"/>
  <c r="E27" i="31"/>
  <c r="H27" i="31" s="1"/>
  <c r="I27" i="31"/>
  <c r="E16" i="31"/>
  <c r="H16" i="31"/>
  <c r="I16" i="31" s="1"/>
  <c r="E24" i="31"/>
  <c r="E20" i="31"/>
  <c r="H20" i="31" s="1"/>
  <c r="I20" i="31" s="1"/>
  <c r="E18" i="31"/>
  <c r="H18" i="31" s="1"/>
  <c r="I18" i="31"/>
  <c r="E19" i="31"/>
  <c r="H19" i="31"/>
  <c r="I19" i="31" s="1"/>
  <c r="E26" i="31"/>
  <c r="E15" i="31"/>
  <c r="H15" i="31" s="1"/>
  <c r="I15" i="31" s="1"/>
  <c r="E21" i="31"/>
  <c r="H21" i="31"/>
  <c r="I21" i="31" s="1"/>
  <c r="E17" i="31"/>
  <c r="H17" i="31" s="1"/>
  <c r="I17" i="31" s="1"/>
  <c r="E28" i="31"/>
  <c r="H28" i="31" s="1"/>
  <c r="I28" i="31" s="1"/>
  <c r="E52" i="30"/>
  <c r="E54" i="30"/>
  <c r="I54" i="30" s="1"/>
  <c r="E108" i="30"/>
  <c r="I108" i="30" s="1"/>
  <c r="E106" i="30"/>
  <c r="I106" i="30" s="1"/>
  <c r="E58" i="30"/>
  <c r="E57" i="30"/>
  <c r="I57" i="30" s="1"/>
  <c r="E53" i="30"/>
  <c r="I53" i="30" s="1"/>
  <c r="E55" i="30"/>
  <c r="I55" i="30" s="1"/>
  <c r="E54" i="27"/>
  <c r="I54" i="27" s="1"/>
  <c r="I53" i="27"/>
  <c r="R83" i="15"/>
  <c r="R79" i="51"/>
  <c r="R83" i="18"/>
  <c r="I55" i="56"/>
  <c r="I55" i="24"/>
  <c r="U59" i="43"/>
  <c r="H108" i="23"/>
  <c r="I30" i="60"/>
  <c r="E29" i="62"/>
  <c r="E30" i="62" s="1"/>
  <c r="I39" i="36"/>
  <c r="E43" i="36"/>
  <c r="I37" i="32"/>
  <c r="E43" i="32"/>
  <c r="E37" i="23"/>
  <c r="I37" i="23" s="1"/>
  <c r="E38" i="23"/>
  <c r="I38" i="23" s="1"/>
  <c r="E39" i="23"/>
  <c r="I39" i="23"/>
  <c r="E40" i="23"/>
  <c r="I40" i="23"/>
  <c r="T108" i="55"/>
  <c r="P89" i="32"/>
  <c r="P91" i="32"/>
  <c r="I108" i="29"/>
  <c r="T108" i="29"/>
  <c r="P89" i="69"/>
  <c r="P90" i="69"/>
  <c r="T53" i="21"/>
  <c r="U53" i="21" s="1"/>
  <c r="I37" i="50"/>
  <c r="I38" i="58"/>
  <c r="E43" i="58"/>
  <c r="E42" i="29"/>
  <c r="I42" i="29"/>
  <c r="E40" i="29"/>
  <c r="I40" i="29" s="1"/>
  <c r="E41" i="29"/>
  <c r="I41" i="29" s="1"/>
  <c r="E37" i="29"/>
  <c r="I37" i="29" s="1"/>
  <c r="I43" i="29" s="1"/>
  <c r="P90" i="32"/>
  <c r="P89" i="47"/>
  <c r="P91" i="47"/>
  <c r="I43" i="52"/>
  <c r="P90" i="42"/>
  <c r="P90" i="17"/>
  <c r="P89" i="17"/>
  <c r="P91" i="50"/>
  <c r="P90" i="50"/>
  <c r="U59" i="32"/>
  <c r="E90" i="17"/>
  <c r="E89" i="17"/>
  <c r="E91" i="17"/>
  <c r="I37" i="24"/>
  <c r="H108" i="32"/>
  <c r="T106" i="32"/>
  <c r="T108" i="16"/>
  <c r="E39" i="18"/>
  <c r="I39" i="18" s="1"/>
  <c r="E40" i="18"/>
  <c r="I40" i="18" s="1"/>
  <c r="E42" i="18"/>
  <c r="E41" i="55"/>
  <c r="I41" i="55" s="1"/>
  <c r="E42" i="55"/>
  <c r="I42" i="55"/>
  <c r="E39" i="55"/>
  <c r="I39" i="55"/>
  <c r="E38" i="55"/>
  <c r="I38" i="55" s="1"/>
  <c r="I43" i="55" s="1"/>
  <c r="E38" i="25"/>
  <c r="I38" i="25" s="1"/>
  <c r="E41" i="25"/>
  <c r="E43" i="25"/>
  <c r="T52" i="36"/>
  <c r="U52" i="36" s="1"/>
  <c r="U59" i="36"/>
  <c r="E43" i="52"/>
  <c r="T108" i="44"/>
  <c r="T98" i="34"/>
  <c r="I52" i="20"/>
  <c r="U78" i="21"/>
  <c r="T107" i="38"/>
  <c r="U78" i="76"/>
  <c r="I98" i="56"/>
  <c r="U78" i="26"/>
  <c r="E38" i="76"/>
  <c r="I38" i="76" s="1"/>
  <c r="I43" i="76" s="1"/>
  <c r="E39" i="75"/>
  <c r="I39" i="75"/>
  <c r="E41" i="75"/>
  <c r="I41" i="75"/>
  <c r="E37" i="76"/>
  <c r="E43" i="76" s="1"/>
  <c r="E37" i="77"/>
  <c r="I37" i="77" s="1"/>
  <c r="E41" i="77"/>
  <c r="E34" i="62"/>
  <c r="E38" i="62" s="1"/>
  <c r="I37" i="76"/>
  <c r="T98" i="43"/>
  <c r="I98" i="43"/>
  <c r="T54" i="44"/>
  <c r="U54" i="44" s="1"/>
  <c r="T98" i="31"/>
  <c r="I98" i="31"/>
  <c r="E89" i="34"/>
  <c r="I40" i="34"/>
  <c r="I43" i="34" s="1"/>
  <c r="T8" i="34"/>
  <c r="P90" i="34"/>
  <c r="I41" i="34"/>
  <c r="I37" i="34"/>
  <c r="E90" i="34"/>
  <c r="I42" i="34"/>
  <c r="I50" i="27"/>
  <c r="E41" i="42"/>
  <c r="I41" i="42"/>
  <c r="E38" i="42"/>
  <c r="E42" i="42"/>
  <c r="E37" i="42"/>
  <c r="I37" i="42" s="1"/>
  <c r="I99" i="58"/>
  <c r="T99" i="58"/>
  <c r="U99" i="58" s="1"/>
  <c r="I37" i="51"/>
  <c r="T106" i="34"/>
  <c r="I38" i="34"/>
  <c r="T106" i="52"/>
  <c r="H108" i="52"/>
  <c r="E43" i="29"/>
  <c r="E43" i="69"/>
  <c r="I38" i="69"/>
  <c r="T8" i="39"/>
  <c r="P91" i="39" s="1"/>
  <c r="E89" i="39"/>
  <c r="E91" i="39"/>
  <c r="E90" i="39"/>
  <c r="E106" i="26"/>
  <c r="I106" i="26" s="1"/>
  <c r="E107" i="26"/>
  <c r="E50" i="26"/>
  <c r="E56" i="26"/>
  <c r="E53" i="26"/>
  <c r="I53" i="26" s="1"/>
  <c r="E55" i="26"/>
  <c r="I55" i="26" s="1"/>
  <c r="E51" i="26"/>
  <c r="I51" i="26"/>
  <c r="I50" i="56"/>
  <c r="I37" i="71"/>
  <c r="I43" i="71" s="1"/>
  <c r="E43" i="71"/>
  <c r="E89" i="28"/>
  <c r="I41" i="28"/>
  <c r="I40" i="28"/>
  <c r="I37" i="28"/>
  <c r="E91" i="28"/>
  <c r="T8" i="28"/>
  <c r="P91" i="28"/>
  <c r="E90" i="28"/>
  <c r="E26" i="20"/>
  <c r="H26" i="20" s="1"/>
  <c r="I26" i="20" s="1"/>
  <c r="E15" i="20"/>
  <c r="H15" i="20"/>
  <c r="E13" i="20"/>
  <c r="H13" i="20" s="1"/>
  <c r="E23" i="20"/>
  <c r="E14" i="20"/>
  <c r="J14" i="20" s="1"/>
  <c r="E20" i="20"/>
  <c r="H20" i="20" s="1"/>
  <c r="I20" i="20" s="1"/>
  <c r="E19" i="20"/>
  <c r="H19" i="20" s="1"/>
  <c r="I19" i="20" s="1"/>
  <c r="E27" i="20"/>
  <c r="H27" i="20"/>
  <c r="I27" i="20" s="1"/>
  <c r="E24" i="20"/>
  <c r="H24" i="20"/>
  <c r="I24" i="20" s="1"/>
  <c r="E18" i="20"/>
  <c r="H18" i="20" s="1"/>
  <c r="I18" i="20" s="1"/>
  <c r="E17" i="20"/>
  <c r="H17" i="20" s="1"/>
  <c r="E25" i="20"/>
  <c r="H25" i="20" s="1"/>
  <c r="I25" i="20" s="1"/>
  <c r="E28" i="20"/>
  <c r="T99" i="26"/>
  <c r="U99" i="26" s="1"/>
  <c r="I99" i="26"/>
  <c r="I98" i="66"/>
  <c r="T98" i="66"/>
  <c r="T99" i="76"/>
  <c r="U99" i="76" s="1"/>
  <c r="H22" i="39"/>
  <c r="I22" i="39" s="1"/>
  <c r="I99" i="66"/>
  <c r="I55" i="75"/>
  <c r="E39" i="51"/>
  <c r="I58" i="52"/>
  <c r="E39" i="47"/>
  <c r="I39" i="47" s="1"/>
  <c r="U78" i="33"/>
  <c r="U59" i="57"/>
  <c r="T54" i="18"/>
  <c r="U54" i="18"/>
  <c r="E41" i="51"/>
  <c r="I41" i="51"/>
  <c r="E41" i="47"/>
  <c r="I41" i="47" s="1"/>
  <c r="E43" i="67"/>
  <c r="I55" i="20"/>
  <c r="I42" i="31"/>
  <c r="T106" i="26"/>
  <c r="E37" i="47"/>
  <c r="I37" i="47" s="1"/>
  <c r="U78" i="51"/>
  <c r="I99" i="31"/>
  <c r="E40" i="47"/>
  <c r="I40" i="47" s="1"/>
  <c r="E42" i="57"/>
  <c r="I42" i="57" s="1"/>
  <c r="U77" i="28"/>
  <c r="P91" i="15"/>
  <c r="T98" i="37"/>
  <c r="E40" i="22"/>
  <c r="I40" i="22" s="1"/>
  <c r="I43" i="22" s="1"/>
  <c r="I37" i="43"/>
  <c r="E38" i="18"/>
  <c r="E38" i="22"/>
  <c r="I38" i="22" s="1"/>
  <c r="I38" i="66"/>
  <c r="I43" i="66"/>
  <c r="E20" i="18"/>
  <c r="H20" i="18" s="1"/>
  <c r="U78" i="67"/>
  <c r="I54" i="45"/>
  <c r="I54" i="55"/>
  <c r="P91" i="75"/>
  <c r="P90" i="56"/>
  <c r="E43" i="70"/>
  <c r="E37" i="57"/>
  <c r="I37" i="57"/>
  <c r="E16" i="18"/>
  <c r="H16" i="18" s="1"/>
  <c r="E38" i="30"/>
  <c r="P90" i="75"/>
  <c r="P90" i="15"/>
  <c r="U59" i="71"/>
  <c r="E38" i="57"/>
  <c r="U77" i="27"/>
  <c r="I37" i="39"/>
  <c r="E43" i="43"/>
  <c r="I38" i="39"/>
  <c r="I43" i="39"/>
  <c r="T99" i="66"/>
  <c r="U99" i="66" s="1"/>
  <c r="E40" i="57"/>
  <c r="I40" i="57" s="1"/>
  <c r="I39" i="39"/>
  <c r="U78" i="34"/>
  <c r="U78" i="31"/>
  <c r="H26" i="31"/>
  <c r="I26" i="31"/>
  <c r="I41" i="31"/>
  <c r="E42" i="51"/>
  <c r="I42" i="51" s="1"/>
  <c r="H108" i="71"/>
  <c r="I108" i="71"/>
  <c r="E39" i="30"/>
  <c r="I39" i="30"/>
  <c r="H13" i="39"/>
  <c r="I13" i="39" s="1"/>
  <c r="E42" i="22"/>
  <c r="I42" i="22" s="1"/>
  <c r="U78" i="36"/>
  <c r="I42" i="18"/>
  <c r="I58" i="29"/>
  <c r="I53" i="24"/>
  <c r="P90" i="37"/>
  <c r="P91" i="37"/>
  <c r="E41" i="21"/>
  <c r="I41" i="21" s="1"/>
  <c r="E42" i="21"/>
  <c r="I42" i="21" s="1"/>
  <c r="E39" i="21"/>
  <c r="E40" i="21"/>
  <c r="I40" i="21"/>
  <c r="E38" i="21"/>
  <c r="I38" i="21"/>
  <c r="E37" i="21"/>
  <c r="I37" i="30"/>
  <c r="I40" i="30"/>
  <c r="I40" i="56"/>
  <c r="I41" i="56"/>
  <c r="I37" i="56"/>
  <c r="I38" i="56"/>
  <c r="I39" i="56"/>
  <c r="E43" i="16"/>
  <c r="I37" i="22"/>
  <c r="T108" i="31"/>
  <c r="I37" i="37"/>
  <c r="I41" i="66"/>
  <c r="E43" i="66"/>
  <c r="P91" i="71"/>
  <c r="P89" i="71"/>
  <c r="P90" i="71"/>
  <c r="T108" i="66"/>
  <c r="H108" i="20"/>
  <c r="T106" i="20"/>
  <c r="H13" i="51"/>
  <c r="I13" i="51" s="1"/>
  <c r="I55" i="35"/>
  <c r="E43" i="44"/>
  <c r="I39" i="44"/>
  <c r="H108" i="36"/>
  <c r="T108" i="36"/>
  <c r="T106" i="36"/>
  <c r="E39" i="24"/>
  <c r="I39" i="24" s="1"/>
  <c r="E40" i="24"/>
  <c r="I40" i="24" s="1"/>
  <c r="I40" i="67"/>
  <c r="I99" i="24"/>
  <c r="T99" i="24"/>
  <c r="U99" i="24"/>
  <c r="T99" i="37"/>
  <c r="U99" i="37" s="1"/>
  <c r="I99" i="37"/>
  <c r="I42" i="58"/>
  <c r="I41" i="58"/>
  <c r="E17" i="42"/>
  <c r="H17" i="42" s="1"/>
  <c r="E14" i="42"/>
  <c r="E13" i="42"/>
  <c r="H13" i="42" s="1"/>
  <c r="I13" i="42" s="1"/>
  <c r="E28" i="42"/>
  <c r="H28" i="42" s="1"/>
  <c r="I28" i="42" s="1"/>
  <c r="E24" i="42"/>
  <c r="H24" i="42" s="1"/>
  <c r="I24" i="42" s="1"/>
  <c r="E16" i="42"/>
  <c r="E23" i="42"/>
  <c r="H23" i="42" s="1"/>
  <c r="I23" i="42" s="1"/>
  <c r="E21" i="42"/>
  <c r="H21" i="42" s="1"/>
  <c r="I21" i="42" s="1"/>
  <c r="P91" i="34"/>
  <c r="I43" i="69"/>
  <c r="T98" i="16"/>
  <c r="I98" i="16"/>
  <c r="T99" i="71"/>
  <c r="U99" i="71" s="1"/>
  <c r="I99" i="71"/>
  <c r="I108" i="22"/>
  <c r="I40" i="58"/>
  <c r="E15" i="42"/>
  <c r="H15" i="42" s="1"/>
  <c r="T106" i="43"/>
  <c r="P89" i="25"/>
  <c r="E43" i="27"/>
  <c r="I38" i="29"/>
  <c r="E42" i="37"/>
  <c r="E41" i="37"/>
  <c r="I41" i="37"/>
  <c r="E14" i="7"/>
  <c r="E21" i="7"/>
  <c r="H21" i="7" s="1"/>
  <c r="I21" i="7" s="1"/>
  <c r="E18" i="7"/>
  <c r="H18" i="7" s="1"/>
  <c r="I18" i="7" s="1"/>
  <c r="E13" i="7"/>
  <c r="H13" i="7" s="1"/>
  <c r="I13" i="7" s="1"/>
  <c r="E17" i="7"/>
  <c r="H17" i="7" s="1"/>
  <c r="E23" i="7"/>
  <c r="H23" i="7" s="1"/>
  <c r="I23" i="7" s="1"/>
  <c r="E25" i="7"/>
  <c r="H25" i="7" s="1"/>
  <c r="I25" i="7" s="1"/>
  <c r="E27" i="7"/>
  <c r="H27" i="7" s="1"/>
  <c r="I27" i="7" s="1"/>
  <c r="E15" i="7"/>
  <c r="H15" i="7" s="1"/>
  <c r="E26" i="7"/>
  <c r="H26" i="7" s="1"/>
  <c r="I26" i="7" s="1"/>
  <c r="E28" i="7"/>
  <c r="H28" i="7" s="1"/>
  <c r="I28" i="7" s="1"/>
  <c r="E16" i="7"/>
  <c r="T106" i="27"/>
  <c r="H108" i="27"/>
  <c r="I108" i="27" s="1"/>
  <c r="T108" i="27"/>
  <c r="I106" i="20"/>
  <c r="P90" i="18"/>
  <c r="E38" i="7"/>
  <c r="I38" i="7" s="1"/>
  <c r="E41" i="7"/>
  <c r="E40" i="7"/>
  <c r="I40" i="7" s="1"/>
  <c r="U59" i="48"/>
  <c r="H108" i="33"/>
  <c r="T108" i="33" s="1"/>
  <c r="T106" i="76"/>
  <c r="H108" i="76"/>
  <c r="E37" i="38"/>
  <c r="U78" i="58"/>
  <c r="E43" i="34"/>
  <c r="I41" i="23"/>
  <c r="U78" i="7"/>
  <c r="E43" i="33"/>
  <c r="I99" i="40"/>
  <c r="H26" i="26"/>
  <c r="I26" i="26" s="1"/>
  <c r="E40" i="38"/>
  <c r="I40" i="38"/>
  <c r="I38" i="27"/>
  <c r="E91" i="34"/>
  <c r="U78" i="25"/>
  <c r="I98" i="69"/>
  <c r="U78" i="17"/>
  <c r="I39" i="58"/>
  <c r="I51" i="68"/>
  <c r="U59" i="22"/>
  <c r="I52" i="30"/>
  <c r="P91" i="55"/>
  <c r="P89" i="55"/>
  <c r="P90" i="55"/>
  <c r="T108" i="21"/>
  <c r="P91" i="21"/>
  <c r="P90" i="21"/>
  <c r="I37" i="45"/>
  <c r="P90" i="29"/>
  <c r="P91" i="29"/>
  <c r="P89" i="29"/>
  <c r="P91" i="25"/>
  <c r="P89" i="78"/>
  <c r="P89" i="18"/>
  <c r="E43" i="39"/>
  <c r="P89" i="37"/>
  <c r="I98" i="20"/>
  <c r="T98" i="20"/>
  <c r="E43" i="35"/>
  <c r="P91" i="36"/>
  <c r="E38" i="15"/>
  <c r="I38" i="15" s="1"/>
  <c r="E37" i="18"/>
  <c r="T99" i="40"/>
  <c r="U99" i="40" s="1"/>
  <c r="E39" i="15"/>
  <c r="T106" i="39"/>
  <c r="T98" i="33"/>
  <c r="H108" i="78"/>
  <c r="T108" i="78" s="1"/>
  <c r="E52" i="71"/>
  <c r="T108" i="71"/>
  <c r="I50" i="26"/>
  <c r="T108" i="20"/>
  <c r="I39" i="15"/>
  <c r="E57" i="18"/>
  <c r="I57" i="18" s="1"/>
  <c r="E106" i="18"/>
  <c r="I106" i="18" s="1"/>
  <c r="E51" i="18"/>
  <c r="I51" i="18" s="1"/>
  <c r="E107" i="18"/>
  <c r="I107" i="18"/>
  <c r="E50" i="18"/>
  <c r="I50" i="18"/>
  <c r="E108" i="18"/>
  <c r="E55" i="18"/>
  <c r="I55" i="18"/>
  <c r="E53" i="18"/>
  <c r="I53" i="18"/>
  <c r="E58" i="18"/>
  <c r="I58" i="18"/>
  <c r="E56" i="18"/>
  <c r="I56" i="18" s="1"/>
  <c r="H18" i="68"/>
  <c r="I18" i="68" s="1"/>
  <c r="H24" i="67"/>
  <c r="I24" i="67" s="1"/>
  <c r="E17" i="50"/>
  <c r="H17" i="50" s="1"/>
  <c r="E25" i="50"/>
  <c r="H25" i="50" s="1"/>
  <c r="I25" i="50" s="1"/>
  <c r="E15" i="50"/>
  <c r="H15" i="50" s="1"/>
  <c r="E23" i="50"/>
  <c r="H23" i="50"/>
  <c r="I23" i="50" s="1"/>
  <c r="E27" i="50"/>
  <c r="H27" i="50" s="1"/>
  <c r="I27" i="50" s="1"/>
  <c r="E14" i="50"/>
  <c r="J14" i="50" s="1"/>
  <c r="E16" i="50"/>
  <c r="E51" i="34"/>
  <c r="I51" i="34" s="1"/>
  <c r="E19" i="34"/>
  <c r="H19" i="34" s="1"/>
  <c r="I19" i="34" s="1"/>
  <c r="E27" i="34"/>
  <c r="H27" i="34" s="1"/>
  <c r="I27" i="34" s="1"/>
  <c r="E14" i="34"/>
  <c r="H14" i="34" s="1"/>
  <c r="E20" i="34"/>
  <c r="H20" i="34" s="1"/>
  <c r="I20" i="34" s="1"/>
  <c r="E17" i="34"/>
  <c r="E28" i="34"/>
  <c r="H28" i="34" s="1"/>
  <c r="I28" i="34" s="1"/>
  <c r="E21" i="34"/>
  <c r="H21" i="34"/>
  <c r="E15" i="34"/>
  <c r="H15" i="34" s="1"/>
  <c r="E18" i="34"/>
  <c r="E26" i="34"/>
  <c r="H26" i="34" s="1"/>
  <c r="I26" i="34" s="1"/>
  <c r="E22" i="34"/>
  <c r="H22" i="34" s="1"/>
  <c r="I22" i="34" s="1"/>
  <c r="E24" i="34"/>
  <c r="H24" i="34" s="1"/>
  <c r="I24" i="34" s="1"/>
  <c r="E16" i="34"/>
  <c r="H16" i="34"/>
  <c r="I16" i="34" s="1"/>
  <c r="E106" i="32"/>
  <c r="I106" i="32" s="1"/>
  <c r="E57" i="32"/>
  <c r="E54" i="32"/>
  <c r="I54" i="32" s="1"/>
  <c r="E107" i="32"/>
  <c r="E50" i="32"/>
  <c r="E58" i="32"/>
  <c r="I58" i="32" s="1"/>
  <c r="E55" i="32"/>
  <c r="I55" i="32" s="1"/>
  <c r="E52" i="32"/>
  <c r="E53" i="32"/>
  <c r="I53" i="32" s="1"/>
  <c r="E108" i="32"/>
  <c r="I51" i="30"/>
  <c r="H23" i="27"/>
  <c r="I23" i="27" s="1"/>
  <c r="E17" i="22"/>
  <c r="H17" i="22" s="1"/>
  <c r="I17" i="22" s="1"/>
  <c r="E18" i="22"/>
  <c r="H18" i="22" s="1"/>
  <c r="I18" i="22" s="1"/>
  <c r="E16" i="22"/>
  <c r="H16" i="22" s="1"/>
  <c r="I16" i="22" s="1"/>
  <c r="E26" i="22"/>
  <c r="H26" i="22"/>
  <c r="I26" i="22" s="1"/>
  <c r="E13" i="22"/>
  <c r="H13" i="22" s="1"/>
  <c r="E24" i="22"/>
  <c r="H24" i="22" s="1"/>
  <c r="E15" i="22"/>
  <c r="H15" i="22" s="1"/>
  <c r="E19" i="22"/>
  <c r="H19" i="22" s="1"/>
  <c r="I19" i="22" s="1"/>
  <c r="E14" i="22"/>
  <c r="H14" i="22" s="1"/>
  <c r="I14" i="22" s="1"/>
  <c r="E28" i="22"/>
  <c r="H28" i="22" s="1"/>
  <c r="I28" i="22" s="1"/>
  <c r="E25" i="22"/>
  <c r="H25" i="22" s="1"/>
  <c r="I25" i="22" s="1"/>
  <c r="E22" i="22"/>
  <c r="H22" i="22"/>
  <c r="I22" i="22" s="1"/>
  <c r="E20" i="22"/>
  <c r="H20" i="22"/>
  <c r="I20" i="22" s="1"/>
  <c r="E27" i="22"/>
  <c r="H27" i="22" s="1"/>
  <c r="I27" i="22" s="1"/>
  <c r="E20" i="24"/>
  <c r="H20" i="24" s="1"/>
  <c r="I20" i="24" s="1"/>
  <c r="E19" i="24"/>
  <c r="H19" i="24" s="1"/>
  <c r="I19" i="24" s="1"/>
  <c r="E14" i="24"/>
  <c r="H14" i="24" s="1"/>
  <c r="I14" i="24" s="1"/>
  <c r="E17" i="24"/>
  <c r="H17" i="24" s="1"/>
  <c r="I17" i="24" s="1"/>
  <c r="E28" i="24"/>
  <c r="H28" i="24"/>
  <c r="I28" i="24" s="1"/>
  <c r="E25" i="24"/>
  <c r="H25" i="24"/>
  <c r="I25" i="24" s="1"/>
  <c r="E24" i="24"/>
  <c r="H24" i="24"/>
  <c r="I24" i="24" s="1"/>
  <c r="E27" i="24"/>
  <c r="H27" i="24" s="1"/>
  <c r="I27" i="24" s="1"/>
  <c r="E16" i="24"/>
  <c r="H16" i="24" s="1"/>
  <c r="I16" i="24" s="1"/>
  <c r="E22" i="24"/>
  <c r="E13" i="24"/>
  <c r="E21" i="24"/>
  <c r="H21" i="24" s="1"/>
  <c r="E26" i="24"/>
  <c r="H26" i="24"/>
  <c r="I26" i="24" s="1"/>
  <c r="E18" i="24"/>
  <c r="H18" i="24" s="1"/>
  <c r="I18" i="24" s="1"/>
  <c r="E15" i="24"/>
  <c r="H15" i="24" s="1"/>
  <c r="E50" i="25"/>
  <c r="E51" i="25"/>
  <c r="I51" i="25" s="1"/>
  <c r="E56" i="25"/>
  <c r="E108" i="25"/>
  <c r="E55" i="25"/>
  <c r="I55" i="25" s="1"/>
  <c r="E53" i="25"/>
  <c r="I53" i="25" s="1"/>
  <c r="E107" i="25"/>
  <c r="E106" i="25"/>
  <c r="I106" i="25" s="1"/>
  <c r="E54" i="25"/>
  <c r="I54" i="25" s="1"/>
  <c r="E52" i="25"/>
  <c r="I52" i="25"/>
  <c r="E107" i="21"/>
  <c r="H19" i="21"/>
  <c r="I19" i="21" s="1"/>
  <c r="I50" i="20"/>
  <c r="T99" i="42"/>
  <c r="U99" i="42"/>
  <c r="P89" i="22"/>
  <c r="P90" i="22"/>
  <c r="P91" i="22"/>
  <c r="P91" i="52"/>
  <c r="P89" i="52"/>
  <c r="P90" i="52"/>
  <c r="P89" i="27"/>
  <c r="P89" i="68"/>
  <c r="P90" i="68"/>
  <c r="P91" i="68"/>
  <c r="P90" i="48"/>
  <c r="P90" i="27"/>
  <c r="P91" i="27"/>
  <c r="P89" i="28"/>
  <c r="P90" i="28"/>
  <c r="P90" i="67"/>
  <c r="P89" i="67"/>
  <c r="P91" i="67"/>
  <c r="P91" i="56"/>
  <c r="P89" i="56"/>
  <c r="E37" i="7"/>
  <c r="I37" i="7" s="1"/>
  <c r="E42" i="7"/>
  <c r="E39" i="7"/>
  <c r="I38" i="32"/>
  <c r="I39" i="32"/>
  <c r="I42" i="32"/>
  <c r="I98" i="40"/>
  <c r="T98" i="40"/>
  <c r="P89" i="24"/>
  <c r="P91" i="24"/>
  <c r="P90" i="24"/>
  <c r="U59" i="47"/>
  <c r="T57" i="34"/>
  <c r="U57" i="34" s="1"/>
  <c r="I42" i="43"/>
  <c r="E89" i="43"/>
  <c r="I41" i="43"/>
  <c r="I43" i="43" s="1"/>
  <c r="E90" i="43"/>
  <c r="T8" i="43"/>
  <c r="P91" i="43" s="1"/>
  <c r="I39" i="43"/>
  <c r="E91" i="43"/>
  <c r="P91" i="33"/>
  <c r="P90" i="33"/>
  <c r="I56" i="40"/>
  <c r="T56" i="40"/>
  <c r="U56" i="40" s="1"/>
  <c r="T52" i="44"/>
  <c r="U52" i="44"/>
  <c r="U59" i="44" s="1"/>
  <c r="I51" i="20"/>
  <c r="T51" i="20"/>
  <c r="U51" i="20" s="1"/>
  <c r="U59" i="20" s="1"/>
  <c r="U59" i="56"/>
  <c r="P91" i="70"/>
  <c r="T8" i="20"/>
  <c r="P91" i="20" s="1"/>
  <c r="P90" i="20"/>
  <c r="I41" i="24"/>
  <c r="E89" i="24"/>
  <c r="E89" i="20"/>
  <c r="E91" i="24"/>
  <c r="P90" i="43"/>
  <c r="I39" i="7"/>
  <c r="I42" i="7"/>
  <c r="I52" i="71"/>
  <c r="I38" i="42"/>
  <c r="I57" i="69"/>
  <c r="H13" i="45"/>
  <c r="I13" i="45" s="1"/>
  <c r="E38" i="75"/>
  <c r="I38" i="75" s="1"/>
  <c r="E40" i="75"/>
  <c r="I40" i="75"/>
  <c r="E42" i="75"/>
  <c r="I42" i="75"/>
  <c r="E37" i="75"/>
  <c r="I37" i="75" s="1"/>
  <c r="I43" i="75" s="1"/>
  <c r="H108" i="77"/>
  <c r="T106" i="77"/>
  <c r="I38" i="16"/>
  <c r="I56" i="55"/>
  <c r="I37" i="16"/>
  <c r="I40" i="16"/>
  <c r="I43" i="16" s="1"/>
  <c r="I41" i="16"/>
  <c r="T98" i="18"/>
  <c r="P89" i="44"/>
  <c r="P91" i="44"/>
  <c r="P90" i="44"/>
  <c r="E41" i="15"/>
  <c r="I41" i="15"/>
  <c r="E42" i="15"/>
  <c r="I42" i="15"/>
  <c r="E37" i="15"/>
  <c r="I37" i="15" s="1"/>
  <c r="P90" i="35"/>
  <c r="I43" i="70"/>
  <c r="E41" i="50"/>
  <c r="I41" i="50" s="1"/>
  <c r="U59" i="30"/>
  <c r="I37" i="68"/>
  <c r="H108" i="17"/>
  <c r="T108" i="17" s="1"/>
  <c r="P90" i="23"/>
  <c r="E89" i="15"/>
  <c r="E38" i="50"/>
  <c r="I42" i="16"/>
  <c r="I99" i="17"/>
  <c r="E108" i="34"/>
  <c r="I108" i="34" s="1"/>
  <c r="E90" i="15"/>
  <c r="E40" i="50"/>
  <c r="I40" i="50"/>
  <c r="E42" i="50"/>
  <c r="I42" i="50"/>
  <c r="U59" i="78"/>
  <c r="E43" i="20"/>
  <c r="I98" i="70"/>
  <c r="U78" i="57"/>
  <c r="U78" i="29"/>
  <c r="U78" i="18"/>
  <c r="I99" i="70"/>
  <c r="I39" i="31"/>
  <c r="U78" i="66"/>
  <c r="U78" i="42"/>
  <c r="I107" i="51"/>
  <c r="I40" i="55"/>
  <c r="I99" i="47"/>
  <c r="U78" i="71"/>
  <c r="E57" i="71"/>
  <c r="I57" i="71"/>
  <c r="U77" i="57"/>
  <c r="U77" i="37"/>
  <c r="U77" i="76"/>
  <c r="T108" i="23"/>
  <c r="I52" i="32"/>
  <c r="I57" i="32"/>
  <c r="I42" i="37"/>
  <c r="I38" i="57"/>
  <c r="E43" i="57"/>
  <c r="I37" i="21"/>
  <c r="H16" i="42"/>
  <c r="I16" i="42" s="1"/>
  <c r="E43" i="51"/>
  <c r="I39" i="51"/>
  <c r="I43" i="51" s="1"/>
  <c r="E43" i="40"/>
  <c r="E43" i="55"/>
  <c r="I41" i="25"/>
  <c r="U59" i="21"/>
  <c r="H18" i="37"/>
  <c r="I18" i="37" s="1"/>
  <c r="T108" i="52"/>
  <c r="E43" i="75"/>
  <c r="E43" i="23"/>
  <c r="T99" i="28"/>
  <c r="U99" i="28" s="1"/>
  <c r="U59" i="70"/>
  <c r="T52" i="15"/>
  <c r="U52" i="15" s="1"/>
  <c r="I39" i="16"/>
  <c r="T8" i="16"/>
  <c r="P89" i="16" s="1"/>
  <c r="E26" i="43"/>
  <c r="H26" i="43" s="1"/>
  <c r="I26" i="43" s="1"/>
  <c r="E24" i="43"/>
  <c r="U59" i="69"/>
  <c r="E90" i="23"/>
  <c r="I42" i="23"/>
  <c r="I43" i="23" s="1"/>
  <c r="H108" i="42"/>
  <c r="E89" i="16"/>
  <c r="P91" i="57"/>
  <c r="E42" i="17"/>
  <c r="I42" i="17" s="1"/>
  <c r="E39" i="17"/>
  <c r="I39" i="17" s="1"/>
  <c r="E41" i="17"/>
  <c r="E40" i="17"/>
  <c r="I40" i="17" s="1"/>
  <c r="H108" i="18"/>
  <c r="T108" i="18" s="1"/>
  <c r="T106" i="18"/>
  <c r="T106" i="25"/>
  <c r="H108" i="25"/>
  <c r="I108" i="25" s="1"/>
  <c r="E41" i="48"/>
  <c r="I41" i="48"/>
  <c r="E38" i="48"/>
  <c r="T55" i="17"/>
  <c r="U55" i="17" s="1"/>
  <c r="E38" i="38"/>
  <c r="E42" i="38"/>
  <c r="I42" i="38"/>
  <c r="I41" i="22"/>
  <c r="U77" i="38"/>
  <c r="E23" i="22"/>
  <c r="H23" i="22" s="1"/>
  <c r="I23" i="22" s="1"/>
  <c r="I38" i="50"/>
  <c r="E43" i="50"/>
  <c r="E43" i="15"/>
  <c r="I38" i="38"/>
  <c r="I41" i="17"/>
  <c r="P90" i="16"/>
  <c r="P91" i="16"/>
  <c r="I38" i="48"/>
  <c r="E43" i="48"/>
  <c r="H17" i="30"/>
  <c r="I17" i="30" s="1"/>
  <c r="I53" i="67"/>
  <c r="J18" i="20"/>
  <c r="E107" i="16"/>
  <c r="I107" i="16"/>
  <c r="E55" i="34"/>
  <c r="I55" i="34" s="1"/>
  <c r="J18" i="67"/>
  <c r="E106" i="34"/>
  <c r="I106" i="34" s="1"/>
  <c r="E52" i="34"/>
  <c r="I52" i="34" s="1"/>
  <c r="E57" i="34"/>
  <c r="I57" i="34"/>
  <c r="E54" i="34"/>
  <c r="I54" i="34" s="1"/>
  <c r="E54" i="16"/>
  <c r="I54" i="16" s="1"/>
  <c r="E107" i="34"/>
  <c r="I107" i="34"/>
  <c r="E56" i="16"/>
  <c r="I56" i="16" s="1"/>
  <c r="E52" i="16"/>
  <c r="I52" i="16" s="1"/>
  <c r="E108" i="16"/>
  <c r="I108" i="16" s="1"/>
  <c r="J16" i="24"/>
  <c r="E53" i="34"/>
  <c r="E55" i="16"/>
  <c r="I55" i="16" s="1"/>
  <c r="E56" i="34"/>
  <c r="E53" i="16"/>
  <c r="I53" i="16" s="1"/>
  <c r="E106" i="16"/>
  <c r="I106" i="16" s="1"/>
  <c r="E50" i="34"/>
  <c r="I50" i="34" s="1"/>
  <c r="E50" i="16"/>
  <c r="E51" i="16"/>
  <c r="I51" i="16" s="1"/>
  <c r="E51" i="42"/>
  <c r="E55" i="42"/>
  <c r="I55" i="42" s="1"/>
  <c r="E57" i="42"/>
  <c r="I57" i="42" s="1"/>
  <c r="E53" i="42"/>
  <c r="E52" i="42"/>
  <c r="I52" i="42" s="1"/>
  <c r="E58" i="42"/>
  <c r="I58" i="42" s="1"/>
  <c r="E108" i="42"/>
  <c r="I108" i="42" s="1"/>
  <c r="E107" i="42"/>
  <c r="I107" i="42" s="1"/>
  <c r="E56" i="42"/>
  <c r="E54" i="42"/>
  <c r="I54" i="42" s="1"/>
  <c r="J16" i="77"/>
  <c r="E108" i="66"/>
  <c r="I108" i="66"/>
  <c r="E54" i="66"/>
  <c r="I54" i="66" s="1"/>
  <c r="E51" i="66"/>
  <c r="I51" i="66" s="1"/>
  <c r="E106" i="66"/>
  <c r="I106" i="66" s="1"/>
  <c r="E107" i="66"/>
  <c r="I107" i="66" s="1"/>
  <c r="E56" i="66"/>
  <c r="I56" i="66" s="1"/>
  <c r="E58" i="66"/>
  <c r="I58" i="66" s="1"/>
  <c r="E57" i="66"/>
  <c r="I57" i="66"/>
  <c r="E50" i="66"/>
  <c r="I50" i="66" s="1"/>
  <c r="E53" i="66"/>
  <c r="I53" i="66" s="1"/>
  <c r="E55" i="66"/>
  <c r="J14" i="68"/>
  <c r="I57" i="27"/>
  <c r="E106" i="57"/>
  <c r="E53" i="57"/>
  <c r="E108" i="57"/>
  <c r="E52" i="57"/>
  <c r="I52" i="57" s="1"/>
  <c r="I56" i="48"/>
  <c r="E107" i="57"/>
  <c r="I107" i="57" s="1"/>
  <c r="E55" i="57"/>
  <c r="I55" i="57" s="1"/>
  <c r="E57" i="57"/>
  <c r="I57" i="57" s="1"/>
  <c r="E51" i="57"/>
  <c r="I51" i="57" s="1"/>
  <c r="E56" i="57"/>
  <c r="I56" i="57" s="1"/>
  <c r="E50" i="57"/>
  <c r="I50" i="57" s="1"/>
  <c r="E54" i="57"/>
  <c r="I54" i="57" s="1"/>
  <c r="I50" i="44"/>
  <c r="I57" i="58"/>
  <c r="I53" i="15"/>
  <c r="I52" i="45"/>
  <c r="I51" i="32"/>
  <c r="I58" i="16"/>
  <c r="I58" i="56"/>
  <c r="I55" i="40"/>
  <c r="I51" i="24"/>
  <c r="I50" i="77"/>
  <c r="I53" i="68"/>
  <c r="I56" i="50"/>
  <c r="I57" i="25"/>
  <c r="I58" i="47"/>
  <c r="J18" i="75"/>
  <c r="E108" i="31"/>
  <c r="I108" i="31" s="1"/>
  <c r="E107" i="37"/>
  <c r="I107" i="37" s="1"/>
  <c r="E54" i="44"/>
  <c r="I54" i="44" s="1"/>
  <c r="E59" i="28"/>
  <c r="E50" i="31"/>
  <c r="I50" i="31" s="1"/>
  <c r="I52" i="69"/>
  <c r="I58" i="20"/>
  <c r="E58" i="37"/>
  <c r="I58" i="37" s="1"/>
  <c r="E57" i="44"/>
  <c r="I57" i="44" s="1"/>
  <c r="I55" i="71"/>
  <c r="I56" i="35"/>
  <c r="I55" i="55"/>
  <c r="I52" i="48"/>
  <c r="E55" i="44"/>
  <c r="I55" i="44" s="1"/>
  <c r="E108" i="44"/>
  <c r="I108" i="44" s="1"/>
  <c r="E52" i="31"/>
  <c r="I52" i="31"/>
  <c r="E58" i="31"/>
  <c r="I58" i="31"/>
  <c r="E58" i="44"/>
  <c r="I58" i="44" s="1"/>
  <c r="E53" i="44"/>
  <c r="I53" i="44" s="1"/>
  <c r="E52" i="44"/>
  <c r="I52" i="44" s="1"/>
  <c r="I50" i="75"/>
  <c r="E107" i="31"/>
  <c r="I56" i="25"/>
  <c r="E106" i="31"/>
  <c r="I106" i="31" s="1"/>
  <c r="I109" i="31" s="1"/>
  <c r="E106" i="44"/>
  <c r="I106" i="44"/>
  <c r="E54" i="37"/>
  <c r="I54" i="37" s="1"/>
  <c r="E51" i="44"/>
  <c r="I51" i="44" s="1"/>
  <c r="E53" i="31"/>
  <c r="I53" i="31" s="1"/>
  <c r="E55" i="31"/>
  <c r="I55" i="31"/>
  <c r="E54" i="31"/>
  <c r="I54" i="31"/>
  <c r="E56" i="44"/>
  <c r="I56" i="44" s="1"/>
  <c r="E56" i="31"/>
  <c r="E107" i="44"/>
  <c r="I107" i="44"/>
  <c r="E57" i="37"/>
  <c r="I57" i="37" s="1"/>
  <c r="E23" i="38"/>
  <c r="H23" i="38" s="1"/>
  <c r="I23" i="38" s="1"/>
  <c r="E27" i="38"/>
  <c r="H27" i="38" s="1"/>
  <c r="I27" i="38" s="1"/>
  <c r="E28" i="38"/>
  <c r="H28" i="38" s="1"/>
  <c r="I28" i="38" s="1"/>
  <c r="E19" i="38"/>
  <c r="H19" i="38" s="1"/>
  <c r="I19" i="38" s="1"/>
  <c r="E18" i="38"/>
  <c r="E26" i="38"/>
  <c r="H26" i="38" s="1"/>
  <c r="I26" i="38" s="1"/>
  <c r="E15" i="38"/>
  <c r="H15" i="38" s="1"/>
  <c r="E25" i="38"/>
  <c r="H25" i="38" s="1"/>
  <c r="I25" i="38" s="1"/>
  <c r="E24" i="38"/>
  <c r="H24" i="38" s="1"/>
  <c r="I24" i="38" s="1"/>
  <c r="E13" i="38"/>
  <c r="H13" i="38" s="1"/>
  <c r="I13" i="38" s="1"/>
  <c r="E22" i="38"/>
  <c r="H22" i="38" s="1"/>
  <c r="I22" i="38" s="1"/>
  <c r="E16" i="38"/>
  <c r="H16" i="38" s="1"/>
  <c r="I16" i="38" s="1"/>
  <c r="E17" i="38"/>
  <c r="H17" i="38" s="1"/>
  <c r="I17" i="38" s="1"/>
  <c r="E14" i="38"/>
  <c r="H14" i="38"/>
  <c r="I14" i="38" s="1"/>
  <c r="E21" i="38"/>
  <c r="H21" i="38" s="1"/>
  <c r="I21" i="38" s="1"/>
  <c r="E20" i="38"/>
  <c r="H20" i="38" s="1"/>
  <c r="I20" i="38" s="1"/>
  <c r="H16" i="37"/>
  <c r="I16" i="37" s="1"/>
  <c r="E26" i="50"/>
  <c r="H26" i="50" s="1"/>
  <c r="I26" i="50" s="1"/>
  <c r="E18" i="50"/>
  <c r="E20" i="50"/>
  <c r="H20" i="50" s="1"/>
  <c r="I20" i="50" s="1"/>
  <c r="E24" i="50"/>
  <c r="H24" i="50" s="1"/>
  <c r="I24" i="50" s="1"/>
  <c r="E19" i="50"/>
  <c r="H19" i="50" s="1"/>
  <c r="I19" i="50" s="1"/>
  <c r="E21" i="50"/>
  <c r="H21" i="50" s="1"/>
  <c r="I21" i="50" s="1"/>
  <c r="E28" i="50"/>
  <c r="H28" i="50" s="1"/>
  <c r="I28" i="50" s="1"/>
  <c r="E13" i="50"/>
  <c r="H13" i="50" s="1"/>
  <c r="E22" i="50"/>
  <c r="H22" i="50" s="1"/>
  <c r="I22" i="50" s="1"/>
  <c r="E13" i="32"/>
  <c r="E27" i="32"/>
  <c r="H27" i="32"/>
  <c r="I27" i="32" s="1"/>
  <c r="E15" i="32"/>
  <c r="H15" i="32"/>
  <c r="I15" i="32" s="1"/>
  <c r="E16" i="32"/>
  <c r="H16" i="32" s="1"/>
  <c r="I16" i="32" s="1"/>
  <c r="E14" i="32"/>
  <c r="H14" i="32" s="1"/>
  <c r="I14" i="32" s="1"/>
  <c r="E25" i="32"/>
  <c r="H25" i="32"/>
  <c r="I25" i="32" s="1"/>
  <c r="E21" i="32"/>
  <c r="H21" i="32" s="1"/>
  <c r="I21" i="32" s="1"/>
  <c r="E28" i="32"/>
  <c r="H28" i="32" s="1"/>
  <c r="I28" i="32" s="1"/>
  <c r="E17" i="32"/>
  <c r="H17" i="32" s="1"/>
  <c r="E23" i="32"/>
  <c r="H23" i="32" s="1"/>
  <c r="I23" i="32" s="1"/>
  <c r="E20" i="32"/>
  <c r="H20" i="32" s="1"/>
  <c r="E26" i="32"/>
  <c r="H26" i="32" s="1"/>
  <c r="I26" i="32" s="1"/>
  <c r="E18" i="32"/>
  <c r="H18" i="32" s="1"/>
  <c r="I18" i="32" s="1"/>
  <c r="E19" i="32"/>
  <c r="H19" i="32" s="1"/>
  <c r="I19" i="32" s="1"/>
  <c r="H24" i="43"/>
  <c r="I24" i="43" s="1"/>
  <c r="H14" i="25"/>
  <c r="I14" i="25" s="1"/>
  <c r="E19" i="47"/>
  <c r="H19" i="47" s="1"/>
  <c r="I19" i="47" s="1"/>
  <c r="E20" i="47"/>
  <c r="H20" i="47" s="1"/>
  <c r="I20" i="47" s="1"/>
  <c r="H24" i="66"/>
  <c r="I24" i="66" s="1"/>
  <c r="E27" i="70"/>
  <c r="H27" i="70" s="1"/>
  <c r="I27" i="70" s="1"/>
  <c r="E18" i="70"/>
  <c r="H18" i="70" s="1"/>
  <c r="I18" i="70" s="1"/>
  <c r="E25" i="70"/>
  <c r="H25" i="70" s="1"/>
  <c r="I25" i="70" s="1"/>
  <c r="E26" i="70"/>
  <c r="H26" i="70" s="1"/>
  <c r="I26" i="70" s="1"/>
  <c r="E28" i="70"/>
  <c r="H28" i="70" s="1"/>
  <c r="I28" i="70" s="1"/>
  <c r="E22" i="70"/>
  <c r="H22" i="70" s="1"/>
  <c r="I22" i="70" s="1"/>
  <c r="E16" i="70"/>
  <c r="E13" i="70"/>
  <c r="H13" i="70" s="1"/>
  <c r="I13" i="70" s="1"/>
  <c r="E19" i="70"/>
  <c r="H19" i="70" s="1"/>
  <c r="I19" i="70" s="1"/>
  <c r="E23" i="70"/>
  <c r="H23" i="70" s="1"/>
  <c r="I23" i="70" s="1"/>
  <c r="E24" i="70"/>
  <c r="H24" i="70" s="1"/>
  <c r="I24" i="70" s="1"/>
  <c r="E15" i="70"/>
  <c r="H15" i="70" s="1"/>
  <c r="E21" i="70"/>
  <c r="H21" i="70" s="1"/>
  <c r="I21" i="70" s="1"/>
  <c r="E17" i="70"/>
  <c r="H17" i="70" s="1"/>
  <c r="E14" i="70"/>
  <c r="H14" i="70" s="1"/>
  <c r="I14" i="70" s="1"/>
  <c r="E20" i="70"/>
  <c r="H20" i="70" s="1"/>
  <c r="I20" i="70" s="1"/>
  <c r="I53" i="34"/>
  <c r="I56" i="42"/>
  <c r="I53" i="42"/>
  <c r="I53" i="57"/>
  <c r="J14" i="31"/>
  <c r="I56" i="31"/>
  <c r="J18" i="31"/>
  <c r="H18" i="38"/>
  <c r="I18" i="38" s="1"/>
  <c r="T106" i="15"/>
  <c r="E59" i="48"/>
  <c r="I56" i="34"/>
  <c r="T99" i="75"/>
  <c r="U99" i="75" s="1"/>
  <c r="T99" i="67"/>
  <c r="U99" i="67"/>
  <c r="H18" i="77"/>
  <c r="I18" i="77" s="1"/>
  <c r="J16" i="68"/>
  <c r="I13" i="68"/>
  <c r="E59" i="71"/>
  <c r="J18" i="71"/>
  <c r="H18" i="71"/>
  <c r="I18" i="71"/>
  <c r="J16" i="71"/>
  <c r="H18" i="66"/>
  <c r="I18" i="66" s="1"/>
  <c r="E28" i="58"/>
  <c r="H28" i="58" s="1"/>
  <c r="I28" i="58" s="1"/>
  <c r="E17" i="57"/>
  <c r="H17" i="57" s="1"/>
  <c r="E22" i="57"/>
  <c r="H22" i="57" s="1"/>
  <c r="I22" i="57" s="1"/>
  <c r="E18" i="57"/>
  <c r="H18" i="57" s="1"/>
  <c r="I18" i="57" s="1"/>
  <c r="E21" i="57"/>
  <c r="H21" i="57" s="1"/>
  <c r="I21" i="57" s="1"/>
  <c r="E26" i="57"/>
  <c r="H26" i="57" s="1"/>
  <c r="I26" i="57" s="1"/>
  <c r="E27" i="57"/>
  <c r="H27" i="57" s="1"/>
  <c r="I27" i="57" s="1"/>
  <c r="E15" i="57"/>
  <c r="H15" i="57" s="1"/>
  <c r="E24" i="57"/>
  <c r="H24" i="57" s="1"/>
  <c r="I24" i="57" s="1"/>
  <c r="E14" i="57"/>
  <c r="H14" i="57" s="1"/>
  <c r="E28" i="57"/>
  <c r="H28" i="57" s="1"/>
  <c r="I28" i="57" s="1"/>
  <c r="E25" i="57"/>
  <c r="H25" i="57" s="1"/>
  <c r="I25" i="57" s="1"/>
  <c r="E20" i="57"/>
  <c r="H20" i="57" s="1"/>
  <c r="I20" i="57" s="1"/>
  <c r="E16" i="57"/>
  <c r="H16" i="57" s="1"/>
  <c r="I16" i="57" s="1"/>
  <c r="E23" i="57"/>
  <c r="H23" i="57"/>
  <c r="I23" i="57" s="1"/>
  <c r="E20" i="56"/>
  <c r="H20" i="56" s="1"/>
  <c r="I20" i="56" s="1"/>
  <c r="E16" i="56"/>
  <c r="H16" i="56"/>
  <c r="I16" i="56"/>
  <c r="E26" i="56"/>
  <c r="H26" i="56" s="1"/>
  <c r="I26" i="56" s="1"/>
  <c r="E15" i="56"/>
  <c r="H15" i="56" s="1"/>
  <c r="I15" i="56" s="1"/>
  <c r="E17" i="56"/>
  <c r="H17" i="56" s="1"/>
  <c r="I17" i="56" s="1"/>
  <c r="E21" i="56"/>
  <c r="H21" i="56" s="1"/>
  <c r="I21" i="56" s="1"/>
  <c r="E14" i="56"/>
  <c r="E23" i="56"/>
  <c r="H23" i="56" s="1"/>
  <c r="E18" i="56"/>
  <c r="H18" i="56" s="1"/>
  <c r="I18" i="56" s="1"/>
  <c r="E28" i="56"/>
  <c r="H28" i="56" s="1"/>
  <c r="I28" i="56" s="1"/>
  <c r="E19" i="56"/>
  <c r="H19" i="56" s="1"/>
  <c r="I19" i="56" s="1"/>
  <c r="E24" i="56"/>
  <c r="H24" i="56" s="1"/>
  <c r="E25" i="56"/>
  <c r="H25" i="56" s="1"/>
  <c r="I25" i="56" s="1"/>
  <c r="E22" i="56"/>
  <c r="H22" i="56" s="1"/>
  <c r="I22" i="56" s="1"/>
  <c r="E27" i="56"/>
  <c r="H27" i="56" s="1"/>
  <c r="I27" i="56" s="1"/>
  <c r="E13" i="55"/>
  <c r="E19" i="55"/>
  <c r="H19" i="55" s="1"/>
  <c r="I19" i="55" s="1"/>
  <c r="E27" i="55"/>
  <c r="H27" i="55" s="1"/>
  <c r="I27" i="55" s="1"/>
  <c r="E16" i="55"/>
  <c r="E22" i="55"/>
  <c r="H22" i="55" s="1"/>
  <c r="I22" i="55" s="1"/>
  <c r="E20" i="55"/>
  <c r="H20" i="55"/>
  <c r="I20" i="55" s="1"/>
  <c r="E28" i="55"/>
  <c r="H28" i="55" s="1"/>
  <c r="I28" i="55" s="1"/>
  <c r="E18" i="55"/>
  <c r="E17" i="55"/>
  <c r="H17" i="55" s="1"/>
  <c r="E24" i="55"/>
  <c r="H24" i="55"/>
  <c r="I24" i="55" s="1"/>
  <c r="E26" i="55"/>
  <c r="H26" i="55"/>
  <c r="I26" i="55" s="1"/>
  <c r="E15" i="55"/>
  <c r="H15" i="55" s="1"/>
  <c r="E25" i="55"/>
  <c r="H25" i="55" s="1"/>
  <c r="I25" i="55" s="1"/>
  <c r="E14" i="55"/>
  <c r="H14" i="55" s="1"/>
  <c r="I14" i="55" s="1"/>
  <c r="H14" i="76"/>
  <c r="I14" i="76" s="1"/>
  <c r="J14" i="75"/>
  <c r="J14" i="51"/>
  <c r="H14" i="51"/>
  <c r="C89" i="51" s="1"/>
  <c r="H89" i="51" s="1"/>
  <c r="H16" i="50"/>
  <c r="I16" i="50" s="1"/>
  <c r="H14" i="50"/>
  <c r="I14" i="50" s="1"/>
  <c r="J16" i="48"/>
  <c r="J14" i="48"/>
  <c r="H16" i="48"/>
  <c r="I16" i="48" s="1"/>
  <c r="J18" i="48"/>
  <c r="E59" i="47"/>
  <c r="E28" i="47"/>
  <c r="H28" i="47" s="1"/>
  <c r="I28" i="47" s="1"/>
  <c r="E23" i="47"/>
  <c r="H23" i="47" s="1"/>
  <c r="E25" i="47"/>
  <c r="H25" i="47" s="1"/>
  <c r="I25" i="47" s="1"/>
  <c r="E15" i="47"/>
  <c r="H15" i="47"/>
  <c r="I15" i="47" s="1"/>
  <c r="E26" i="47"/>
  <c r="H26" i="47" s="1"/>
  <c r="I26" i="47" s="1"/>
  <c r="E22" i="47"/>
  <c r="H22" i="47" s="1"/>
  <c r="E16" i="47"/>
  <c r="E21" i="47"/>
  <c r="H21" i="47" s="1"/>
  <c r="I21" i="47" s="1"/>
  <c r="E17" i="47"/>
  <c r="E24" i="47"/>
  <c r="H24" i="47" s="1"/>
  <c r="I24" i="47" s="1"/>
  <c r="E14" i="47"/>
  <c r="E27" i="47"/>
  <c r="H27" i="47" s="1"/>
  <c r="I27" i="47" s="1"/>
  <c r="E18" i="47"/>
  <c r="H18" i="47" s="1"/>
  <c r="I18" i="47" s="1"/>
  <c r="I50" i="45"/>
  <c r="H18" i="45"/>
  <c r="I18" i="45" s="1"/>
  <c r="H17" i="44"/>
  <c r="I17" i="44" s="1"/>
  <c r="H18" i="44"/>
  <c r="I18" i="44" s="1"/>
  <c r="H18" i="40"/>
  <c r="I18" i="40" s="1"/>
  <c r="H23" i="39"/>
  <c r="I23" i="39" s="1"/>
  <c r="E28" i="23"/>
  <c r="H28" i="23" s="1"/>
  <c r="I28" i="23" s="1"/>
  <c r="E16" i="23"/>
  <c r="E22" i="23"/>
  <c r="H22" i="23" s="1"/>
  <c r="I22" i="23" s="1"/>
  <c r="E13" i="23"/>
  <c r="H13" i="23" s="1"/>
  <c r="I13" i="23" s="1"/>
  <c r="E27" i="23"/>
  <c r="H27" i="23" s="1"/>
  <c r="I27" i="23" s="1"/>
  <c r="E14" i="23"/>
  <c r="E24" i="23"/>
  <c r="H24" i="23"/>
  <c r="I24" i="23" s="1"/>
  <c r="E23" i="23"/>
  <c r="H23" i="23"/>
  <c r="I23" i="23" s="1"/>
  <c r="E19" i="23"/>
  <c r="H19" i="23" s="1"/>
  <c r="E15" i="23"/>
  <c r="H15" i="23" s="1"/>
  <c r="E18" i="23"/>
  <c r="E21" i="23"/>
  <c r="H21" i="23" s="1"/>
  <c r="I21" i="23" s="1"/>
  <c r="E26" i="23"/>
  <c r="H26" i="23" s="1"/>
  <c r="I26" i="23" s="1"/>
  <c r="E27" i="35"/>
  <c r="H27" i="35" s="1"/>
  <c r="I27" i="35" s="1"/>
  <c r="E25" i="35"/>
  <c r="H25" i="35" s="1"/>
  <c r="I25" i="35" s="1"/>
  <c r="E24" i="35"/>
  <c r="H24" i="35" s="1"/>
  <c r="I24" i="35" s="1"/>
  <c r="E13" i="35"/>
  <c r="H13" i="35" s="1"/>
  <c r="E19" i="35"/>
  <c r="H19" i="35" s="1"/>
  <c r="I19" i="35" s="1"/>
  <c r="E18" i="35"/>
  <c r="H18" i="35" s="1"/>
  <c r="I18" i="35" s="1"/>
  <c r="E20" i="35"/>
  <c r="H20" i="35" s="1"/>
  <c r="I20" i="35" s="1"/>
  <c r="E16" i="35"/>
  <c r="H16" i="35" s="1"/>
  <c r="I16" i="35" s="1"/>
  <c r="E21" i="35"/>
  <c r="H21" i="35" s="1"/>
  <c r="I21" i="35" s="1"/>
  <c r="E17" i="35"/>
  <c r="H17" i="35" s="1"/>
  <c r="E15" i="35"/>
  <c r="H15" i="35" s="1"/>
  <c r="E28" i="35"/>
  <c r="H28" i="35" s="1"/>
  <c r="I28" i="35" s="1"/>
  <c r="E22" i="35"/>
  <c r="H22" i="35" s="1"/>
  <c r="I22" i="35" s="1"/>
  <c r="E23" i="35"/>
  <c r="H23" i="35" s="1"/>
  <c r="I23" i="35" s="1"/>
  <c r="J18" i="34"/>
  <c r="H18" i="34"/>
  <c r="I18" i="34"/>
  <c r="H13" i="34"/>
  <c r="I13" i="34" s="1"/>
  <c r="I21" i="34"/>
  <c r="E28" i="33"/>
  <c r="H28" i="33"/>
  <c r="I28" i="33" s="1"/>
  <c r="E13" i="33"/>
  <c r="H13" i="33" s="1"/>
  <c r="E25" i="33"/>
  <c r="H25" i="33" s="1"/>
  <c r="I25" i="33" s="1"/>
  <c r="E19" i="33"/>
  <c r="H19" i="33" s="1"/>
  <c r="I19" i="33" s="1"/>
  <c r="E14" i="33"/>
  <c r="E27" i="33"/>
  <c r="H27" i="33" s="1"/>
  <c r="I27" i="33" s="1"/>
  <c r="E18" i="33"/>
  <c r="H18" i="33" s="1"/>
  <c r="I18" i="33" s="1"/>
  <c r="E17" i="33"/>
  <c r="H17" i="33" s="1"/>
  <c r="I17" i="33" s="1"/>
  <c r="E23" i="33"/>
  <c r="H23" i="33" s="1"/>
  <c r="I23" i="33" s="1"/>
  <c r="E20" i="33"/>
  <c r="H20" i="33" s="1"/>
  <c r="E15" i="33"/>
  <c r="H15" i="33" s="1"/>
  <c r="I15" i="33" s="1"/>
  <c r="E26" i="33"/>
  <c r="H26" i="33" s="1"/>
  <c r="I26" i="33" s="1"/>
  <c r="E22" i="33"/>
  <c r="H22" i="33" s="1"/>
  <c r="I22" i="33" s="1"/>
  <c r="E21" i="33"/>
  <c r="H21" i="33" s="1"/>
  <c r="I21" i="33" s="1"/>
  <c r="C90" i="31"/>
  <c r="H90" i="31" s="1"/>
  <c r="I13" i="31"/>
  <c r="C91" i="31"/>
  <c r="H91" i="31"/>
  <c r="J16" i="31"/>
  <c r="E25" i="28"/>
  <c r="H25" i="28" s="1"/>
  <c r="I25" i="28" s="1"/>
  <c r="E26" i="28"/>
  <c r="H26" i="28" s="1"/>
  <c r="I26" i="28" s="1"/>
  <c r="E14" i="28"/>
  <c r="H14" i="28" s="1"/>
  <c r="I14" i="28" s="1"/>
  <c r="E16" i="28"/>
  <c r="E22" i="28"/>
  <c r="H22" i="28" s="1"/>
  <c r="I22" i="28" s="1"/>
  <c r="E19" i="28"/>
  <c r="H19" i="28"/>
  <c r="I19" i="28" s="1"/>
  <c r="E17" i="28"/>
  <c r="H17" i="28" s="1"/>
  <c r="E20" i="28"/>
  <c r="H20" i="28" s="1"/>
  <c r="I20" i="28" s="1"/>
  <c r="E24" i="28"/>
  <c r="H24" i="28" s="1"/>
  <c r="I24" i="28" s="1"/>
  <c r="E13" i="28"/>
  <c r="H13" i="28" s="1"/>
  <c r="I13" i="28" s="1"/>
  <c r="E28" i="28"/>
  <c r="H28" i="28" s="1"/>
  <c r="I28" i="28" s="1"/>
  <c r="I56" i="26"/>
  <c r="J18" i="26"/>
  <c r="E29" i="26"/>
  <c r="H116" i="26" s="1"/>
  <c r="H16" i="26"/>
  <c r="I16" i="26"/>
  <c r="H14" i="26"/>
  <c r="I14" i="26" s="1"/>
  <c r="I59" i="22"/>
  <c r="E59" i="22"/>
  <c r="J14" i="22"/>
  <c r="I50" i="24"/>
  <c r="H13" i="24"/>
  <c r="I13" i="24" s="1"/>
  <c r="J14" i="24"/>
  <c r="J18" i="25"/>
  <c r="H18" i="25"/>
  <c r="I18" i="25" s="1"/>
  <c r="H13" i="25"/>
  <c r="E106" i="21"/>
  <c r="I106" i="21" s="1"/>
  <c r="E108" i="21"/>
  <c r="I108" i="21" s="1"/>
  <c r="E54" i="21"/>
  <c r="I54" i="21" s="1"/>
  <c r="E51" i="21"/>
  <c r="I51" i="21" s="1"/>
  <c r="E55" i="21"/>
  <c r="I55" i="21" s="1"/>
  <c r="E57" i="21"/>
  <c r="I57" i="21" s="1"/>
  <c r="E58" i="21"/>
  <c r="I58" i="21" s="1"/>
  <c r="E50" i="21"/>
  <c r="E53" i="21"/>
  <c r="E52" i="21"/>
  <c r="I52" i="21" s="1"/>
  <c r="H18" i="21"/>
  <c r="I18" i="21" s="1"/>
  <c r="H16" i="20"/>
  <c r="I16" i="20" s="1"/>
  <c r="I15" i="20"/>
  <c r="H23" i="20"/>
  <c r="I23" i="20" s="1"/>
  <c r="J14" i="18"/>
  <c r="I50" i="16"/>
  <c r="I18" i="16"/>
  <c r="E51" i="15"/>
  <c r="I51" i="15" s="1"/>
  <c r="E54" i="15"/>
  <c r="I54" i="15" s="1"/>
  <c r="E52" i="15"/>
  <c r="I52" i="15" s="1"/>
  <c r="E107" i="15"/>
  <c r="E58" i="15"/>
  <c r="I58" i="15" s="1"/>
  <c r="E106" i="15"/>
  <c r="I106" i="15" s="1"/>
  <c r="E50" i="15"/>
  <c r="J16" i="15"/>
  <c r="E55" i="15"/>
  <c r="I55" i="15" s="1"/>
  <c r="I13" i="15"/>
  <c r="H16" i="15"/>
  <c r="I16" i="15"/>
  <c r="E51" i="7"/>
  <c r="I51" i="7" s="1"/>
  <c r="E108" i="7"/>
  <c r="E58" i="7"/>
  <c r="E107" i="7"/>
  <c r="I107" i="7" s="1"/>
  <c r="E106" i="7"/>
  <c r="I106" i="7" s="1"/>
  <c r="E52" i="7"/>
  <c r="I52" i="7" s="1"/>
  <c r="E55" i="7"/>
  <c r="I55" i="7" s="1"/>
  <c r="E54" i="7"/>
  <c r="I54" i="7" s="1"/>
  <c r="E53" i="7"/>
  <c r="I53" i="7" s="1"/>
  <c r="E50" i="7"/>
  <c r="E57" i="7"/>
  <c r="I57" i="7" s="1"/>
  <c r="H14" i="7"/>
  <c r="I14" i="7" s="1"/>
  <c r="H14" i="56"/>
  <c r="J18" i="55"/>
  <c r="H18" i="55"/>
  <c r="I18" i="55" s="1"/>
  <c r="H13" i="55"/>
  <c r="I14" i="51"/>
  <c r="H14" i="47"/>
  <c r="J14" i="47"/>
  <c r="H16" i="47"/>
  <c r="I16" i="47" s="1"/>
  <c r="J16" i="47"/>
  <c r="H14" i="23"/>
  <c r="I14" i="23" s="1"/>
  <c r="H16" i="23"/>
  <c r="I16" i="23" s="1"/>
  <c r="H18" i="23"/>
  <c r="I18" i="23" s="1"/>
  <c r="H14" i="33"/>
  <c r="I14" i="33" s="1"/>
  <c r="J16" i="28"/>
  <c r="H16" i="28"/>
  <c r="I13" i="25"/>
  <c r="I50" i="21"/>
  <c r="I50" i="15"/>
  <c r="J14" i="15"/>
  <c r="I50" i="7"/>
  <c r="I58" i="7"/>
  <c r="I14" i="47"/>
  <c r="I16" i="28"/>
  <c r="I99" i="36"/>
  <c r="I99" i="51"/>
  <c r="I99" i="43"/>
  <c r="I99" i="32"/>
  <c r="I99" i="60" s="1"/>
  <c r="T99" i="52"/>
  <c r="U99" i="52" s="1"/>
  <c r="T98" i="32"/>
  <c r="I98" i="22"/>
  <c r="I98" i="47"/>
  <c r="I98" i="50"/>
  <c r="T98" i="45"/>
  <c r="T62" i="58"/>
  <c r="T62" i="52"/>
  <c r="T62" i="24"/>
  <c r="E106" i="78"/>
  <c r="I106" i="78" s="1"/>
  <c r="I109" i="78" s="1"/>
  <c r="E51" i="78"/>
  <c r="I51" i="78" s="1"/>
  <c r="E56" i="78"/>
  <c r="E107" i="78"/>
  <c r="I107" i="78" s="1"/>
  <c r="E52" i="78"/>
  <c r="I52" i="78" s="1"/>
  <c r="E54" i="78"/>
  <c r="I54" i="78" s="1"/>
  <c r="E108" i="78"/>
  <c r="I108" i="78"/>
  <c r="E57" i="78"/>
  <c r="I57" i="78" s="1"/>
  <c r="E58" i="78"/>
  <c r="I58" i="78" s="1"/>
  <c r="E55" i="78"/>
  <c r="I55" i="78" s="1"/>
  <c r="E50" i="78"/>
  <c r="I50" i="78" s="1"/>
  <c r="E59" i="77"/>
  <c r="J18" i="77"/>
  <c r="I55" i="66"/>
  <c r="J18" i="66"/>
  <c r="J14" i="56"/>
  <c r="I53" i="52"/>
  <c r="I57" i="52"/>
  <c r="J16" i="51"/>
  <c r="I53" i="51"/>
  <c r="J14" i="44"/>
  <c r="E55" i="39"/>
  <c r="I55" i="39" s="1"/>
  <c r="E54" i="39"/>
  <c r="I54" i="39" s="1"/>
  <c r="E106" i="39"/>
  <c r="I106" i="39" s="1"/>
  <c r="E50" i="39"/>
  <c r="I50" i="39" s="1"/>
  <c r="E53" i="39"/>
  <c r="E108" i="39"/>
  <c r="I108" i="39" s="1"/>
  <c r="E51" i="39"/>
  <c r="I51" i="39" s="1"/>
  <c r="E57" i="39"/>
  <c r="I57" i="39" s="1"/>
  <c r="E58" i="39"/>
  <c r="I58" i="39" s="1"/>
  <c r="E107" i="39"/>
  <c r="I107" i="39" s="1"/>
  <c r="E56" i="39"/>
  <c r="I56" i="39" s="1"/>
  <c r="J14" i="38"/>
  <c r="E55" i="37"/>
  <c r="I55" i="37"/>
  <c r="E56" i="37"/>
  <c r="E106" i="37"/>
  <c r="I106" i="37" s="1"/>
  <c r="E52" i="37"/>
  <c r="I52" i="37" s="1"/>
  <c r="E108" i="37"/>
  <c r="I108" i="37" s="1"/>
  <c r="E53" i="37"/>
  <c r="I53" i="37" s="1"/>
  <c r="E50" i="37"/>
  <c r="I50" i="37" s="1"/>
  <c r="E59" i="27"/>
  <c r="J18" i="27"/>
  <c r="J16" i="26"/>
  <c r="J14" i="26"/>
  <c r="I59" i="24"/>
  <c r="I53" i="17"/>
  <c r="E50" i="17"/>
  <c r="I50" i="17" s="1"/>
  <c r="E55" i="17"/>
  <c r="I55" i="17" s="1"/>
  <c r="E57" i="17"/>
  <c r="I57" i="17" s="1"/>
  <c r="E107" i="17"/>
  <c r="I107" i="17" s="1"/>
  <c r="E52" i="17"/>
  <c r="E56" i="17"/>
  <c r="J18" i="17" s="1"/>
  <c r="E108" i="17"/>
  <c r="E54" i="17"/>
  <c r="I54" i="17" s="1"/>
  <c r="E106" i="17"/>
  <c r="I106" i="17" s="1"/>
  <c r="I56" i="7"/>
  <c r="I56" i="78"/>
  <c r="I53" i="39"/>
  <c r="I52" i="17"/>
  <c r="I108" i="17"/>
  <c r="R84" i="71"/>
  <c r="R84" i="57"/>
  <c r="R84" i="51"/>
  <c r="R84" i="43"/>
  <c r="R84" i="36"/>
  <c r="R84" i="31"/>
  <c r="R84" i="17"/>
  <c r="I83" i="30"/>
  <c r="I83" i="60" s="1"/>
  <c r="I18" i="27"/>
  <c r="I59" i="71"/>
  <c r="I43" i="57"/>
  <c r="I43" i="48"/>
  <c r="P89" i="34"/>
  <c r="T52" i="66"/>
  <c r="U52" i="66" s="1"/>
  <c r="U59" i="66" s="1"/>
  <c r="P90" i="70"/>
  <c r="I23" i="31"/>
  <c r="T108" i="26"/>
  <c r="I108" i="26"/>
  <c r="I108" i="58"/>
  <c r="T108" i="58"/>
  <c r="R107" i="77"/>
  <c r="I106" i="45"/>
  <c r="I109" i="45" s="1"/>
  <c r="I109" i="51"/>
  <c r="I107" i="15"/>
  <c r="T107" i="35"/>
  <c r="I107" i="35"/>
  <c r="I109" i="35" s="1"/>
  <c r="I107" i="38"/>
  <c r="T108" i="43"/>
  <c r="H108" i="70"/>
  <c r="T106" i="70"/>
  <c r="T107" i="31"/>
  <c r="I107" i="31"/>
  <c r="I106" i="47"/>
  <c r="H108" i="47"/>
  <c r="T108" i="47" s="1"/>
  <c r="T106" i="47"/>
  <c r="I108" i="32"/>
  <c r="T108" i="32"/>
  <c r="T108" i="15"/>
  <c r="I108" i="28"/>
  <c r="T108" i="28"/>
  <c r="H108" i="57"/>
  <c r="T108" i="57" s="1"/>
  <c r="I106" i="57"/>
  <c r="R107" i="28"/>
  <c r="T108" i="76"/>
  <c r="T108" i="42"/>
  <c r="T107" i="21"/>
  <c r="I107" i="21"/>
  <c r="I107" i="28"/>
  <c r="I109" i="28"/>
  <c r="T107" i="28"/>
  <c r="I109" i="69"/>
  <c r="I107" i="27"/>
  <c r="T107" i="27"/>
  <c r="R107" i="40"/>
  <c r="T108" i="48"/>
  <c r="I108" i="48"/>
  <c r="I109" i="29"/>
  <c r="T107" i="32"/>
  <c r="I107" i="32"/>
  <c r="T108" i="34"/>
  <c r="T108" i="75"/>
  <c r="I107" i="36"/>
  <c r="I107" i="48"/>
  <c r="I109" i="48" s="1"/>
  <c r="T107" i="48"/>
  <c r="T108" i="77"/>
  <c r="I108" i="36"/>
  <c r="I108" i="47"/>
  <c r="T108" i="70"/>
  <c r="J16" i="18"/>
  <c r="I54" i="18"/>
  <c r="E59" i="18"/>
  <c r="I59" i="18"/>
  <c r="C43" i="60" l="1"/>
  <c r="E98" i="60"/>
  <c r="F479" i="64"/>
  <c r="G479" i="64" s="1"/>
  <c r="F494" i="64"/>
  <c r="G494" i="64" s="1"/>
  <c r="F491" i="64"/>
  <c r="G491" i="64" s="1"/>
  <c r="F478" i="64"/>
  <c r="G478" i="64" s="1"/>
  <c r="F480" i="64"/>
  <c r="G480" i="64" s="1"/>
  <c r="F490" i="64"/>
  <c r="G490" i="64" s="1"/>
  <c r="F492" i="64"/>
  <c r="G492" i="64" s="1"/>
  <c r="F489" i="64"/>
  <c r="G489" i="64" s="1"/>
  <c r="F483" i="64"/>
  <c r="G483" i="64" s="1"/>
  <c r="F475" i="64"/>
  <c r="F486" i="64"/>
  <c r="G486" i="64" s="1"/>
  <c r="F481" i="64"/>
  <c r="G481" i="64" s="1"/>
  <c r="F484" i="64"/>
  <c r="G484" i="64" s="1"/>
  <c r="F487" i="64"/>
  <c r="G487" i="64" s="1"/>
  <c r="F482" i="64"/>
  <c r="G482" i="64" s="1"/>
  <c r="F488" i="64"/>
  <c r="G488" i="64" s="1"/>
  <c r="F493" i="64"/>
  <c r="G493" i="64" s="1"/>
  <c r="F476" i="64"/>
  <c r="G476" i="64" s="1"/>
  <c r="F485" i="64"/>
  <c r="G485" i="64" s="1"/>
  <c r="I98" i="15"/>
  <c r="T98" i="24"/>
  <c r="T98" i="77"/>
  <c r="T98" i="76"/>
  <c r="I98" i="60"/>
  <c r="T98" i="38"/>
  <c r="I29" i="31"/>
  <c r="I43" i="21"/>
  <c r="H79" i="31"/>
  <c r="I79" i="31" s="1"/>
  <c r="H82" i="31"/>
  <c r="I82" i="31" s="1"/>
  <c r="H80" i="31"/>
  <c r="I80" i="31" s="1"/>
  <c r="H81" i="31"/>
  <c r="I81" i="31" s="1"/>
  <c r="P107" i="26"/>
  <c r="U107" i="26" s="1"/>
  <c r="P13" i="26"/>
  <c r="T13" i="26" s="1"/>
  <c r="U13" i="26" s="1"/>
  <c r="P20" i="26"/>
  <c r="T20" i="26" s="1"/>
  <c r="U20" i="26" s="1"/>
  <c r="P17" i="26"/>
  <c r="T17" i="26" s="1"/>
  <c r="P24" i="26"/>
  <c r="T24" i="26" s="1"/>
  <c r="U24" i="26" s="1"/>
  <c r="P25" i="26"/>
  <c r="T25" i="26" s="1"/>
  <c r="U25" i="26" s="1"/>
  <c r="P14" i="26"/>
  <c r="T14" i="26" s="1"/>
  <c r="U74" i="26"/>
  <c r="P18" i="26"/>
  <c r="T18" i="26" s="1"/>
  <c r="U18" i="26" s="1"/>
  <c r="P19" i="26"/>
  <c r="T19" i="26" s="1"/>
  <c r="U19" i="26" s="1"/>
  <c r="U112" i="26"/>
  <c r="P23" i="26"/>
  <c r="T23" i="26" s="1"/>
  <c r="U23" i="26" s="1"/>
  <c r="P16" i="26"/>
  <c r="T16" i="26" s="1"/>
  <c r="P38" i="26"/>
  <c r="U38" i="26" s="1"/>
  <c r="P26" i="26"/>
  <c r="T26" i="26" s="1"/>
  <c r="U26" i="26" s="1"/>
  <c r="U111" i="26"/>
  <c r="P106" i="26"/>
  <c r="U106" i="26" s="1"/>
  <c r="P108" i="26"/>
  <c r="U108" i="26" s="1"/>
  <c r="P15" i="26"/>
  <c r="T15" i="26" s="1"/>
  <c r="U15" i="26" s="1"/>
  <c r="P98" i="26"/>
  <c r="U98" i="26" s="1"/>
  <c r="U83" i="26"/>
  <c r="P21" i="26"/>
  <c r="T21" i="26" s="1"/>
  <c r="U21" i="26" s="1"/>
  <c r="P22" i="26"/>
  <c r="T22" i="26" s="1"/>
  <c r="U22" i="26" s="1"/>
  <c r="P28" i="26"/>
  <c r="T28" i="26" s="1"/>
  <c r="U28" i="26" s="1"/>
  <c r="P27" i="26"/>
  <c r="T27" i="26" s="1"/>
  <c r="U27" i="26" s="1"/>
  <c r="U75" i="26"/>
  <c r="J16" i="32"/>
  <c r="J16" i="22"/>
  <c r="J18" i="32"/>
  <c r="E29" i="55"/>
  <c r="H116" i="55" s="1"/>
  <c r="E59" i="31"/>
  <c r="J16" i="66"/>
  <c r="I109" i="34"/>
  <c r="I43" i="32"/>
  <c r="I43" i="50"/>
  <c r="I41" i="45"/>
  <c r="I43" i="45" s="1"/>
  <c r="E43" i="45"/>
  <c r="P89" i="42"/>
  <c r="P91" i="42"/>
  <c r="U59" i="23"/>
  <c r="P90" i="51"/>
  <c r="P89" i="51"/>
  <c r="P91" i="51"/>
  <c r="P91" i="30"/>
  <c r="P90" i="30"/>
  <c r="P89" i="30"/>
  <c r="J16" i="39"/>
  <c r="C89" i="55"/>
  <c r="H89" i="55" s="1"/>
  <c r="E59" i="29"/>
  <c r="E29" i="32"/>
  <c r="H116" i="32" s="1"/>
  <c r="I109" i="44"/>
  <c r="I43" i="15"/>
  <c r="E43" i="30"/>
  <c r="I38" i="30"/>
  <c r="I43" i="30" s="1"/>
  <c r="E59" i="26"/>
  <c r="I43" i="25"/>
  <c r="U59" i="42"/>
  <c r="I43" i="35"/>
  <c r="U59" i="16"/>
  <c r="I108" i="18"/>
  <c r="I109" i="18" s="1"/>
  <c r="I109" i="25"/>
  <c r="E43" i="18"/>
  <c r="I37" i="18"/>
  <c r="I109" i="47"/>
  <c r="P91" i="31"/>
  <c r="P89" i="31"/>
  <c r="P90" i="31"/>
  <c r="J14" i="21"/>
  <c r="I109" i="21"/>
  <c r="E43" i="21"/>
  <c r="I39" i="21"/>
  <c r="I41" i="77"/>
  <c r="I43" i="77" s="1"/>
  <c r="E43" i="77"/>
  <c r="T108" i="40"/>
  <c r="I108" i="40"/>
  <c r="P91" i="48"/>
  <c r="P89" i="48"/>
  <c r="I43" i="31"/>
  <c r="I45" i="31" s="1"/>
  <c r="P89" i="38"/>
  <c r="P91" i="38"/>
  <c r="P90" i="38"/>
  <c r="I42" i="56"/>
  <c r="I43" i="56" s="1"/>
  <c r="E43" i="56"/>
  <c r="I43" i="58"/>
  <c r="I108" i="67"/>
  <c r="T108" i="67"/>
  <c r="I38" i="18"/>
  <c r="I41" i="18"/>
  <c r="E41" i="60"/>
  <c r="J16" i="17"/>
  <c r="I109" i="37"/>
  <c r="J16" i="57"/>
  <c r="E29" i="31"/>
  <c r="J16" i="42"/>
  <c r="I37" i="38"/>
  <c r="I43" i="38" s="1"/>
  <c r="E43" i="38"/>
  <c r="P89" i="35"/>
  <c r="P91" i="35"/>
  <c r="I56" i="17"/>
  <c r="J18" i="37"/>
  <c r="C89" i="31"/>
  <c r="J16" i="34"/>
  <c r="E43" i="7"/>
  <c r="E40" i="60"/>
  <c r="E43" i="22"/>
  <c r="E59" i="32"/>
  <c r="I108" i="33"/>
  <c r="E59" i="20"/>
  <c r="I53" i="20"/>
  <c r="I59" i="20" s="1"/>
  <c r="I43" i="27"/>
  <c r="U59" i="35"/>
  <c r="U59" i="27"/>
  <c r="U59" i="17"/>
  <c r="U59" i="77"/>
  <c r="I42" i="40"/>
  <c r="I37" i="40"/>
  <c r="I43" i="40" s="1"/>
  <c r="T8" i="40"/>
  <c r="E91" i="40"/>
  <c r="E89" i="40"/>
  <c r="I41" i="40"/>
  <c r="I38" i="40"/>
  <c r="E90" i="40"/>
  <c r="C62" i="26"/>
  <c r="H63" i="26" s="1"/>
  <c r="H77" i="26" s="1"/>
  <c r="I77" i="26" s="1"/>
  <c r="J18" i="42"/>
  <c r="I109" i="16"/>
  <c r="P89" i="20"/>
  <c r="I42" i="42"/>
  <c r="I43" i="42" s="1"/>
  <c r="E43" i="42"/>
  <c r="U59" i="31"/>
  <c r="I39" i="37"/>
  <c r="I43" i="37" s="1"/>
  <c r="E43" i="37"/>
  <c r="U59" i="68"/>
  <c r="I43" i="36"/>
  <c r="U59" i="38"/>
  <c r="I108" i="57"/>
  <c r="I109" i="57" s="1"/>
  <c r="I109" i="17"/>
  <c r="I41" i="7"/>
  <c r="T108" i="25"/>
  <c r="E59" i="17"/>
  <c r="J18" i="24"/>
  <c r="E59" i="51"/>
  <c r="I56" i="51"/>
  <c r="I59" i="51" s="1"/>
  <c r="E29" i="17"/>
  <c r="I38" i="24"/>
  <c r="I43" i="24" s="1"/>
  <c r="E43" i="24"/>
  <c r="P89" i="43"/>
  <c r="I40" i="60"/>
  <c r="I59" i="29"/>
  <c r="E43" i="78"/>
  <c r="I39" i="78"/>
  <c r="I43" i="78" s="1"/>
  <c r="P90" i="78"/>
  <c r="P91" i="78"/>
  <c r="U59" i="24"/>
  <c r="I107" i="25"/>
  <c r="E40" i="26"/>
  <c r="I40" i="26" s="1"/>
  <c r="E37" i="26"/>
  <c r="E42" i="26"/>
  <c r="E39" i="26"/>
  <c r="E41" i="26"/>
  <c r="I41" i="26" s="1"/>
  <c r="E38" i="26"/>
  <c r="I38" i="26" s="1"/>
  <c r="T57" i="26"/>
  <c r="U57" i="26" s="1"/>
  <c r="U59" i="26" s="1"/>
  <c r="I57" i="26"/>
  <c r="I59" i="26" s="1"/>
  <c r="I107" i="26"/>
  <c r="I109" i="26" s="1"/>
  <c r="P90" i="39"/>
  <c r="E59" i="25"/>
  <c r="I109" i="27"/>
  <c r="I27" i="40"/>
  <c r="I23" i="18"/>
  <c r="E99" i="60"/>
  <c r="I19" i="40"/>
  <c r="H17" i="34"/>
  <c r="J18" i="47"/>
  <c r="I14" i="18"/>
  <c r="I109" i="56"/>
  <c r="I23" i="40"/>
  <c r="I20" i="40"/>
  <c r="I109" i="32"/>
  <c r="I26" i="18"/>
  <c r="I26" i="40"/>
  <c r="H19" i="27"/>
  <c r="I19" i="27" s="1"/>
  <c r="H108" i="7"/>
  <c r="I24" i="18"/>
  <c r="I52" i="75"/>
  <c r="I14" i="40"/>
  <c r="I107" i="67"/>
  <c r="I109" i="67" s="1"/>
  <c r="I108" i="52"/>
  <c r="I16" i="18"/>
  <c r="P89" i="39"/>
  <c r="I15" i="18"/>
  <c r="J14" i="71"/>
  <c r="I28" i="18"/>
  <c r="P89" i="26"/>
  <c r="I23" i="21"/>
  <c r="E38" i="28"/>
  <c r="I109" i="38"/>
  <c r="J16" i="45"/>
  <c r="I25" i="18"/>
  <c r="I109" i="36"/>
  <c r="J16" i="20"/>
  <c r="U59" i="25"/>
  <c r="E42" i="47"/>
  <c r="I17" i="39"/>
  <c r="H28" i="20"/>
  <c r="I28" i="20" s="1"/>
  <c r="I22" i="40"/>
  <c r="I22" i="18"/>
  <c r="I109" i="58"/>
  <c r="E59" i="36"/>
  <c r="P90" i="77"/>
  <c r="H19" i="26"/>
  <c r="I19" i="26" s="1"/>
  <c r="H18" i="28"/>
  <c r="I18" i="28" s="1"/>
  <c r="I16" i="21"/>
  <c r="E39" i="28"/>
  <c r="I39" i="28" s="1"/>
  <c r="I38" i="20"/>
  <c r="I43" i="20" s="1"/>
  <c r="H22" i="24"/>
  <c r="I22" i="24" s="1"/>
  <c r="I28" i="40"/>
  <c r="I21" i="18"/>
  <c r="P89" i="77"/>
  <c r="I21" i="40"/>
  <c r="I27" i="18"/>
  <c r="U59" i="18"/>
  <c r="E38" i="17"/>
  <c r="E37" i="17"/>
  <c r="I109" i="42"/>
  <c r="I109" i="50"/>
  <c r="H24" i="40"/>
  <c r="I24" i="40" s="1"/>
  <c r="I109" i="40"/>
  <c r="T98" i="51"/>
  <c r="J18" i="52"/>
  <c r="I107" i="24"/>
  <c r="I109" i="24" s="1"/>
  <c r="U77" i="15"/>
  <c r="I107" i="20"/>
  <c r="I109" i="20" s="1"/>
  <c r="E29" i="34"/>
  <c r="H116" i="34" s="1"/>
  <c r="P22" i="34" s="1"/>
  <c r="T22" i="34" s="1"/>
  <c r="U22" i="34" s="1"/>
  <c r="I107" i="71"/>
  <c r="I109" i="71" s="1"/>
  <c r="I24" i="27"/>
  <c r="U77" i="52"/>
  <c r="U77" i="24"/>
  <c r="I57" i="31"/>
  <c r="I59" i="31" s="1"/>
  <c r="I28" i="27"/>
  <c r="E19" i="57"/>
  <c r="H19" i="57" s="1"/>
  <c r="I19" i="57" s="1"/>
  <c r="E13" i="57"/>
  <c r="I108" i="55"/>
  <c r="U59" i="76"/>
  <c r="H21" i="27"/>
  <c r="I21" i="27" s="1"/>
  <c r="U78" i="40"/>
  <c r="H23" i="28"/>
  <c r="I23" i="28" s="1"/>
  <c r="H23" i="15"/>
  <c r="I23" i="15" s="1"/>
  <c r="U78" i="56"/>
  <c r="U78" i="48"/>
  <c r="H24" i="51"/>
  <c r="I24" i="51" s="1"/>
  <c r="I25" i="27"/>
  <c r="H14" i="75"/>
  <c r="I14" i="75" s="1"/>
  <c r="H24" i="71"/>
  <c r="I24" i="71" s="1"/>
  <c r="H22" i="37"/>
  <c r="I22" i="37" s="1"/>
  <c r="E13" i="30"/>
  <c r="H13" i="30" s="1"/>
  <c r="I13" i="30" s="1"/>
  <c r="I58" i="43"/>
  <c r="H27" i="36"/>
  <c r="I27" i="36" s="1"/>
  <c r="H19" i="69"/>
  <c r="I19" i="69" s="1"/>
  <c r="H20" i="23"/>
  <c r="I20" i="23" s="1"/>
  <c r="I53" i="78"/>
  <c r="I108" i="76"/>
  <c r="H26" i="35"/>
  <c r="I26" i="35" s="1"/>
  <c r="H21" i="22"/>
  <c r="I21" i="22" s="1"/>
  <c r="E20" i="30"/>
  <c r="H20" i="30" s="1"/>
  <c r="I20" i="30" s="1"/>
  <c r="I108" i="75"/>
  <c r="I109" i="75" s="1"/>
  <c r="I52" i="39"/>
  <c r="T99" i="78"/>
  <c r="U99" i="78" s="1"/>
  <c r="H15" i="66"/>
  <c r="I15" i="66" s="1"/>
  <c r="H13" i="47"/>
  <c r="I13" i="47" s="1"/>
  <c r="H23" i="24"/>
  <c r="I23" i="24" s="1"/>
  <c r="E19" i="30"/>
  <c r="H19" i="30" s="1"/>
  <c r="I19" i="30" s="1"/>
  <c r="H24" i="58"/>
  <c r="I24" i="58" s="1"/>
  <c r="E18" i="30"/>
  <c r="H18" i="30" s="1"/>
  <c r="I18" i="30" s="1"/>
  <c r="H26" i="44"/>
  <c r="I26" i="44" s="1"/>
  <c r="H24" i="33"/>
  <c r="I24" i="33" s="1"/>
  <c r="E59" i="67"/>
  <c r="I54" i="35"/>
  <c r="E15" i="30"/>
  <c r="H15" i="30" s="1"/>
  <c r="I53" i="70"/>
  <c r="I108" i="23"/>
  <c r="H13" i="56"/>
  <c r="I13" i="56" s="1"/>
  <c r="H18" i="18"/>
  <c r="I18" i="18" s="1"/>
  <c r="I58" i="57"/>
  <c r="H21" i="55"/>
  <c r="I21" i="55" s="1"/>
  <c r="E25" i="30"/>
  <c r="H25" i="30" s="1"/>
  <c r="I25" i="30" s="1"/>
  <c r="H15" i="52"/>
  <c r="I15" i="52" s="1"/>
  <c r="I21" i="77"/>
  <c r="H22" i="76"/>
  <c r="I22" i="76" s="1"/>
  <c r="H14" i="30"/>
  <c r="I14" i="30" s="1"/>
  <c r="I106" i="33"/>
  <c r="I59" i="78"/>
  <c r="E59" i="78"/>
  <c r="J14" i="78"/>
  <c r="H14" i="78"/>
  <c r="I14" i="78" s="1"/>
  <c r="E22" i="78"/>
  <c r="H22" i="78" s="1"/>
  <c r="I22" i="78" s="1"/>
  <c r="E19" i="78"/>
  <c r="H19" i="78" s="1"/>
  <c r="I19" i="78" s="1"/>
  <c r="E28" i="78"/>
  <c r="H28" i="78" s="1"/>
  <c r="I28" i="78" s="1"/>
  <c r="E24" i="78"/>
  <c r="H24" i="78" s="1"/>
  <c r="I24" i="78" s="1"/>
  <c r="E13" i="78"/>
  <c r="H13" i="78" s="1"/>
  <c r="I13" i="78" s="1"/>
  <c r="E27" i="78"/>
  <c r="H27" i="78" s="1"/>
  <c r="I27" i="78" s="1"/>
  <c r="E21" i="78"/>
  <c r="H21" i="78" s="1"/>
  <c r="I21" i="78" s="1"/>
  <c r="E18" i="78"/>
  <c r="E17" i="78"/>
  <c r="H17" i="78" s="1"/>
  <c r="I17" i="78" s="1"/>
  <c r="E15" i="78"/>
  <c r="H15" i="78" s="1"/>
  <c r="I15" i="78" s="1"/>
  <c r="E25" i="78"/>
  <c r="H25" i="78" s="1"/>
  <c r="I25" i="78" s="1"/>
  <c r="E23" i="78"/>
  <c r="H23" i="78" s="1"/>
  <c r="I23" i="78" s="1"/>
  <c r="E26" i="78"/>
  <c r="H26" i="78" s="1"/>
  <c r="I26" i="78" s="1"/>
  <c r="E16" i="78"/>
  <c r="E29" i="77"/>
  <c r="H116" i="77" s="1"/>
  <c r="I109" i="77"/>
  <c r="I59" i="77"/>
  <c r="I15" i="77"/>
  <c r="C90" i="77"/>
  <c r="H90" i="77" s="1"/>
  <c r="C91" i="77"/>
  <c r="H91" i="77" s="1"/>
  <c r="I17" i="77"/>
  <c r="I13" i="77"/>
  <c r="H29" i="77"/>
  <c r="E45" i="77" s="1"/>
  <c r="C65" i="77" s="1"/>
  <c r="H66" i="77" s="1"/>
  <c r="C89" i="77"/>
  <c r="J14" i="77"/>
  <c r="E59" i="68"/>
  <c r="J18" i="68"/>
  <c r="I59" i="68"/>
  <c r="C91" i="68"/>
  <c r="H91" i="68" s="1"/>
  <c r="H29" i="68"/>
  <c r="E45" i="68" s="1"/>
  <c r="C65" i="68" s="1"/>
  <c r="H66" i="68" s="1"/>
  <c r="I14" i="68"/>
  <c r="I29" i="68" s="1"/>
  <c r="I45" i="68" s="1"/>
  <c r="C89" i="68"/>
  <c r="E29" i="68"/>
  <c r="C90" i="68"/>
  <c r="H90" i="68" s="1"/>
  <c r="I17" i="68"/>
  <c r="I13" i="71"/>
  <c r="I20" i="71"/>
  <c r="C90" i="71"/>
  <c r="H90" i="71" s="1"/>
  <c r="I21" i="71"/>
  <c r="H14" i="71"/>
  <c r="I14" i="71" s="1"/>
  <c r="E29" i="71"/>
  <c r="E51" i="70"/>
  <c r="I51" i="70" s="1"/>
  <c r="E55" i="70"/>
  <c r="I55" i="70" s="1"/>
  <c r="E106" i="70"/>
  <c r="I106" i="70" s="1"/>
  <c r="E58" i="70"/>
  <c r="I58" i="70" s="1"/>
  <c r="E50" i="70"/>
  <c r="J14" i="70" s="1"/>
  <c r="E108" i="70"/>
  <c r="I108" i="70" s="1"/>
  <c r="E52" i="70"/>
  <c r="I52" i="70" s="1"/>
  <c r="E107" i="70"/>
  <c r="I107" i="70" s="1"/>
  <c r="E54" i="70"/>
  <c r="I54" i="70" s="1"/>
  <c r="E56" i="70"/>
  <c r="I56" i="70" s="1"/>
  <c r="E29" i="70"/>
  <c r="H116" i="70" s="1"/>
  <c r="I17" i="70"/>
  <c r="C91" i="70"/>
  <c r="H91" i="70" s="1"/>
  <c r="I15" i="70"/>
  <c r="H16" i="70"/>
  <c r="I16" i="70" s="1"/>
  <c r="C89" i="70"/>
  <c r="I59" i="69"/>
  <c r="E59" i="69"/>
  <c r="E13" i="69"/>
  <c r="H13" i="69" s="1"/>
  <c r="I13" i="69" s="1"/>
  <c r="E28" i="69"/>
  <c r="H28" i="69" s="1"/>
  <c r="I28" i="69" s="1"/>
  <c r="E20" i="69"/>
  <c r="H20" i="69" s="1"/>
  <c r="I20" i="69" s="1"/>
  <c r="E17" i="69"/>
  <c r="H17" i="69" s="1"/>
  <c r="I17" i="69" s="1"/>
  <c r="E26" i="69"/>
  <c r="H26" i="69" s="1"/>
  <c r="I26" i="69" s="1"/>
  <c r="E25" i="69"/>
  <c r="H25" i="69" s="1"/>
  <c r="I25" i="69" s="1"/>
  <c r="E15" i="69"/>
  <c r="H15" i="69" s="1"/>
  <c r="I15" i="69" s="1"/>
  <c r="E16" i="69"/>
  <c r="E18" i="69"/>
  <c r="E27" i="69"/>
  <c r="H27" i="69" s="1"/>
  <c r="I27" i="69" s="1"/>
  <c r="E21" i="69"/>
  <c r="H21" i="69" s="1"/>
  <c r="I21" i="69" s="1"/>
  <c r="E23" i="69"/>
  <c r="H23" i="69" s="1"/>
  <c r="I23" i="69" s="1"/>
  <c r="E24" i="69"/>
  <c r="H24" i="69" s="1"/>
  <c r="I24" i="69" s="1"/>
  <c r="E14" i="69"/>
  <c r="H14" i="69" s="1"/>
  <c r="I14" i="69" s="1"/>
  <c r="I50" i="67"/>
  <c r="I59" i="67" s="1"/>
  <c r="H16" i="67"/>
  <c r="I16" i="67" s="1"/>
  <c r="J16" i="67"/>
  <c r="I23" i="67"/>
  <c r="I29" i="67" s="1"/>
  <c r="I45" i="67" s="1"/>
  <c r="C91" i="67"/>
  <c r="H91" i="67" s="1"/>
  <c r="I17" i="67"/>
  <c r="I14" i="67"/>
  <c r="C89" i="67"/>
  <c r="J14" i="67"/>
  <c r="E29" i="67"/>
  <c r="I52" i="66"/>
  <c r="J14" i="66"/>
  <c r="I109" i="66"/>
  <c r="I59" i="66"/>
  <c r="E59" i="66"/>
  <c r="C91" i="66"/>
  <c r="H91" i="66" s="1"/>
  <c r="I21" i="66"/>
  <c r="I13" i="66"/>
  <c r="C89" i="66"/>
  <c r="E29" i="66"/>
  <c r="E59" i="58"/>
  <c r="I59" i="58"/>
  <c r="E23" i="58"/>
  <c r="H23" i="58" s="1"/>
  <c r="I23" i="58" s="1"/>
  <c r="E16" i="58"/>
  <c r="E21" i="58"/>
  <c r="H21" i="58" s="1"/>
  <c r="I21" i="58" s="1"/>
  <c r="E14" i="58"/>
  <c r="J14" i="58" s="1"/>
  <c r="E20" i="58"/>
  <c r="H20" i="58" s="1"/>
  <c r="I20" i="58" s="1"/>
  <c r="E13" i="58"/>
  <c r="H13" i="58" s="1"/>
  <c r="I13" i="58" s="1"/>
  <c r="E27" i="58"/>
  <c r="H27" i="58" s="1"/>
  <c r="I27" i="58" s="1"/>
  <c r="E25" i="58"/>
  <c r="H25" i="58" s="1"/>
  <c r="I25" i="58" s="1"/>
  <c r="E22" i="58"/>
  <c r="H22" i="58" s="1"/>
  <c r="I22" i="58" s="1"/>
  <c r="E18" i="58"/>
  <c r="E26" i="58"/>
  <c r="H26" i="58" s="1"/>
  <c r="I26" i="58" s="1"/>
  <c r="E19" i="58"/>
  <c r="H19" i="58" s="1"/>
  <c r="I19" i="58" s="1"/>
  <c r="E17" i="58"/>
  <c r="H17" i="58" s="1"/>
  <c r="I17" i="58" s="1"/>
  <c r="E15" i="58"/>
  <c r="H15" i="58" s="1"/>
  <c r="I15" i="58" s="1"/>
  <c r="I59" i="57"/>
  <c r="E59" i="57"/>
  <c r="E29" i="57"/>
  <c r="H13" i="57"/>
  <c r="I13" i="57" s="1"/>
  <c r="I15" i="57"/>
  <c r="C90" i="57"/>
  <c r="H90" i="57" s="1"/>
  <c r="I17" i="57"/>
  <c r="C91" i="57"/>
  <c r="H91" i="57" s="1"/>
  <c r="I14" i="57"/>
  <c r="J18" i="57"/>
  <c r="J14" i="57"/>
  <c r="H116" i="57"/>
  <c r="I59" i="56"/>
  <c r="J16" i="56"/>
  <c r="E59" i="56"/>
  <c r="J18" i="56"/>
  <c r="I14" i="56"/>
  <c r="C91" i="56"/>
  <c r="H91" i="56" s="1"/>
  <c r="I24" i="56"/>
  <c r="C90" i="56"/>
  <c r="H90" i="56" s="1"/>
  <c r="E29" i="56"/>
  <c r="I23" i="56"/>
  <c r="I109" i="55"/>
  <c r="E59" i="55"/>
  <c r="I59" i="55"/>
  <c r="J16" i="55"/>
  <c r="C91" i="55"/>
  <c r="H91" i="55" s="1"/>
  <c r="I17" i="55"/>
  <c r="I13" i="55"/>
  <c r="J14" i="55"/>
  <c r="I15" i="55"/>
  <c r="P16" i="55"/>
  <c r="T16" i="55" s="1"/>
  <c r="U16" i="55" s="1"/>
  <c r="P25" i="55"/>
  <c r="T25" i="55" s="1"/>
  <c r="U25" i="55" s="1"/>
  <c r="U83" i="55"/>
  <c r="P15" i="55"/>
  <c r="T15" i="55" s="1"/>
  <c r="P13" i="55"/>
  <c r="U111" i="55"/>
  <c r="P27" i="55"/>
  <c r="T27" i="55" s="1"/>
  <c r="U27" i="55" s="1"/>
  <c r="P108" i="55"/>
  <c r="U108" i="55" s="1"/>
  <c r="U75" i="55"/>
  <c r="P40" i="55"/>
  <c r="U40" i="55" s="1"/>
  <c r="P107" i="55"/>
  <c r="U107" i="55" s="1"/>
  <c r="U112" i="55"/>
  <c r="P23" i="55"/>
  <c r="T23" i="55" s="1"/>
  <c r="U23" i="55" s="1"/>
  <c r="P18" i="55"/>
  <c r="T18" i="55" s="1"/>
  <c r="U18" i="55" s="1"/>
  <c r="P39" i="55"/>
  <c r="U39" i="55" s="1"/>
  <c r="P26" i="55"/>
  <c r="T26" i="55" s="1"/>
  <c r="U26" i="55" s="1"/>
  <c r="P14" i="55"/>
  <c r="T14" i="55" s="1"/>
  <c r="U14" i="55" s="1"/>
  <c r="P24" i="55"/>
  <c r="T24" i="55" s="1"/>
  <c r="U24" i="55" s="1"/>
  <c r="P42" i="55"/>
  <c r="U42" i="55" s="1"/>
  <c r="P19" i="55"/>
  <c r="T19" i="55" s="1"/>
  <c r="U19" i="55" s="1"/>
  <c r="P22" i="55"/>
  <c r="T22" i="55" s="1"/>
  <c r="U22" i="55" s="1"/>
  <c r="U74" i="55"/>
  <c r="P106" i="55"/>
  <c r="U106" i="55" s="1"/>
  <c r="P37" i="55"/>
  <c r="P21" i="55"/>
  <c r="T21" i="55" s="1"/>
  <c r="U21" i="55" s="1"/>
  <c r="P20" i="55"/>
  <c r="T20" i="55" s="1"/>
  <c r="U20" i="55" s="1"/>
  <c r="P41" i="55"/>
  <c r="U41" i="55" s="1"/>
  <c r="P98" i="55"/>
  <c r="U98" i="55" s="1"/>
  <c r="P38" i="55"/>
  <c r="U38" i="55" s="1"/>
  <c r="P28" i="55"/>
  <c r="T28" i="55" s="1"/>
  <c r="U28" i="55" s="1"/>
  <c r="P17" i="55"/>
  <c r="T17" i="55" s="1"/>
  <c r="C62" i="55"/>
  <c r="H63" i="55" s="1"/>
  <c r="H16" i="55"/>
  <c r="I16" i="55" s="1"/>
  <c r="E58" i="76"/>
  <c r="I58" i="76" s="1"/>
  <c r="E56" i="76"/>
  <c r="E53" i="76"/>
  <c r="I53" i="76" s="1"/>
  <c r="E57" i="76"/>
  <c r="I57" i="76" s="1"/>
  <c r="E106" i="76"/>
  <c r="I106" i="76" s="1"/>
  <c r="E51" i="76"/>
  <c r="I51" i="76" s="1"/>
  <c r="E107" i="76"/>
  <c r="I107" i="76" s="1"/>
  <c r="E55" i="76"/>
  <c r="I55" i="76" s="1"/>
  <c r="E54" i="76"/>
  <c r="I54" i="76" s="1"/>
  <c r="E50" i="76"/>
  <c r="E52" i="76"/>
  <c r="I52" i="76" s="1"/>
  <c r="I21" i="76"/>
  <c r="C91" i="76"/>
  <c r="H91" i="76" s="1"/>
  <c r="C90" i="76"/>
  <c r="H90" i="76" s="1"/>
  <c r="I15" i="76"/>
  <c r="I13" i="76"/>
  <c r="C89" i="76"/>
  <c r="H29" i="76"/>
  <c r="E45" i="76" s="1"/>
  <c r="C65" i="76" s="1"/>
  <c r="H66" i="76" s="1"/>
  <c r="E29" i="76"/>
  <c r="I59" i="75"/>
  <c r="E59" i="75"/>
  <c r="E29" i="75"/>
  <c r="H116" i="75"/>
  <c r="C62" i="75"/>
  <c r="H63" i="75" s="1"/>
  <c r="I15" i="75"/>
  <c r="C90" i="75"/>
  <c r="H90" i="75" s="1"/>
  <c r="C91" i="75"/>
  <c r="H91" i="75" s="1"/>
  <c r="H13" i="75"/>
  <c r="J16" i="75"/>
  <c r="I109" i="52"/>
  <c r="I59" i="52"/>
  <c r="J14" i="52"/>
  <c r="E59" i="52"/>
  <c r="J16" i="52"/>
  <c r="H18" i="52"/>
  <c r="I18" i="52" s="1"/>
  <c r="I14" i="52"/>
  <c r="C89" i="52"/>
  <c r="I17" i="52"/>
  <c r="E29" i="52"/>
  <c r="H16" i="52"/>
  <c r="I16" i="52" s="1"/>
  <c r="E29" i="51"/>
  <c r="I17" i="51"/>
  <c r="C91" i="51"/>
  <c r="H91" i="51" s="1"/>
  <c r="C62" i="51"/>
  <c r="H63" i="51" s="1"/>
  <c r="I16" i="51"/>
  <c r="H29" i="51"/>
  <c r="E45" i="51" s="1"/>
  <c r="C65" i="51" s="1"/>
  <c r="H66" i="51" s="1"/>
  <c r="I29" i="51"/>
  <c r="I45" i="51" s="1"/>
  <c r="C90" i="51"/>
  <c r="J18" i="50"/>
  <c r="E59" i="50"/>
  <c r="J16" i="50"/>
  <c r="I59" i="50"/>
  <c r="H18" i="50"/>
  <c r="I18" i="50" s="1"/>
  <c r="I17" i="50"/>
  <c r="I13" i="50"/>
  <c r="C89" i="50"/>
  <c r="I15" i="50"/>
  <c r="C90" i="50"/>
  <c r="H90" i="50" s="1"/>
  <c r="E29" i="50"/>
  <c r="I59" i="48"/>
  <c r="C90" i="48"/>
  <c r="H90" i="48" s="1"/>
  <c r="I15" i="48"/>
  <c r="I13" i="48"/>
  <c r="C89" i="48"/>
  <c r="H29" i="48"/>
  <c r="E45" i="48" s="1"/>
  <c r="C65" i="48" s="1"/>
  <c r="H66" i="48" s="1"/>
  <c r="C91" i="48"/>
  <c r="H91" i="48" s="1"/>
  <c r="I17" i="48"/>
  <c r="E29" i="48"/>
  <c r="I59" i="47"/>
  <c r="E29" i="47"/>
  <c r="H116" i="47" s="1"/>
  <c r="I22" i="47"/>
  <c r="I23" i="47"/>
  <c r="C90" i="47"/>
  <c r="H90" i="47" s="1"/>
  <c r="H17" i="47"/>
  <c r="J18" i="45"/>
  <c r="E59" i="45"/>
  <c r="I51" i="45"/>
  <c r="I59" i="45" s="1"/>
  <c r="J14" i="45"/>
  <c r="H14" i="45"/>
  <c r="I14" i="45" s="1"/>
  <c r="C91" i="45"/>
  <c r="H91" i="45" s="1"/>
  <c r="I17" i="45"/>
  <c r="I19" i="45"/>
  <c r="I20" i="45"/>
  <c r="C90" i="45"/>
  <c r="H90" i="45" s="1"/>
  <c r="E29" i="45"/>
  <c r="E59" i="44"/>
  <c r="J18" i="44"/>
  <c r="I59" i="44"/>
  <c r="J16" i="44"/>
  <c r="H16" i="44"/>
  <c r="I16" i="44" s="1"/>
  <c r="C90" i="44"/>
  <c r="H90" i="44" s="1"/>
  <c r="I15" i="44"/>
  <c r="I13" i="44"/>
  <c r="C89" i="44"/>
  <c r="E29" i="44"/>
  <c r="C91" i="44"/>
  <c r="H91" i="44" s="1"/>
  <c r="E56" i="43"/>
  <c r="I56" i="43" s="1"/>
  <c r="E106" i="43"/>
  <c r="I106" i="43" s="1"/>
  <c r="E51" i="43"/>
  <c r="I51" i="43" s="1"/>
  <c r="E57" i="43"/>
  <c r="I57" i="43" s="1"/>
  <c r="E52" i="43"/>
  <c r="I52" i="43" s="1"/>
  <c r="E53" i="43"/>
  <c r="E50" i="43"/>
  <c r="E107" i="43"/>
  <c r="I107" i="43" s="1"/>
  <c r="E55" i="43"/>
  <c r="I55" i="43" s="1"/>
  <c r="E54" i="43"/>
  <c r="I54" i="43" s="1"/>
  <c r="H29" i="43"/>
  <c r="E45" i="43" s="1"/>
  <c r="C65" i="43" s="1"/>
  <c r="H66" i="43" s="1"/>
  <c r="C89" i="43"/>
  <c r="I14" i="43"/>
  <c r="C90" i="43"/>
  <c r="H90" i="43" s="1"/>
  <c r="I15" i="43"/>
  <c r="C91" i="43"/>
  <c r="H91" i="43" s="1"/>
  <c r="I17" i="43"/>
  <c r="E29" i="43"/>
  <c r="E59" i="42"/>
  <c r="I51" i="42"/>
  <c r="J14" i="42"/>
  <c r="H14" i="42"/>
  <c r="I14" i="42" s="1"/>
  <c r="C91" i="42"/>
  <c r="H91" i="42" s="1"/>
  <c r="I17" i="42"/>
  <c r="I29" i="42" s="1"/>
  <c r="H29" i="42"/>
  <c r="E45" i="42" s="1"/>
  <c r="C65" i="42" s="1"/>
  <c r="H66" i="42" s="1"/>
  <c r="I15" i="42"/>
  <c r="C90" i="42"/>
  <c r="H90" i="42" s="1"/>
  <c r="I19" i="42"/>
  <c r="C89" i="42"/>
  <c r="E29" i="42"/>
  <c r="E59" i="40"/>
  <c r="J18" i="40"/>
  <c r="J16" i="40"/>
  <c r="J14" i="40"/>
  <c r="I59" i="40"/>
  <c r="I13" i="40"/>
  <c r="H29" i="40"/>
  <c r="E45" i="40" s="1"/>
  <c r="C65" i="40" s="1"/>
  <c r="H66" i="40" s="1"/>
  <c r="C89" i="40"/>
  <c r="C90" i="40"/>
  <c r="H90" i="40" s="1"/>
  <c r="I15" i="40"/>
  <c r="C91" i="40"/>
  <c r="H91" i="40" s="1"/>
  <c r="I17" i="40"/>
  <c r="E29" i="40"/>
  <c r="I109" i="39"/>
  <c r="J18" i="39"/>
  <c r="I59" i="39"/>
  <c r="E59" i="39"/>
  <c r="E29" i="39"/>
  <c r="C90" i="39"/>
  <c r="H90" i="39" s="1"/>
  <c r="I15" i="39"/>
  <c r="I29" i="39" s="1"/>
  <c r="I45" i="39" s="1"/>
  <c r="C91" i="39"/>
  <c r="H91" i="39" s="1"/>
  <c r="I18" i="39"/>
  <c r="C62" i="39"/>
  <c r="H63" i="39" s="1"/>
  <c r="J14" i="39"/>
  <c r="H29" i="39"/>
  <c r="E45" i="39" s="1"/>
  <c r="C65" i="39" s="1"/>
  <c r="H66" i="39" s="1"/>
  <c r="C89" i="39"/>
  <c r="I59" i="38"/>
  <c r="J16" i="38"/>
  <c r="E59" i="38"/>
  <c r="J18" i="38"/>
  <c r="C90" i="38"/>
  <c r="H90" i="38" s="1"/>
  <c r="I15" i="38"/>
  <c r="I29" i="38"/>
  <c r="I45" i="38" s="1"/>
  <c r="C91" i="38"/>
  <c r="H91" i="38" s="1"/>
  <c r="C89" i="38"/>
  <c r="H29" i="38"/>
  <c r="E45" i="38" s="1"/>
  <c r="C65" i="38" s="1"/>
  <c r="H66" i="38" s="1"/>
  <c r="E29" i="38"/>
  <c r="J14" i="37"/>
  <c r="I51" i="37"/>
  <c r="I56" i="37"/>
  <c r="I59" i="37"/>
  <c r="E59" i="37"/>
  <c r="J16" i="37"/>
  <c r="E29" i="37"/>
  <c r="C91" i="37"/>
  <c r="H91" i="37" s="1"/>
  <c r="I27" i="37"/>
  <c r="C89" i="37"/>
  <c r="I13" i="37"/>
  <c r="H29" i="37"/>
  <c r="E45" i="37" s="1"/>
  <c r="C65" i="37" s="1"/>
  <c r="H66" i="37" s="1"/>
  <c r="C90" i="37"/>
  <c r="H90" i="37" s="1"/>
  <c r="I15" i="37"/>
  <c r="I59" i="36"/>
  <c r="E18" i="36"/>
  <c r="E20" i="36"/>
  <c r="H20" i="36" s="1"/>
  <c r="I20" i="36" s="1"/>
  <c r="E24" i="36"/>
  <c r="H24" i="36" s="1"/>
  <c r="I24" i="36" s="1"/>
  <c r="E14" i="36"/>
  <c r="E15" i="36"/>
  <c r="H15" i="36" s="1"/>
  <c r="I15" i="36" s="1"/>
  <c r="E28" i="36"/>
  <c r="H28" i="36" s="1"/>
  <c r="I28" i="36" s="1"/>
  <c r="E26" i="36"/>
  <c r="H26" i="36" s="1"/>
  <c r="I26" i="36" s="1"/>
  <c r="E22" i="36"/>
  <c r="H22" i="36" s="1"/>
  <c r="I22" i="36" s="1"/>
  <c r="E17" i="36"/>
  <c r="H17" i="36" s="1"/>
  <c r="I17" i="36" s="1"/>
  <c r="E19" i="36"/>
  <c r="H19" i="36" s="1"/>
  <c r="I19" i="36" s="1"/>
  <c r="E16" i="36"/>
  <c r="E13" i="36"/>
  <c r="H13" i="36" s="1"/>
  <c r="I13" i="36" s="1"/>
  <c r="E25" i="36"/>
  <c r="H25" i="36" s="1"/>
  <c r="I25" i="36" s="1"/>
  <c r="E21" i="36"/>
  <c r="H21" i="36" s="1"/>
  <c r="I21" i="36" s="1"/>
  <c r="E106" i="23"/>
  <c r="I106" i="23" s="1"/>
  <c r="E53" i="23"/>
  <c r="E107" i="23"/>
  <c r="I107" i="23" s="1"/>
  <c r="E54" i="23"/>
  <c r="I54" i="23" s="1"/>
  <c r="E56" i="23"/>
  <c r="E50" i="23"/>
  <c r="E52" i="23"/>
  <c r="I52" i="23" s="1"/>
  <c r="E55" i="23"/>
  <c r="I55" i="23" s="1"/>
  <c r="E58" i="23"/>
  <c r="I58" i="23" s="1"/>
  <c r="E57" i="23"/>
  <c r="I57" i="23" s="1"/>
  <c r="I15" i="23"/>
  <c r="C90" i="23"/>
  <c r="H90" i="23" s="1"/>
  <c r="C89" i="23"/>
  <c r="I19" i="23"/>
  <c r="E17" i="23"/>
  <c r="J14" i="35"/>
  <c r="I59" i="35"/>
  <c r="E59" i="35"/>
  <c r="J18" i="35"/>
  <c r="C91" i="35"/>
  <c r="H91" i="35" s="1"/>
  <c r="I17" i="35"/>
  <c r="C90" i="35"/>
  <c r="H90" i="35" s="1"/>
  <c r="I15" i="35"/>
  <c r="H29" i="35"/>
  <c r="E45" i="35" s="1"/>
  <c r="C65" i="35" s="1"/>
  <c r="H66" i="35" s="1"/>
  <c r="C89" i="35"/>
  <c r="I13" i="35"/>
  <c r="E29" i="35"/>
  <c r="J16" i="35"/>
  <c r="I59" i="34"/>
  <c r="J14" i="34"/>
  <c r="E59" i="34"/>
  <c r="C91" i="34"/>
  <c r="H91" i="34" s="1"/>
  <c r="I17" i="34"/>
  <c r="C89" i="34"/>
  <c r="H29" i="34"/>
  <c r="E45" i="34" s="1"/>
  <c r="C65" i="34" s="1"/>
  <c r="H66" i="34" s="1"/>
  <c r="I14" i="34"/>
  <c r="C90" i="34"/>
  <c r="H90" i="34" s="1"/>
  <c r="I15" i="34"/>
  <c r="P40" i="34"/>
  <c r="U40" i="34" s="1"/>
  <c r="U74" i="34"/>
  <c r="P25" i="34"/>
  <c r="T25" i="34" s="1"/>
  <c r="U25" i="34" s="1"/>
  <c r="P24" i="34"/>
  <c r="T24" i="34" s="1"/>
  <c r="U24" i="34" s="1"/>
  <c r="P106" i="34"/>
  <c r="U106" i="34" s="1"/>
  <c r="P41" i="34"/>
  <c r="U41" i="34" s="1"/>
  <c r="P14" i="34"/>
  <c r="T14" i="34" s="1"/>
  <c r="U14" i="34" s="1"/>
  <c r="P38" i="34"/>
  <c r="U38" i="34" s="1"/>
  <c r="P37" i="34"/>
  <c r="P98" i="34"/>
  <c r="U98" i="34" s="1"/>
  <c r="P16" i="34"/>
  <c r="T16" i="34" s="1"/>
  <c r="U16" i="34" s="1"/>
  <c r="P26" i="34"/>
  <c r="T26" i="34" s="1"/>
  <c r="U26" i="34" s="1"/>
  <c r="P39" i="34"/>
  <c r="U39" i="34" s="1"/>
  <c r="P21" i="34"/>
  <c r="T21" i="34" s="1"/>
  <c r="U21" i="34" s="1"/>
  <c r="P18" i="34"/>
  <c r="T18" i="34" s="1"/>
  <c r="U18" i="34" s="1"/>
  <c r="P107" i="34"/>
  <c r="U107" i="34" s="1"/>
  <c r="P108" i="34"/>
  <c r="U108" i="34" s="1"/>
  <c r="U83" i="34"/>
  <c r="P23" i="34"/>
  <c r="T23" i="34" s="1"/>
  <c r="U23" i="34" s="1"/>
  <c r="U111" i="34"/>
  <c r="P15" i="34"/>
  <c r="T15" i="34" s="1"/>
  <c r="U112" i="34"/>
  <c r="P28" i="34"/>
  <c r="T28" i="34" s="1"/>
  <c r="U28" i="34" s="1"/>
  <c r="P27" i="34"/>
  <c r="T27" i="34" s="1"/>
  <c r="U27" i="34" s="1"/>
  <c r="P17" i="34"/>
  <c r="T17" i="34" s="1"/>
  <c r="P42" i="34"/>
  <c r="U42" i="34" s="1"/>
  <c r="P13" i="34"/>
  <c r="U75" i="34"/>
  <c r="C62" i="34"/>
  <c r="H63" i="34" s="1"/>
  <c r="E53" i="33"/>
  <c r="I53" i="33" s="1"/>
  <c r="E107" i="33"/>
  <c r="I107" i="33" s="1"/>
  <c r="I109" i="33" s="1"/>
  <c r="E58" i="33"/>
  <c r="I58" i="33" s="1"/>
  <c r="E54" i="33"/>
  <c r="E57" i="33"/>
  <c r="I57" i="33" s="1"/>
  <c r="E50" i="33"/>
  <c r="E52" i="33"/>
  <c r="E51" i="33"/>
  <c r="I51" i="33" s="1"/>
  <c r="E55" i="33"/>
  <c r="I55" i="33" s="1"/>
  <c r="E29" i="33"/>
  <c r="C91" i="33"/>
  <c r="H91" i="33" s="1"/>
  <c r="I20" i="33"/>
  <c r="C90" i="33"/>
  <c r="H90" i="33" s="1"/>
  <c r="H29" i="33"/>
  <c r="E45" i="33" s="1"/>
  <c r="C65" i="33" s="1"/>
  <c r="H66" i="33" s="1"/>
  <c r="C89" i="33"/>
  <c r="I13" i="33"/>
  <c r="J14" i="32"/>
  <c r="I50" i="32"/>
  <c r="I59" i="32" s="1"/>
  <c r="H13" i="32"/>
  <c r="I13" i="32" s="1"/>
  <c r="I20" i="32"/>
  <c r="C90" i="32"/>
  <c r="H90" i="32" s="1"/>
  <c r="I17" i="32"/>
  <c r="C91" i="32"/>
  <c r="H91" i="32" s="1"/>
  <c r="C62" i="32"/>
  <c r="H63" i="32" s="1"/>
  <c r="I109" i="30"/>
  <c r="I58" i="30"/>
  <c r="I15" i="30"/>
  <c r="E16" i="30"/>
  <c r="E24" i="30"/>
  <c r="H24" i="30" s="1"/>
  <c r="I24" i="30" s="1"/>
  <c r="E27" i="30"/>
  <c r="H27" i="30" s="1"/>
  <c r="I27" i="30" s="1"/>
  <c r="E23" i="30"/>
  <c r="H23" i="30" s="1"/>
  <c r="I23" i="30" s="1"/>
  <c r="E28" i="30"/>
  <c r="H28" i="30" s="1"/>
  <c r="I28" i="30" s="1"/>
  <c r="J14" i="30"/>
  <c r="E59" i="30"/>
  <c r="H15" i="29"/>
  <c r="I15" i="29" s="1"/>
  <c r="E18" i="29"/>
  <c r="H18" i="29" s="1"/>
  <c r="I18" i="29" s="1"/>
  <c r="E25" i="29"/>
  <c r="H25" i="29" s="1"/>
  <c r="I25" i="29" s="1"/>
  <c r="E24" i="29"/>
  <c r="H24" i="29" s="1"/>
  <c r="I24" i="29" s="1"/>
  <c r="E23" i="29"/>
  <c r="H23" i="29" s="1"/>
  <c r="I23" i="29" s="1"/>
  <c r="E20" i="29"/>
  <c r="H20" i="29" s="1"/>
  <c r="E17" i="29"/>
  <c r="H17" i="29" s="1"/>
  <c r="I17" i="29" s="1"/>
  <c r="E22" i="29"/>
  <c r="H22" i="29" s="1"/>
  <c r="I22" i="29" s="1"/>
  <c r="E13" i="29"/>
  <c r="H13" i="29" s="1"/>
  <c r="I13" i="29" s="1"/>
  <c r="E21" i="29"/>
  <c r="H21" i="29" s="1"/>
  <c r="I21" i="29" s="1"/>
  <c r="E14" i="29"/>
  <c r="E26" i="29"/>
  <c r="H26" i="29" s="1"/>
  <c r="I26" i="29" s="1"/>
  <c r="E27" i="29"/>
  <c r="H27" i="29" s="1"/>
  <c r="I27" i="29" s="1"/>
  <c r="E19" i="29"/>
  <c r="H19" i="29" s="1"/>
  <c r="I19" i="29" s="1"/>
  <c r="E28" i="29"/>
  <c r="H28" i="29" s="1"/>
  <c r="I28" i="29" s="1"/>
  <c r="E16" i="29"/>
  <c r="E16" i="60" s="1"/>
  <c r="H16" i="60" s="1"/>
  <c r="I20" i="29"/>
  <c r="J14" i="28"/>
  <c r="J18" i="28"/>
  <c r="I15" i="28"/>
  <c r="C90" i="28"/>
  <c r="H90" i="28" s="1"/>
  <c r="I17" i="28"/>
  <c r="C91" i="28"/>
  <c r="H91" i="28" s="1"/>
  <c r="H29" i="28"/>
  <c r="E29" i="28"/>
  <c r="C89" i="28"/>
  <c r="I59" i="27"/>
  <c r="J14" i="27"/>
  <c r="I13" i="27"/>
  <c r="C89" i="27"/>
  <c r="H29" i="27"/>
  <c r="E45" i="27" s="1"/>
  <c r="C65" i="27" s="1"/>
  <c r="H66" i="27" s="1"/>
  <c r="C90" i="27"/>
  <c r="H90" i="27" s="1"/>
  <c r="I15" i="27"/>
  <c r="C91" i="27"/>
  <c r="H91" i="27" s="1"/>
  <c r="I17" i="27"/>
  <c r="J16" i="27"/>
  <c r="E29" i="27"/>
  <c r="I17" i="26"/>
  <c r="C91" i="26"/>
  <c r="H91" i="26" s="1"/>
  <c r="I15" i="26"/>
  <c r="I29" i="26" s="1"/>
  <c r="C90" i="26"/>
  <c r="H90" i="26" s="1"/>
  <c r="U16" i="26"/>
  <c r="O90" i="26"/>
  <c r="T90" i="26" s="1"/>
  <c r="O89" i="26"/>
  <c r="U14" i="26"/>
  <c r="U17" i="26"/>
  <c r="O91" i="26"/>
  <c r="T91" i="26" s="1"/>
  <c r="C89" i="26"/>
  <c r="P29" i="26"/>
  <c r="P62" i="26" s="1"/>
  <c r="T63" i="26" s="1"/>
  <c r="J18" i="22"/>
  <c r="C91" i="22"/>
  <c r="H91" i="22" s="1"/>
  <c r="I24" i="22"/>
  <c r="H29" i="22"/>
  <c r="E45" i="22" s="1"/>
  <c r="C65" i="22" s="1"/>
  <c r="H66" i="22" s="1"/>
  <c r="I13" i="22"/>
  <c r="C89" i="22"/>
  <c r="I15" i="22"/>
  <c r="C90" i="22"/>
  <c r="H90" i="22" s="1"/>
  <c r="E29" i="22"/>
  <c r="C89" i="24"/>
  <c r="H89" i="24"/>
  <c r="I21" i="24"/>
  <c r="C91" i="24"/>
  <c r="H91" i="24" s="1"/>
  <c r="I92" i="24" s="1"/>
  <c r="I15" i="24"/>
  <c r="C90" i="24"/>
  <c r="H90" i="24" s="1"/>
  <c r="H29" i="24"/>
  <c r="E45" i="24" s="1"/>
  <c r="C65" i="24" s="1"/>
  <c r="H66" i="24" s="1"/>
  <c r="E29" i="24"/>
  <c r="J14" i="25"/>
  <c r="I50" i="25"/>
  <c r="I59" i="25" s="1"/>
  <c r="J16" i="25"/>
  <c r="C89" i="25"/>
  <c r="I22" i="25"/>
  <c r="H29" i="25"/>
  <c r="E45" i="25" s="1"/>
  <c r="C65" i="25" s="1"/>
  <c r="H66" i="25" s="1"/>
  <c r="I17" i="25"/>
  <c r="C91" i="25"/>
  <c r="H91" i="25" s="1"/>
  <c r="E29" i="25"/>
  <c r="I15" i="25"/>
  <c r="C90" i="25"/>
  <c r="H90" i="25" s="1"/>
  <c r="I56" i="21"/>
  <c r="J18" i="21"/>
  <c r="E59" i="21"/>
  <c r="J16" i="21"/>
  <c r="I53" i="21"/>
  <c r="I59" i="21" s="1"/>
  <c r="I17" i="21"/>
  <c r="C91" i="21"/>
  <c r="H91" i="21" s="1"/>
  <c r="C90" i="21"/>
  <c r="H90" i="21" s="1"/>
  <c r="I15" i="21"/>
  <c r="I29" i="21" s="1"/>
  <c r="I45" i="21" s="1"/>
  <c r="E29" i="21"/>
  <c r="C89" i="21"/>
  <c r="H29" i="21"/>
  <c r="E45" i="21" s="1"/>
  <c r="C65" i="21" s="1"/>
  <c r="H66" i="21" s="1"/>
  <c r="C91" i="20"/>
  <c r="H91" i="20" s="1"/>
  <c r="I17" i="20"/>
  <c r="I13" i="20"/>
  <c r="H14" i="20"/>
  <c r="I14" i="20" s="1"/>
  <c r="C90" i="20"/>
  <c r="H90" i="20" s="1"/>
  <c r="E29" i="20"/>
  <c r="J18" i="18"/>
  <c r="C91" i="18"/>
  <c r="H91" i="18" s="1"/>
  <c r="I17" i="18"/>
  <c r="C89" i="18"/>
  <c r="I13" i="18"/>
  <c r="H29" i="18"/>
  <c r="E45" i="18" s="1"/>
  <c r="C65" i="18" s="1"/>
  <c r="H66" i="18" s="1"/>
  <c r="C90" i="18"/>
  <c r="H90" i="18" s="1"/>
  <c r="I20" i="18"/>
  <c r="E29" i="18"/>
  <c r="D59" i="60"/>
  <c r="I59" i="17"/>
  <c r="H116" i="17"/>
  <c r="P16" i="17" s="1"/>
  <c r="T16" i="17" s="1"/>
  <c r="U16" i="17" s="1"/>
  <c r="C62" i="17"/>
  <c r="H63" i="17" s="1"/>
  <c r="H71" i="17" s="1"/>
  <c r="I71" i="17" s="1"/>
  <c r="H14" i="17"/>
  <c r="I14" i="17" s="1"/>
  <c r="J14" i="17"/>
  <c r="I15" i="17"/>
  <c r="C90" i="17"/>
  <c r="H90" i="17" s="1"/>
  <c r="H13" i="17"/>
  <c r="I13" i="17" s="1"/>
  <c r="I19" i="17"/>
  <c r="P27" i="17"/>
  <c r="T27" i="17" s="1"/>
  <c r="U27" i="17" s="1"/>
  <c r="P18" i="17"/>
  <c r="T18" i="17" s="1"/>
  <c r="U18" i="17" s="1"/>
  <c r="P15" i="17"/>
  <c r="T15" i="17" s="1"/>
  <c r="P26" i="17"/>
  <c r="T26" i="17" s="1"/>
  <c r="U26" i="17" s="1"/>
  <c r="U83" i="17"/>
  <c r="P19" i="17"/>
  <c r="T19" i="17" s="1"/>
  <c r="U19" i="17" s="1"/>
  <c r="P24" i="17"/>
  <c r="T24" i="17" s="1"/>
  <c r="U24" i="17" s="1"/>
  <c r="C91" i="17"/>
  <c r="H91" i="17" s="1"/>
  <c r="I59" i="16"/>
  <c r="J14" i="16"/>
  <c r="E106" i="60"/>
  <c r="E59" i="16"/>
  <c r="J18" i="16"/>
  <c r="H16" i="16"/>
  <c r="I16" i="16" s="1"/>
  <c r="J16" i="16"/>
  <c r="I15" i="16"/>
  <c r="C90" i="16"/>
  <c r="H90" i="16" s="1"/>
  <c r="E29" i="16"/>
  <c r="H22" i="16"/>
  <c r="I22" i="16" s="1"/>
  <c r="H14" i="16"/>
  <c r="H21" i="16"/>
  <c r="E108" i="60"/>
  <c r="I108" i="15"/>
  <c r="I109" i="15" s="1"/>
  <c r="I106" i="60"/>
  <c r="E59" i="15"/>
  <c r="J18" i="15"/>
  <c r="I59" i="15"/>
  <c r="C59" i="60"/>
  <c r="D29" i="60"/>
  <c r="D31" i="60" s="1"/>
  <c r="H17" i="15"/>
  <c r="C91" i="15" s="1"/>
  <c r="H91" i="15" s="1"/>
  <c r="C90" i="15"/>
  <c r="H90" i="15" s="1"/>
  <c r="I15" i="15"/>
  <c r="H29" i="15"/>
  <c r="E45" i="15" s="1"/>
  <c r="C65" i="15" s="1"/>
  <c r="H66" i="15" s="1"/>
  <c r="C89" i="15"/>
  <c r="I14" i="15"/>
  <c r="E29" i="15"/>
  <c r="C29" i="60"/>
  <c r="C31" i="60" s="1"/>
  <c r="I59" i="7"/>
  <c r="J16" i="7"/>
  <c r="E59" i="7"/>
  <c r="J18" i="7"/>
  <c r="I15" i="7"/>
  <c r="C91" i="7"/>
  <c r="H91" i="7" s="1"/>
  <c r="I17" i="7"/>
  <c r="H16" i="7"/>
  <c r="I16" i="7" s="1"/>
  <c r="C89" i="7"/>
  <c r="J14" i="7"/>
  <c r="E29" i="7"/>
  <c r="I29" i="52" l="1"/>
  <c r="I45" i="52" s="1"/>
  <c r="F496" i="64"/>
  <c r="F497" i="64" s="1"/>
  <c r="G475" i="64"/>
  <c r="H72" i="26"/>
  <c r="I72" i="26" s="1"/>
  <c r="E38" i="60"/>
  <c r="I38" i="17"/>
  <c r="H116" i="31"/>
  <c r="C62" i="31"/>
  <c r="H63" i="31" s="1"/>
  <c r="H29" i="56"/>
  <c r="E45" i="56" s="1"/>
  <c r="C65" i="56" s="1"/>
  <c r="H66" i="56" s="1"/>
  <c r="I41" i="60"/>
  <c r="I43" i="7"/>
  <c r="I39" i="60"/>
  <c r="H29" i="26"/>
  <c r="E45" i="26" s="1"/>
  <c r="C65" i="26" s="1"/>
  <c r="H66" i="26" s="1"/>
  <c r="H79" i="26" s="1"/>
  <c r="I79" i="26" s="1"/>
  <c r="J14" i="76"/>
  <c r="I38" i="28"/>
  <c r="I43" i="28" s="1"/>
  <c r="E43" i="28"/>
  <c r="I39" i="26"/>
  <c r="E39" i="60"/>
  <c r="H89" i="31"/>
  <c r="I92" i="31" s="1"/>
  <c r="C92" i="31"/>
  <c r="T108" i="7"/>
  <c r="I108" i="7"/>
  <c r="I109" i="7" s="1"/>
  <c r="I42" i="26"/>
  <c r="E42" i="60"/>
  <c r="H71" i="26"/>
  <c r="I71" i="26" s="1"/>
  <c r="I109" i="43"/>
  <c r="C91" i="50"/>
  <c r="H91" i="50" s="1"/>
  <c r="C90" i="66"/>
  <c r="H90" i="66" s="1"/>
  <c r="I37" i="26"/>
  <c r="E43" i="26"/>
  <c r="J18" i="30"/>
  <c r="P42" i="26"/>
  <c r="U42" i="26" s="1"/>
  <c r="H73" i="17"/>
  <c r="I73" i="17" s="1"/>
  <c r="P41" i="17"/>
  <c r="U41" i="17" s="1"/>
  <c r="H68" i="26"/>
  <c r="I68" i="26" s="1"/>
  <c r="I29" i="43"/>
  <c r="I45" i="43" s="1"/>
  <c r="H29" i="47"/>
  <c r="E45" i="47" s="1"/>
  <c r="C65" i="47" s="1"/>
  <c r="H66" i="47" s="1"/>
  <c r="H82" i="47" s="1"/>
  <c r="I82" i="47" s="1"/>
  <c r="H29" i="67"/>
  <c r="E45" i="67" s="1"/>
  <c r="C65" i="67" s="1"/>
  <c r="H66" i="67" s="1"/>
  <c r="H82" i="67" s="1"/>
  <c r="I82" i="67" s="1"/>
  <c r="C89" i="71"/>
  <c r="P37" i="26"/>
  <c r="P40" i="26"/>
  <c r="U40" i="26" s="1"/>
  <c r="E45" i="28"/>
  <c r="C65" i="28" s="1"/>
  <c r="H66" i="28" s="1"/>
  <c r="H81" i="28" s="1"/>
  <c r="I81" i="28" s="1"/>
  <c r="H70" i="26"/>
  <c r="I70" i="26" s="1"/>
  <c r="I29" i="40"/>
  <c r="I45" i="40" s="1"/>
  <c r="I45" i="42"/>
  <c r="I29" i="48"/>
  <c r="I45" i="48" s="1"/>
  <c r="H29" i="66"/>
  <c r="E45" i="66" s="1"/>
  <c r="C65" i="66" s="1"/>
  <c r="H66" i="66" s="1"/>
  <c r="H82" i="66" s="1"/>
  <c r="I82" i="66" s="1"/>
  <c r="H29" i="71"/>
  <c r="E45" i="71" s="1"/>
  <c r="C65" i="71" s="1"/>
  <c r="H66" i="71" s="1"/>
  <c r="H79" i="71" s="1"/>
  <c r="I79" i="71" s="1"/>
  <c r="P41" i="26"/>
  <c r="U41" i="26" s="1"/>
  <c r="P13" i="17"/>
  <c r="I29" i="27"/>
  <c r="I45" i="27" s="1"/>
  <c r="C89" i="56"/>
  <c r="H89" i="56" s="1"/>
  <c r="I29" i="71"/>
  <c r="I45" i="71" s="1"/>
  <c r="I42" i="47"/>
  <c r="I43" i="47" s="1"/>
  <c r="E43" i="47"/>
  <c r="P39" i="26"/>
  <c r="U39" i="26" s="1"/>
  <c r="P28" i="17"/>
  <c r="T28" i="17" s="1"/>
  <c r="U28" i="17" s="1"/>
  <c r="T29" i="26"/>
  <c r="I17" i="15"/>
  <c r="P17" i="17"/>
  <c r="T17" i="17" s="1"/>
  <c r="H78" i="26"/>
  <c r="I78" i="26" s="1"/>
  <c r="P20" i="17"/>
  <c r="T20" i="17" s="1"/>
  <c r="U20" i="17" s="1"/>
  <c r="H84" i="26"/>
  <c r="I84" i="26" s="1"/>
  <c r="E29" i="30"/>
  <c r="P20" i="34"/>
  <c r="T20" i="34" s="1"/>
  <c r="U20" i="34" s="1"/>
  <c r="P19" i="34"/>
  <c r="T19" i="34" s="1"/>
  <c r="U19" i="34" s="1"/>
  <c r="C89" i="47"/>
  <c r="C91" i="71"/>
  <c r="H91" i="71" s="1"/>
  <c r="C62" i="77"/>
  <c r="H63" i="77" s="1"/>
  <c r="H78" i="77" s="1"/>
  <c r="I78" i="77" s="1"/>
  <c r="U109" i="26"/>
  <c r="H68" i="17"/>
  <c r="I68" i="17" s="1"/>
  <c r="I29" i="17"/>
  <c r="I29" i="15"/>
  <c r="I45" i="15" s="1"/>
  <c r="P108" i="17"/>
  <c r="U108" i="17" s="1"/>
  <c r="H73" i="26"/>
  <c r="I73" i="26" s="1"/>
  <c r="C89" i="30"/>
  <c r="H89" i="30" s="1"/>
  <c r="I43" i="18"/>
  <c r="I108" i="60"/>
  <c r="P14" i="17"/>
  <c r="T14" i="17" s="1"/>
  <c r="U14" i="17" s="1"/>
  <c r="I29" i="24"/>
  <c r="I45" i="24" s="1"/>
  <c r="H29" i="45"/>
  <c r="E45" i="45" s="1"/>
  <c r="C65" i="45" s="1"/>
  <c r="H66" i="45" s="1"/>
  <c r="I29" i="56"/>
  <c r="I45" i="56" s="1"/>
  <c r="C90" i="67"/>
  <c r="H90" i="67" s="1"/>
  <c r="I29" i="70"/>
  <c r="I45" i="70" s="1"/>
  <c r="I37" i="17"/>
  <c r="E37" i="60"/>
  <c r="E43" i="17"/>
  <c r="P90" i="40"/>
  <c r="P89" i="40"/>
  <c r="P91" i="40"/>
  <c r="E22" i="60"/>
  <c r="H22" i="60" s="1"/>
  <c r="E29" i="78"/>
  <c r="H18" i="78"/>
  <c r="H29" i="78" s="1"/>
  <c r="E45" i="78" s="1"/>
  <c r="C65" i="78" s="1"/>
  <c r="H66" i="78" s="1"/>
  <c r="J18" i="78"/>
  <c r="E18" i="60"/>
  <c r="H18" i="60" s="1"/>
  <c r="C89" i="78"/>
  <c r="E23" i="60"/>
  <c r="H23" i="60" s="1"/>
  <c r="H16" i="78"/>
  <c r="I16" i="78" s="1"/>
  <c r="J16" i="78"/>
  <c r="C62" i="78"/>
  <c r="H63" i="78" s="1"/>
  <c r="H89" i="78"/>
  <c r="H70" i="77"/>
  <c r="I70" i="77" s="1"/>
  <c r="H73" i="77"/>
  <c r="I73" i="77" s="1"/>
  <c r="H71" i="77"/>
  <c r="I71" i="77" s="1"/>
  <c r="H77" i="77"/>
  <c r="I77" i="77" s="1"/>
  <c r="H84" i="77"/>
  <c r="I84" i="77" s="1"/>
  <c r="H68" i="77"/>
  <c r="I68" i="77" s="1"/>
  <c r="P16" i="77"/>
  <c r="T16" i="77" s="1"/>
  <c r="U16" i="77" s="1"/>
  <c r="U74" i="77"/>
  <c r="U112" i="77"/>
  <c r="P108" i="77"/>
  <c r="U108" i="77" s="1"/>
  <c r="P42" i="77"/>
  <c r="U42" i="77" s="1"/>
  <c r="U75" i="77"/>
  <c r="P19" i="77"/>
  <c r="T19" i="77" s="1"/>
  <c r="U19" i="77" s="1"/>
  <c r="U83" i="77"/>
  <c r="P28" i="77"/>
  <c r="T28" i="77" s="1"/>
  <c r="U28" i="77" s="1"/>
  <c r="P26" i="77"/>
  <c r="T26" i="77" s="1"/>
  <c r="U26" i="77" s="1"/>
  <c r="P22" i="77"/>
  <c r="T22" i="77" s="1"/>
  <c r="U22" i="77" s="1"/>
  <c r="P98" i="77"/>
  <c r="U98" i="77" s="1"/>
  <c r="P21" i="77"/>
  <c r="T21" i="77" s="1"/>
  <c r="U21" i="77" s="1"/>
  <c r="P37" i="77"/>
  <c r="U111" i="77"/>
  <c r="P41" i="77"/>
  <c r="U41" i="77" s="1"/>
  <c r="P24" i="77"/>
  <c r="T24" i="77" s="1"/>
  <c r="U24" i="77" s="1"/>
  <c r="P25" i="77"/>
  <c r="T25" i="77" s="1"/>
  <c r="U25" i="77" s="1"/>
  <c r="P38" i="77"/>
  <c r="U38" i="77" s="1"/>
  <c r="P18" i="77"/>
  <c r="T18" i="77" s="1"/>
  <c r="U18" i="77" s="1"/>
  <c r="P40" i="77"/>
  <c r="U40" i="77" s="1"/>
  <c r="P17" i="77"/>
  <c r="T17" i="77" s="1"/>
  <c r="P20" i="77"/>
  <c r="T20" i="77" s="1"/>
  <c r="U20" i="77" s="1"/>
  <c r="P23" i="77"/>
  <c r="T23" i="77" s="1"/>
  <c r="U23" i="77" s="1"/>
  <c r="P39" i="77"/>
  <c r="U39" i="77" s="1"/>
  <c r="P106" i="77"/>
  <c r="U106" i="77" s="1"/>
  <c r="P14" i="77"/>
  <c r="T14" i="77" s="1"/>
  <c r="U14" i="77" s="1"/>
  <c r="P107" i="77"/>
  <c r="U107" i="77" s="1"/>
  <c r="P13" i="77"/>
  <c r="P27" i="77"/>
  <c r="T27" i="77" s="1"/>
  <c r="U27" i="77" s="1"/>
  <c r="P15" i="77"/>
  <c r="T15" i="77" s="1"/>
  <c r="H89" i="77"/>
  <c r="I92" i="77" s="1"/>
  <c r="C92" i="77"/>
  <c r="H80" i="77"/>
  <c r="I80" i="77" s="1"/>
  <c r="H79" i="77"/>
  <c r="I79" i="77" s="1"/>
  <c r="H82" i="77"/>
  <c r="I82" i="77" s="1"/>
  <c r="H81" i="77"/>
  <c r="I81" i="77" s="1"/>
  <c r="I29" i="77"/>
  <c r="I45" i="77" s="1"/>
  <c r="H80" i="68"/>
  <c r="I80" i="68" s="1"/>
  <c r="H79" i="68"/>
  <c r="I79" i="68" s="1"/>
  <c r="H81" i="68"/>
  <c r="I81" i="68" s="1"/>
  <c r="H82" i="68"/>
  <c r="I82" i="68" s="1"/>
  <c r="H89" i="68"/>
  <c r="I92" i="68" s="1"/>
  <c r="C92" i="68"/>
  <c r="H116" i="68"/>
  <c r="C62" i="68"/>
  <c r="H63" i="68" s="1"/>
  <c r="H116" i="71"/>
  <c r="C62" i="71"/>
  <c r="H63" i="71" s="1"/>
  <c r="C92" i="71"/>
  <c r="H89" i="71"/>
  <c r="I92" i="71" s="1"/>
  <c r="H82" i="71"/>
  <c r="I82" i="71" s="1"/>
  <c r="H81" i="71"/>
  <c r="I81" i="71" s="1"/>
  <c r="I109" i="70"/>
  <c r="J18" i="70"/>
  <c r="E50" i="60"/>
  <c r="J16" i="70"/>
  <c r="E59" i="70"/>
  <c r="I50" i="70"/>
  <c r="I59" i="70" s="1"/>
  <c r="C90" i="70"/>
  <c r="H90" i="70" s="1"/>
  <c r="H29" i="70"/>
  <c r="E45" i="70" s="1"/>
  <c r="C65" i="70" s="1"/>
  <c r="H66" i="70" s="1"/>
  <c r="H82" i="70" s="1"/>
  <c r="I82" i="70" s="1"/>
  <c r="C62" i="70"/>
  <c r="H63" i="70" s="1"/>
  <c r="H78" i="70" s="1"/>
  <c r="I78" i="70" s="1"/>
  <c r="H71" i="70"/>
  <c r="I71" i="70" s="1"/>
  <c r="C92" i="70"/>
  <c r="H89" i="70"/>
  <c r="P42" i="70"/>
  <c r="U42" i="70" s="1"/>
  <c r="P20" i="70"/>
  <c r="T20" i="70" s="1"/>
  <c r="U20" i="70" s="1"/>
  <c r="P107" i="70"/>
  <c r="U107" i="70" s="1"/>
  <c r="P19" i="70"/>
  <c r="T19" i="70" s="1"/>
  <c r="U19" i="70" s="1"/>
  <c r="U75" i="70"/>
  <c r="P23" i="70"/>
  <c r="T23" i="70" s="1"/>
  <c r="U23" i="70" s="1"/>
  <c r="P25" i="70"/>
  <c r="T25" i="70" s="1"/>
  <c r="U25" i="70" s="1"/>
  <c r="P38" i="70"/>
  <c r="U38" i="70" s="1"/>
  <c r="P24" i="70"/>
  <c r="T24" i="70" s="1"/>
  <c r="U24" i="70" s="1"/>
  <c r="P16" i="70"/>
  <c r="T16" i="70" s="1"/>
  <c r="U16" i="70" s="1"/>
  <c r="P18" i="70"/>
  <c r="T18" i="70" s="1"/>
  <c r="U18" i="70" s="1"/>
  <c r="U83" i="70"/>
  <c r="P40" i="70"/>
  <c r="U40" i="70" s="1"/>
  <c r="P17" i="70"/>
  <c r="T17" i="70" s="1"/>
  <c r="U112" i="70"/>
  <c r="P39" i="70"/>
  <c r="U39" i="70" s="1"/>
  <c r="U111" i="70"/>
  <c r="P14" i="70"/>
  <c r="T14" i="70" s="1"/>
  <c r="U14" i="70" s="1"/>
  <c r="P26" i="70"/>
  <c r="T26" i="70" s="1"/>
  <c r="U26" i="70" s="1"/>
  <c r="P41" i="70"/>
  <c r="U41" i="70" s="1"/>
  <c r="P28" i="70"/>
  <c r="T28" i="70" s="1"/>
  <c r="U28" i="70" s="1"/>
  <c r="P37" i="70"/>
  <c r="P106" i="70"/>
  <c r="U106" i="70" s="1"/>
  <c r="P27" i="70"/>
  <c r="T27" i="70" s="1"/>
  <c r="U27" i="70" s="1"/>
  <c r="P15" i="70"/>
  <c r="T15" i="70" s="1"/>
  <c r="P21" i="70"/>
  <c r="T21" i="70" s="1"/>
  <c r="U21" i="70" s="1"/>
  <c r="P98" i="70"/>
  <c r="U98" i="70" s="1"/>
  <c r="P22" i="70"/>
  <c r="T22" i="70" s="1"/>
  <c r="U22" i="70" s="1"/>
  <c r="U74" i="70"/>
  <c r="P13" i="70"/>
  <c r="P108" i="70"/>
  <c r="U108" i="70" s="1"/>
  <c r="H79" i="70"/>
  <c r="I79" i="70" s="1"/>
  <c r="J14" i="69"/>
  <c r="E29" i="69"/>
  <c r="C89" i="69"/>
  <c r="H89" i="69" s="1"/>
  <c r="I20" i="60"/>
  <c r="H16" i="69"/>
  <c r="J16" i="69"/>
  <c r="J18" i="69"/>
  <c r="H18" i="69"/>
  <c r="I18" i="69" s="1"/>
  <c r="C62" i="69"/>
  <c r="H63" i="69" s="1"/>
  <c r="C62" i="67"/>
  <c r="H63" i="67" s="1"/>
  <c r="H116" i="67"/>
  <c r="H81" i="67"/>
  <c r="I81" i="67" s="1"/>
  <c r="H89" i="67"/>
  <c r="C92" i="67"/>
  <c r="I92" i="67"/>
  <c r="I29" i="66"/>
  <c r="I45" i="66" s="1"/>
  <c r="H116" i="66"/>
  <c r="C62" i="66"/>
  <c r="H63" i="66" s="1"/>
  <c r="H89" i="66"/>
  <c r="I92" i="66" s="1"/>
  <c r="C92" i="66"/>
  <c r="H81" i="66"/>
  <c r="I81" i="66" s="1"/>
  <c r="H80" i="66"/>
  <c r="I80" i="66" s="1"/>
  <c r="E15" i="60"/>
  <c r="H15" i="60" s="1"/>
  <c r="H18" i="58"/>
  <c r="I18" i="58" s="1"/>
  <c r="J18" i="58"/>
  <c r="I26" i="60"/>
  <c r="E26" i="60"/>
  <c r="H26" i="60" s="1"/>
  <c r="E21" i="60"/>
  <c r="H21" i="60" s="1"/>
  <c r="E14" i="60"/>
  <c r="H14" i="60" s="1"/>
  <c r="E29" i="58"/>
  <c r="H14" i="58"/>
  <c r="H16" i="58"/>
  <c r="I16" i="58" s="1"/>
  <c r="J16" i="58"/>
  <c r="C62" i="57"/>
  <c r="H63" i="57" s="1"/>
  <c r="H71" i="57" s="1"/>
  <c r="I71" i="57" s="1"/>
  <c r="H29" i="57"/>
  <c r="E45" i="57" s="1"/>
  <c r="C65" i="57" s="1"/>
  <c r="H66" i="57" s="1"/>
  <c r="H79" i="57" s="1"/>
  <c r="I79" i="57" s="1"/>
  <c r="C89" i="57"/>
  <c r="H89" i="57" s="1"/>
  <c r="I92" i="57" s="1"/>
  <c r="I29" i="57"/>
  <c r="I45" i="57" s="1"/>
  <c r="C92" i="57"/>
  <c r="P39" i="57"/>
  <c r="U39" i="57" s="1"/>
  <c r="P25" i="57"/>
  <c r="T25" i="57" s="1"/>
  <c r="U25" i="57" s="1"/>
  <c r="P106" i="57"/>
  <c r="U106" i="57" s="1"/>
  <c r="P15" i="57"/>
  <c r="T15" i="57" s="1"/>
  <c r="P42" i="57"/>
  <c r="U42" i="57" s="1"/>
  <c r="U83" i="57"/>
  <c r="P108" i="57"/>
  <c r="U108" i="57" s="1"/>
  <c r="P19" i="57"/>
  <c r="T19" i="57" s="1"/>
  <c r="U19" i="57" s="1"/>
  <c r="P28" i="57"/>
  <c r="T28" i="57" s="1"/>
  <c r="U28" i="57" s="1"/>
  <c r="P13" i="57"/>
  <c r="P21" i="57"/>
  <c r="T21" i="57" s="1"/>
  <c r="U21" i="57" s="1"/>
  <c r="P20" i="57"/>
  <c r="T20" i="57" s="1"/>
  <c r="U20" i="57" s="1"/>
  <c r="P22" i="57"/>
  <c r="T22" i="57" s="1"/>
  <c r="U22" i="57" s="1"/>
  <c r="P26" i="57"/>
  <c r="T26" i="57" s="1"/>
  <c r="U26" i="57" s="1"/>
  <c r="U75" i="57"/>
  <c r="P38" i="57"/>
  <c r="U38" i="57" s="1"/>
  <c r="P98" i="57"/>
  <c r="U98" i="57" s="1"/>
  <c r="P27" i="57"/>
  <c r="T27" i="57" s="1"/>
  <c r="U27" i="57" s="1"/>
  <c r="P14" i="57"/>
  <c r="T14" i="57" s="1"/>
  <c r="U14" i="57" s="1"/>
  <c r="P41" i="57"/>
  <c r="U41" i="57" s="1"/>
  <c r="P17" i="57"/>
  <c r="T17" i="57" s="1"/>
  <c r="P37" i="57"/>
  <c r="P16" i="57"/>
  <c r="T16" i="57" s="1"/>
  <c r="U16" i="57" s="1"/>
  <c r="U74" i="57"/>
  <c r="P18" i="57"/>
  <c r="T18" i="57" s="1"/>
  <c r="U18" i="57" s="1"/>
  <c r="P24" i="57"/>
  <c r="T24" i="57" s="1"/>
  <c r="U24" i="57" s="1"/>
  <c r="P23" i="57"/>
  <c r="T23" i="57" s="1"/>
  <c r="U23" i="57" s="1"/>
  <c r="U112" i="57"/>
  <c r="U111" i="57"/>
  <c r="P107" i="57"/>
  <c r="U107" i="57" s="1"/>
  <c r="P40" i="57"/>
  <c r="U40" i="57" s="1"/>
  <c r="I92" i="56"/>
  <c r="I23" i="60"/>
  <c r="H116" i="56"/>
  <c r="C62" i="56"/>
  <c r="H63" i="56" s="1"/>
  <c r="H82" i="56"/>
  <c r="I82" i="56" s="1"/>
  <c r="H81" i="56"/>
  <c r="I81" i="56" s="1"/>
  <c r="H79" i="56"/>
  <c r="I79" i="56" s="1"/>
  <c r="H80" i="56"/>
  <c r="I80" i="56" s="1"/>
  <c r="C92" i="56"/>
  <c r="U109" i="55"/>
  <c r="H73" i="55"/>
  <c r="I73" i="55" s="1"/>
  <c r="H84" i="55"/>
  <c r="I84" i="55" s="1"/>
  <c r="H78" i="55"/>
  <c r="I78" i="55" s="1"/>
  <c r="H68" i="55"/>
  <c r="I68" i="55" s="1"/>
  <c r="H77" i="55"/>
  <c r="I77" i="55" s="1"/>
  <c r="H71" i="55"/>
  <c r="I71" i="55" s="1"/>
  <c r="H72" i="55"/>
  <c r="I72" i="55" s="1"/>
  <c r="H70" i="55"/>
  <c r="I70" i="55" s="1"/>
  <c r="H29" i="55"/>
  <c r="E45" i="55" s="1"/>
  <c r="C65" i="55" s="1"/>
  <c r="H66" i="55" s="1"/>
  <c r="C90" i="55"/>
  <c r="O91" i="55"/>
  <c r="T91" i="55" s="1"/>
  <c r="U17" i="55"/>
  <c r="U37" i="55"/>
  <c r="U43" i="55" s="1"/>
  <c r="R43" i="55"/>
  <c r="T13" i="55"/>
  <c r="P29" i="55"/>
  <c r="P62" i="55" s="1"/>
  <c r="T63" i="55" s="1"/>
  <c r="U15" i="55"/>
  <c r="O90" i="55"/>
  <c r="T90" i="55" s="1"/>
  <c r="I29" i="55"/>
  <c r="I45" i="55" s="1"/>
  <c r="J16" i="76"/>
  <c r="I56" i="76"/>
  <c r="J18" i="76"/>
  <c r="I50" i="76"/>
  <c r="I59" i="76" s="1"/>
  <c r="E59" i="76"/>
  <c r="I55" i="60"/>
  <c r="E56" i="60"/>
  <c r="I109" i="76"/>
  <c r="C62" i="76"/>
  <c r="H63" i="76" s="1"/>
  <c r="H116" i="76"/>
  <c r="H80" i="76"/>
  <c r="I80" i="76" s="1"/>
  <c r="H82" i="76"/>
  <c r="I82" i="76" s="1"/>
  <c r="H79" i="76"/>
  <c r="I79" i="76" s="1"/>
  <c r="H81" i="76"/>
  <c r="I81" i="76" s="1"/>
  <c r="H89" i="76"/>
  <c r="I92" i="76" s="1"/>
  <c r="C92" i="76"/>
  <c r="I29" i="76"/>
  <c r="I45" i="76" s="1"/>
  <c r="P42" i="75"/>
  <c r="U42" i="75" s="1"/>
  <c r="P107" i="75"/>
  <c r="U107" i="75" s="1"/>
  <c r="P28" i="75"/>
  <c r="T28" i="75" s="1"/>
  <c r="U28" i="75" s="1"/>
  <c r="P16" i="75"/>
  <c r="T16" i="75" s="1"/>
  <c r="U16" i="75" s="1"/>
  <c r="U74" i="75"/>
  <c r="P108" i="75"/>
  <c r="U108" i="75" s="1"/>
  <c r="P19" i="75"/>
  <c r="T19" i="75" s="1"/>
  <c r="U19" i="75" s="1"/>
  <c r="P26" i="75"/>
  <c r="T26" i="75" s="1"/>
  <c r="U26" i="75" s="1"/>
  <c r="P13" i="75"/>
  <c r="U75" i="75"/>
  <c r="P40" i="75"/>
  <c r="U40" i="75" s="1"/>
  <c r="P21" i="75"/>
  <c r="T21" i="75" s="1"/>
  <c r="U21" i="75" s="1"/>
  <c r="P37" i="75"/>
  <c r="U112" i="75"/>
  <c r="P38" i="75"/>
  <c r="U38" i="75" s="1"/>
  <c r="P39" i="75"/>
  <c r="U39" i="75" s="1"/>
  <c r="P41" i="75"/>
  <c r="U41" i="75" s="1"/>
  <c r="P106" i="75"/>
  <c r="U106" i="75" s="1"/>
  <c r="U109" i="75" s="1"/>
  <c r="P24" i="75"/>
  <c r="T24" i="75" s="1"/>
  <c r="U24" i="75" s="1"/>
  <c r="P98" i="75"/>
  <c r="U98" i="75" s="1"/>
  <c r="P18" i="75"/>
  <c r="T18" i="75" s="1"/>
  <c r="U18" i="75" s="1"/>
  <c r="P17" i="75"/>
  <c r="T17" i="75" s="1"/>
  <c r="P20" i="75"/>
  <c r="T20" i="75" s="1"/>
  <c r="U20" i="75" s="1"/>
  <c r="P25" i="75"/>
  <c r="T25" i="75" s="1"/>
  <c r="U25" i="75" s="1"/>
  <c r="U83" i="75"/>
  <c r="P15" i="75"/>
  <c r="T15" i="75" s="1"/>
  <c r="P27" i="75"/>
  <c r="T27" i="75" s="1"/>
  <c r="U27" i="75" s="1"/>
  <c r="P14" i="75"/>
  <c r="T14" i="75" s="1"/>
  <c r="U14" i="75" s="1"/>
  <c r="P22" i="75"/>
  <c r="T22" i="75" s="1"/>
  <c r="U22" i="75" s="1"/>
  <c r="U111" i="75"/>
  <c r="P23" i="75"/>
  <c r="T23" i="75" s="1"/>
  <c r="U23" i="75" s="1"/>
  <c r="H78" i="75"/>
  <c r="I78" i="75" s="1"/>
  <c r="H84" i="75"/>
  <c r="I84" i="75" s="1"/>
  <c r="H77" i="75"/>
  <c r="I77" i="75" s="1"/>
  <c r="H72" i="75"/>
  <c r="I72" i="75" s="1"/>
  <c r="H70" i="75"/>
  <c r="I70" i="75" s="1"/>
  <c r="H68" i="75"/>
  <c r="I68" i="75" s="1"/>
  <c r="H71" i="75"/>
  <c r="I71" i="75" s="1"/>
  <c r="H73" i="75"/>
  <c r="I73" i="75" s="1"/>
  <c r="C89" i="75"/>
  <c r="H29" i="75"/>
  <c r="E45" i="75" s="1"/>
  <c r="C65" i="75" s="1"/>
  <c r="H66" i="75" s="1"/>
  <c r="I13" i="75"/>
  <c r="I29" i="75" s="1"/>
  <c r="H29" i="52"/>
  <c r="E45" i="52" s="1"/>
  <c r="C65" i="52" s="1"/>
  <c r="H66" i="52" s="1"/>
  <c r="H82" i="52" s="1"/>
  <c r="I82" i="52" s="1"/>
  <c r="C90" i="52"/>
  <c r="H90" i="52" s="1"/>
  <c r="C91" i="52"/>
  <c r="H91" i="52" s="1"/>
  <c r="C62" i="52"/>
  <c r="H63" i="52" s="1"/>
  <c r="H116" i="52"/>
  <c r="H89" i="52"/>
  <c r="H116" i="51"/>
  <c r="P40" i="51" s="1"/>
  <c r="U40" i="51" s="1"/>
  <c r="H90" i="51"/>
  <c r="C92" i="51"/>
  <c r="H79" i="51"/>
  <c r="I79" i="51" s="1"/>
  <c r="H80" i="51"/>
  <c r="I80" i="51" s="1"/>
  <c r="H82" i="51"/>
  <c r="I82" i="51" s="1"/>
  <c r="H81" i="51"/>
  <c r="I81" i="51" s="1"/>
  <c r="P17" i="51"/>
  <c r="T17" i="51" s="1"/>
  <c r="U83" i="51"/>
  <c r="P24" i="51"/>
  <c r="T24" i="51" s="1"/>
  <c r="U24" i="51" s="1"/>
  <c r="P21" i="51"/>
  <c r="T21" i="51" s="1"/>
  <c r="U21" i="51" s="1"/>
  <c r="P14" i="51"/>
  <c r="T14" i="51" s="1"/>
  <c r="U14" i="51" s="1"/>
  <c r="U75" i="51"/>
  <c r="H72" i="51"/>
  <c r="I72" i="51" s="1"/>
  <c r="H71" i="51"/>
  <c r="I71" i="51" s="1"/>
  <c r="H84" i="51"/>
  <c r="I84" i="51" s="1"/>
  <c r="H78" i="51"/>
  <c r="I78" i="51" s="1"/>
  <c r="H77" i="51"/>
  <c r="I77" i="51" s="1"/>
  <c r="H70" i="51"/>
  <c r="I70" i="51" s="1"/>
  <c r="H73" i="51"/>
  <c r="I73" i="51" s="1"/>
  <c r="H68" i="51"/>
  <c r="I68" i="51" s="1"/>
  <c r="I92" i="51"/>
  <c r="H29" i="50"/>
  <c r="E45" i="50" s="1"/>
  <c r="C65" i="50" s="1"/>
  <c r="H66" i="50" s="1"/>
  <c r="H80" i="50" s="1"/>
  <c r="I80" i="50" s="1"/>
  <c r="C62" i="50"/>
  <c r="H63" i="50" s="1"/>
  <c r="H116" i="50"/>
  <c r="H89" i="50"/>
  <c r="I92" i="50" s="1"/>
  <c r="C92" i="50"/>
  <c r="H82" i="50"/>
  <c r="I82" i="50" s="1"/>
  <c r="I29" i="50"/>
  <c r="I45" i="50" s="1"/>
  <c r="C92" i="48"/>
  <c r="H89" i="48"/>
  <c r="I92" i="48" s="1"/>
  <c r="H116" i="48"/>
  <c r="C62" i="48"/>
  <c r="H63" i="48" s="1"/>
  <c r="H79" i="48"/>
  <c r="I79" i="48" s="1"/>
  <c r="H82" i="48"/>
  <c r="I82" i="48" s="1"/>
  <c r="H80" i="48"/>
  <c r="I80" i="48" s="1"/>
  <c r="H81" i="48"/>
  <c r="I81" i="48" s="1"/>
  <c r="C62" i="47"/>
  <c r="H63" i="47" s="1"/>
  <c r="H72" i="47" s="1"/>
  <c r="I72" i="47" s="1"/>
  <c r="C91" i="47"/>
  <c r="H91" i="47" s="1"/>
  <c r="I17" i="47"/>
  <c r="I29" i="47" s="1"/>
  <c r="I45" i="47" s="1"/>
  <c r="H81" i="47"/>
  <c r="I81" i="47" s="1"/>
  <c r="H89" i="47"/>
  <c r="H70" i="47"/>
  <c r="I70" i="47" s="1"/>
  <c r="H77" i="47"/>
  <c r="I77" i="47" s="1"/>
  <c r="P20" i="47"/>
  <c r="T20" i="47" s="1"/>
  <c r="U20" i="47" s="1"/>
  <c r="P41" i="47"/>
  <c r="U41" i="47" s="1"/>
  <c r="P28" i="47"/>
  <c r="T28" i="47" s="1"/>
  <c r="U28" i="47" s="1"/>
  <c r="P17" i="47"/>
  <c r="T17" i="47" s="1"/>
  <c r="P39" i="47"/>
  <c r="U39" i="47" s="1"/>
  <c r="P107" i="47"/>
  <c r="U107" i="47" s="1"/>
  <c r="P24" i="47"/>
  <c r="T24" i="47" s="1"/>
  <c r="U24" i="47" s="1"/>
  <c r="P13" i="47"/>
  <c r="U111" i="47"/>
  <c r="P37" i="47"/>
  <c r="U74" i="47"/>
  <c r="P23" i="47"/>
  <c r="T23" i="47" s="1"/>
  <c r="U23" i="47" s="1"/>
  <c r="P16" i="47"/>
  <c r="T16" i="47" s="1"/>
  <c r="U16" i="47" s="1"/>
  <c r="P40" i="47"/>
  <c r="U40" i="47" s="1"/>
  <c r="P15" i="47"/>
  <c r="T15" i="47" s="1"/>
  <c r="P21" i="47"/>
  <c r="T21" i="47" s="1"/>
  <c r="U21" i="47" s="1"/>
  <c r="U75" i="47"/>
  <c r="P106" i="47"/>
  <c r="U106" i="47" s="1"/>
  <c r="P108" i="47"/>
  <c r="U108" i="47" s="1"/>
  <c r="P42" i="47"/>
  <c r="U42" i="47" s="1"/>
  <c r="P18" i="47"/>
  <c r="T18" i="47" s="1"/>
  <c r="U18" i="47" s="1"/>
  <c r="P98" i="47"/>
  <c r="U98" i="47" s="1"/>
  <c r="P22" i="47"/>
  <c r="T22" i="47" s="1"/>
  <c r="U22" i="47" s="1"/>
  <c r="P25" i="47"/>
  <c r="T25" i="47" s="1"/>
  <c r="U25" i="47" s="1"/>
  <c r="P14" i="47"/>
  <c r="T14" i="47" s="1"/>
  <c r="U14" i="47" s="1"/>
  <c r="P38" i="47"/>
  <c r="U38" i="47" s="1"/>
  <c r="P19" i="47"/>
  <c r="T19" i="47" s="1"/>
  <c r="U19" i="47" s="1"/>
  <c r="P26" i="47"/>
  <c r="T26" i="47" s="1"/>
  <c r="U26" i="47" s="1"/>
  <c r="P27" i="47"/>
  <c r="T27" i="47" s="1"/>
  <c r="U27" i="47" s="1"/>
  <c r="U112" i="47"/>
  <c r="U83" i="47"/>
  <c r="C89" i="45"/>
  <c r="H89" i="45" s="1"/>
  <c r="I92" i="45" s="1"/>
  <c r="I29" i="45"/>
  <c r="I45" i="45" s="1"/>
  <c r="H79" i="45"/>
  <c r="I79" i="45" s="1"/>
  <c r="H82" i="45"/>
  <c r="I82" i="45" s="1"/>
  <c r="H80" i="45"/>
  <c r="I80" i="45" s="1"/>
  <c r="H81" i="45"/>
  <c r="I81" i="45" s="1"/>
  <c r="H116" i="45"/>
  <c r="C62" i="45"/>
  <c r="H63" i="45" s="1"/>
  <c r="I29" i="44"/>
  <c r="I45" i="44" s="1"/>
  <c r="H29" i="44"/>
  <c r="E45" i="44" s="1"/>
  <c r="C65" i="44" s="1"/>
  <c r="H66" i="44" s="1"/>
  <c r="H81" i="44" s="1"/>
  <c r="I81" i="44" s="1"/>
  <c r="H116" i="44"/>
  <c r="C62" i="44"/>
  <c r="H63" i="44" s="1"/>
  <c r="I92" i="44"/>
  <c r="C92" i="44"/>
  <c r="H89" i="44"/>
  <c r="E51" i="60"/>
  <c r="I51" i="60"/>
  <c r="I50" i="43"/>
  <c r="E59" i="43"/>
  <c r="J14" i="43"/>
  <c r="J18" i="43"/>
  <c r="I53" i="43"/>
  <c r="J16" i="43"/>
  <c r="C92" i="43"/>
  <c r="H89" i="43"/>
  <c r="I92" i="43" s="1"/>
  <c r="H81" i="43"/>
  <c r="I81" i="43" s="1"/>
  <c r="H80" i="43"/>
  <c r="I80" i="43" s="1"/>
  <c r="H79" i="43"/>
  <c r="I79" i="43" s="1"/>
  <c r="H82" i="43"/>
  <c r="I82" i="43" s="1"/>
  <c r="C62" i="43"/>
  <c r="H63" i="43" s="1"/>
  <c r="H116" i="43"/>
  <c r="I59" i="42"/>
  <c r="I19" i="60"/>
  <c r="C62" i="42"/>
  <c r="H63" i="42" s="1"/>
  <c r="H116" i="42"/>
  <c r="H89" i="42"/>
  <c r="I92" i="42" s="1"/>
  <c r="C92" i="42"/>
  <c r="H82" i="42"/>
  <c r="I82" i="42" s="1"/>
  <c r="H81" i="42"/>
  <c r="I81" i="42" s="1"/>
  <c r="H80" i="42"/>
  <c r="I80" i="42" s="1"/>
  <c r="H79" i="42"/>
  <c r="I79" i="42" s="1"/>
  <c r="C62" i="40"/>
  <c r="H63" i="40" s="1"/>
  <c r="H116" i="40"/>
  <c r="C92" i="40"/>
  <c r="H89" i="40"/>
  <c r="I92" i="40" s="1"/>
  <c r="H82" i="40"/>
  <c r="I82" i="40" s="1"/>
  <c r="H79" i="40"/>
  <c r="I79" i="40" s="1"/>
  <c r="H80" i="40"/>
  <c r="I80" i="40" s="1"/>
  <c r="H81" i="40"/>
  <c r="I81" i="40" s="1"/>
  <c r="H116" i="39"/>
  <c r="P14" i="39" s="1"/>
  <c r="T14" i="39" s="1"/>
  <c r="U14" i="39" s="1"/>
  <c r="C92" i="39"/>
  <c r="H89" i="39"/>
  <c r="I92" i="39" s="1"/>
  <c r="H82" i="39"/>
  <c r="I82" i="39" s="1"/>
  <c r="H81" i="39"/>
  <c r="I81" i="39" s="1"/>
  <c r="H80" i="39"/>
  <c r="I80" i="39" s="1"/>
  <c r="H79" i="39"/>
  <c r="I79" i="39" s="1"/>
  <c r="P18" i="39"/>
  <c r="T18" i="39" s="1"/>
  <c r="U18" i="39" s="1"/>
  <c r="P40" i="39"/>
  <c r="U40" i="39" s="1"/>
  <c r="P23" i="39"/>
  <c r="T23" i="39" s="1"/>
  <c r="U23" i="39" s="1"/>
  <c r="P41" i="39"/>
  <c r="U41" i="39" s="1"/>
  <c r="U112" i="39"/>
  <c r="P107" i="39"/>
  <c r="U107" i="39" s="1"/>
  <c r="P42" i="39"/>
  <c r="U42" i="39" s="1"/>
  <c r="P26" i="39"/>
  <c r="T26" i="39" s="1"/>
  <c r="U26" i="39" s="1"/>
  <c r="U83" i="39"/>
  <c r="P22" i="39"/>
  <c r="T22" i="39" s="1"/>
  <c r="U22" i="39" s="1"/>
  <c r="U111" i="39"/>
  <c r="P37" i="39"/>
  <c r="P24" i="39"/>
  <c r="T24" i="39" s="1"/>
  <c r="U24" i="39" s="1"/>
  <c r="P25" i="39"/>
  <c r="T25" i="39" s="1"/>
  <c r="U25" i="39" s="1"/>
  <c r="P16" i="39"/>
  <c r="T16" i="39" s="1"/>
  <c r="U16" i="39" s="1"/>
  <c r="P15" i="39"/>
  <c r="T15" i="39" s="1"/>
  <c r="P13" i="39"/>
  <c r="P20" i="39"/>
  <c r="T20" i="39" s="1"/>
  <c r="U20" i="39" s="1"/>
  <c r="P17" i="39"/>
  <c r="T17" i="39" s="1"/>
  <c r="P108" i="39"/>
  <c r="U108" i="39" s="1"/>
  <c r="P106" i="39"/>
  <c r="U106" i="39" s="1"/>
  <c r="U109" i="39" s="1"/>
  <c r="H72" i="39"/>
  <c r="I72" i="39" s="1"/>
  <c r="H70" i="39"/>
  <c r="I70" i="39" s="1"/>
  <c r="H84" i="39"/>
  <c r="I84" i="39" s="1"/>
  <c r="H68" i="39"/>
  <c r="I68" i="39" s="1"/>
  <c r="H78" i="39"/>
  <c r="I78" i="39" s="1"/>
  <c r="H77" i="39"/>
  <c r="I77" i="39" s="1"/>
  <c r="H71" i="39"/>
  <c r="I71" i="39" s="1"/>
  <c r="H73" i="39"/>
  <c r="I73" i="39" s="1"/>
  <c r="C62" i="38"/>
  <c r="H63" i="38" s="1"/>
  <c r="H116" i="38"/>
  <c r="H81" i="38"/>
  <c r="I81" i="38" s="1"/>
  <c r="H80" i="38"/>
  <c r="I80" i="38" s="1"/>
  <c r="H82" i="38"/>
  <c r="I82" i="38" s="1"/>
  <c r="H79" i="38"/>
  <c r="I79" i="38" s="1"/>
  <c r="C92" i="38"/>
  <c r="H89" i="38"/>
  <c r="I92" i="38" s="1"/>
  <c r="H116" i="37"/>
  <c r="C62" i="37"/>
  <c r="H63" i="37" s="1"/>
  <c r="I29" i="37"/>
  <c r="I45" i="37" s="1"/>
  <c r="I27" i="60"/>
  <c r="H79" i="37"/>
  <c r="I79" i="37" s="1"/>
  <c r="H82" i="37"/>
  <c r="I82" i="37" s="1"/>
  <c r="H81" i="37"/>
  <c r="I81" i="37" s="1"/>
  <c r="H80" i="37"/>
  <c r="I80" i="37" s="1"/>
  <c r="H89" i="37"/>
  <c r="I92" i="37" s="1"/>
  <c r="C92" i="37"/>
  <c r="J18" i="36"/>
  <c r="H18" i="36"/>
  <c r="E24" i="60"/>
  <c r="H24" i="60" s="1"/>
  <c r="H16" i="36"/>
  <c r="J16" i="36"/>
  <c r="E29" i="36"/>
  <c r="E20" i="60"/>
  <c r="H20" i="60" s="1"/>
  <c r="I25" i="60"/>
  <c r="J14" i="36"/>
  <c r="H14" i="36"/>
  <c r="I14" i="36" s="1"/>
  <c r="C89" i="36"/>
  <c r="I24" i="60"/>
  <c r="I53" i="23"/>
  <c r="J16" i="23"/>
  <c r="I109" i="23"/>
  <c r="E53" i="60"/>
  <c r="I57" i="60"/>
  <c r="E59" i="23"/>
  <c r="J14" i="23"/>
  <c r="I50" i="23"/>
  <c r="E54" i="60"/>
  <c r="J18" i="23"/>
  <c r="I56" i="23"/>
  <c r="I56" i="60" s="1"/>
  <c r="H17" i="23"/>
  <c r="E29" i="23"/>
  <c r="H89" i="23"/>
  <c r="H116" i="35"/>
  <c r="C62" i="35"/>
  <c r="H63" i="35" s="1"/>
  <c r="I29" i="35"/>
  <c r="I45" i="35" s="1"/>
  <c r="H79" i="35"/>
  <c r="I79" i="35" s="1"/>
  <c r="H81" i="35"/>
  <c r="I81" i="35" s="1"/>
  <c r="H80" i="35"/>
  <c r="I80" i="35" s="1"/>
  <c r="H82" i="35"/>
  <c r="I82" i="35" s="1"/>
  <c r="C92" i="35"/>
  <c r="H89" i="35"/>
  <c r="I92" i="35" s="1"/>
  <c r="I29" i="34"/>
  <c r="I45" i="34" s="1"/>
  <c r="T13" i="34"/>
  <c r="P29" i="34"/>
  <c r="P62" i="34" s="1"/>
  <c r="T63" i="34" s="1"/>
  <c r="U109" i="34"/>
  <c r="U17" i="34"/>
  <c r="O91" i="34"/>
  <c r="T91" i="34" s="1"/>
  <c r="O90" i="34"/>
  <c r="T90" i="34" s="1"/>
  <c r="U15" i="34"/>
  <c r="H78" i="34"/>
  <c r="I78" i="34" s="1"/>
  <c r="H73" i="34"/>
  <c r="I73" i="34" s="1"/>
  <c r="H77" i="34"/>
  <c r="I77" i="34" s="1"/>
  <c r="H84" i="34"/>
  <c r="I84" i="34" s="1"/>
  <c r="H70" i="34"/>
  <c r="I70" i="34" s="1"/>
  <c r="H72" i="34"/>
  <c r="I72" i="34" s="1"/>
  <c r="H68" i="34"/>
  <c r="I68" i="34" s="1"/>
  <c r="H71" i="34"/>
  <c r="I71" i="34" s="1"/>
  <c r="U37" i="34"/>
  <c r="U43" i="34" s="1"/>
  <c r="R43" i="34"/>
  <c r="H81" i="34"/>
  <c r="I81" i="34" s="1"/>
  <c r="H79" i="34"/>
  <c r="I79" i="34" s="1"/>
  <c r="H82" i="34"/>
  <c r="I82" i="34" s="1"/>
  <c r="H80" i="34"/>
  <c r="I80" i="34" s="1"/>
  <c r="C92" i="34"/>
  <c r="H89" i="34"/>
  <c r="I92" i="34" s="1"/>
  <c r="J16" i="33"/>
  <c r="E107" i="60"/>
  <c r="I54" i="33"/>
  <c r="E55" i="60"/>
  <c r="J18" i="33"/>
  <c r="I58" i="60"/>
  <c r="E57" i="60"/>
  <c r="E58" i="60"/>
  <c r="I52" i="33"/>
  <c r="I52" i="60" s="1"/>
  <c r="E52" i="60"/>
  <c r="E59" i="33"/>
  <c r="J14" i="33"/>
  <c r="I50" i="33"/>
  <c r="I107" i="60"/>
  <c r="I54" i="60"/>
  <c r="C62" i="33"/>
  <c r="H63" i="33" s="1"/>
  <c r="H68" i="33" s="1"/>
  <c r="I68" i="33" s="1"/>
  <c r="H116" i="33"/>
  <c r="U112" i="33" s="1"/>
  <c r="I92" i="33"/>
  <c r="I29" i="33"/>
  <c r="I45" i="33" s="1"/>
  <c r="H89" i="33"/>
  <c r="C92" i="33"/>
  <c r="H79" i="33"/>
  <c r="I79" i="33" s="1"/>
  <c r="H82" i="33"/>
  <c r="I82" i="33" s="1"/>
  <c r="H81" i="33"/>
  <c r="I81" i="33" s="1"/>
  <c r="H80" i="33"/>
  <c r="I80" i="33" s="1"/>
  <c r="P27" i="33"/>
  <c r="T27" i="33" s="1"/>
  <c r="U27" i="33" s="1"/>
  <c r="P21" i="33"/>
  <c r="T21" i="33" s="1"/>
  <c r="U21" i="33" s="1"/>
  <c r="P108" i="33"/>
  <c r="U108" i="33" s="1"/>
  <c r="P40" i="33"/>
  <c r="U40" i="33" s="1"/>
  <c r="P15" i="33"/>
  <c r="T15" i="33" s="1"/>
  <c r="P18" i="33"/>
  <c r="T18" i="33" s="1"/>
  <c r="U18" i="33" s="1"/>
  <c r="P41" i="33"/>
  <c r="U41" i="33" s="1"/>
  <c r="H29" i="32"/>
  <c r="E45" i="32" s="1"/>
  <c r="C65" i="32" s="1"/>
  <c r="H66" i="32" s="1"/>
  <c r="H81" i="32" s="1"/>
  <c r="I81" i="32" s="1"/>
  <c r="C89" i="32"/>
  <c r="H89" i="32" s="1"/>
  <c r="I92" i="32" s="1"/>
  <c r="I29" i="32"/>
  <c r="I45" i="32" s="1"/>
  <c r="C92" i="32"/>
  <c r="H71" i="32"/>
  <c r="I71" i="32" s="1"/>
  <c r="H72" i="32"/>
  <c r="I72" i="32" s="1"/>
  <c r="H73" i="32"/>
  <c r="I73" i="32" s="1"/>
  <c r="H68" i="32"/>
  <c r="I68" i="32" s="1"/>
  <c r="H84" i="32"/>
  <c r="I84" i="32" s="1"/>
  <c r="H78" i="32"/>
  <c r="I78" i="32" s="1"/>
  <c r="H77" i="32"/>
  <c r="I77" i="32" s="1"/>
  <c r="H70" i="32"/>
  <c r="I70" i="32" s="1"/>
  <c r="P23" i="32"/>
  <c r="T23" i="32" s="1"/>
  <c r="U23" i="32" s="1"/>
  <c r="P28" i="32"/>
  <c r="T28" i="32" s="1"/>
  <c r="U28" i="32" s="1"/>
  <c r="P25" i="32"/>
  <c r="T25" i="32" s="1"/>
  <c r="U25" i="32" s="1"/>
  <c r="U74" i="32"/>
  <c r="U111" i="32"/>
  <c r="P20" i="32"/>
  <c r="T20" i="32" s="1"/>
  <c r="U20" i="32" s="1"/>
  <c r="P40" i="32"/>
  <c r="U40" i="32" s="1"/>
  <c r="P22" i="32"/>
  <c r="T22" i="32" s="1"/>
  <c r="U22" i="32" s="1"/>
  <c r="P13" i="32"/>
  <c r="P14" i="32"/>
  <c r="T14" i="32" s="1"/>
  <c r="U14" i="32" s="1"/>
  <c r="P108" i="32"/>
  <c r="U108" i="32" s="1"/>
  <c r="P15" i="32"/>
  <c r="T15" i="32" s="1"/>
  <c r="P37" i="32"/>
  <c r="P106" i="32"/>
  <c r="U106" i="32" s="1"/>
  <c r="P24" i="32"/>
  <c r="T24" i="32" s="1"/>
  <c r="U24" i="32" s="1"/>
  <c r="P98" i="32"/>
  <c r="U98" i="32" s="1"/>
  <c r="U83" i="32"/>
  <c r="P16" i="32"/>
  <c r="T16" i="32" s="1"/>
  <c r="U16" i="32" s="1"/>
  <c r="U112" i="32"/>
  <c r="P107" i="32"/>
  <c r="U107" i="32" s="1"/>
  <c r="P21" i="32"/>
  <c r="T21" i="32" s="1"/>
  <c r="U21" i="32" s="1"/>
  <c r="P26" i="32"/>
  <c r="T26" i="32" s="1"/>
  <c r="U26" i="32" s="1"/>
  <c r="P38" i="32"/>
  <c r="U38" i="32" s="1"/>
  <c r="P39" i="32"/>
  <c r="U39" i="32" s="1"/>
  <c r="P18" i="32"/>
  <c r="T18" i="32" s="1"/>
  <c r="U18" i="32" s="1"/>
  <c r="P27" i="32"/>
  <c r="T27" i="32" s="1"/>
  <c r="U27" i="32" s="1"/>
  <c r="U75" i="32"/>
  <c r="P41" i="32"/>
  <c r="U41" i="32" s="1"/>
  <c r="P19" i="32"/>
  <c r="T19" i="32" s="1"/>
  <c r="U19" i="32" s="1"/>
  <c r="P17" i="32"/>
  <c r="T17" i="32" s="1"/>
  <c r="P42" i="32"/>
  <c r="U42" i="32" s="1"/>
  <c r="I59" i="30"/>
  <c r="I28" i="60"/>
  <c r="C91" i="30"/>
  <c r="H91" i="30" s="1"/>
  <c r="H16" i="30"/>
  <c r="J16" i="30"/>
  <c r="E28" i="60"/>
  <c r="H28" i="60" s="1"/>
  <c r="C62" i="30"/>
  <c r="H63" i="30" s="1"/>
  <c r="H116" i="30"/>
  <c r="J18" i="29"/>
  <c r="E25" i="60"/>
  <c r="H25" i="60" s="1"/>
  <c r="E29" i="29"/>
  <c r="H14" i="29"/>
  <c r="I14" i="29" s="1"/>
  <c r="J14" i="29"/>
  <c r="E27" i="60"/>
  <c r="H27" i="60" s="1"/>
  <c r="C91" i="29"/>
  <c r="H91" i="29" s="1"/>
  <c r="E13" i="60"/>
  <c r="H13" i="60" s="1"/>
  <c r="E17" i="60"/>
  <c r="H17" i="60" s="1"/>
  <c r="E19" i="60"/>
  <c r="H19" i="60" s="1"/>
  <c r="J16" i="29"/>
  <c r="H16" i="29"/>
  <c r="I16" i="29" s="1"/>
  <c r="I29" i="29" s="1"/>
  <c r="I45" i="29" s="1"/>
  <c r="I29" i="28"/>
  <c r="I45" i="28" s="1"/>
  <c r="C92" i="28"/>
  <c r="H89" i="28"/>
  <c r="I92" i="28" s="1"/>
  <c r="H116" i="28"/>
  <c r="C62" i="28"/>
  <c r="H63" i="28" s="1"/>
  <c r="H79" i="28"/>
  <c r="I79" i="28" s="1"/>
  <c r="H82" i="28"/>
  <c r="I82" i="28" s="1"/>
  <c r="H80" i="28"/>
  <c r="I80" i="28" s="1"/>
  <c r="H82" i="27"/>
  <c r="I82" i="27" s="1"/>
  <c r="H81" i="27"/>
  <c r="I81" i="27" s="1"/>
  <c r="H80" i="27"/>
  <c r="I80" i="27" s="1"/>
  <c r="H79" i="27"/>
  <c r="I79" i="27" s="1"/>
  <c r="C92" i="27"/>
  <c r="H89" i="27"/>
  <c r="I92" i="27" s="1"/>
  <c r="H116" i="27"/>
  <c r="C62" i="27"/>
  <c r="H63" i="27" s="1"/>
  <c r="T68" i="26"/>
  <c r="T73" i="26"/>
  <c r="U73" i="26" s="1"/>
  <c r="T72" i="26"/>
  <c r="U72" i="26" s="1"/>
  <c r="T70" i="26"/>
  <c r="U70" i="26" s="1"/>
  <c r="T71" i="26"/>
  <c r="U71" i="26" s="1"/>
  <c r="H89" i="26"/>
  <c r="I92" i="26" s="1"/>
  <c r="C92" i="26"/>
  <c r="H80" i="26"/>
  <c r="I80" i="26" s="1"/>
  <c r="U92" i="26"/>
  <c r="U29" i="26"/>
  <c r="T89" i="26"/>
  <c r="O92" i="26"/>
  <c r="I29" i="22"/>
  <c r="I45" i="22" s="1"/>
  <c r="H79" i="22"/>
  <c r="I79" i="22" s="1"/>
  <c r="H82" i="22"/>
  <c r="I82" i="22" s="1"/>
  <c r="H81" i="22"/>
  <c r="I81" i="22" s="1"/>
  <c r="H80" i="22"/>
  <c r="I80" i="22" s="1"/>
  <c r="I13" i="60"/>
  <c r="H116" i="22"/>
  <c r="C62" i="22"/>
  <c r="H63" i="22" s="1"/>
  <c r="C92" i="22"/>
  <c r="H89" i="22"/>
  <c r="I92" i="22" s="1"/>
  <c r="C92" i="24"/>
  <c r="C62" i="24"/>
  <c r="H63" i="24" s="1"/>
  <c r="H116" i="24"/>
  <c r="H79" i="24"/>
  <c r="I79" i="24" s="1"/>
  <c r="H82" i="24"/>
  <c r="I82" i="24" s="1"/>
  <c r="H81" i="24"/>
  <c r="I81" i="24" s="1"/>
  <c r="H80" i="24"/>
  <c r="I80" i="24" s="1"/>
  <c r="I29" i="25"/>
  <c r="I45" i="25" s="1"/>
  <c r="H81" i="25"/>
  <c r="I81" i="25" s="1"/>
  <c r="H82" i="25"/>
  <c r="I82" i="25" s="1"/>
  <c r="H79" i="25"/>
  <c r="I79" i="25" s="1"/>
  <c r="H80" i="25"/>
  <c r="I80" i="25" s="1"/>
  <c r="H89" i="25"/>
  <c r="I92" i="25" s="1"/>
  <c r="C92" i="25"/>
  <c r="I22" i="60"/>
  <c r="H116" i="25"/>
  <c r="C62" i="25"/>
  <c r="H63" i="25" s="1"/>
  <c r="I53" i="60"/>
  <c r="H79" i="21"/>
  <c r="I79" i="21" s="1"/>
  <c r="H80" i="21"/>
  <c r="I80" i="21" s="1"/>
  <c r="H82" i="21"/>
  <c r="I82" i="21" s="1"/>
  <c r="H81" i="21"/>
  <c r="I81" i="21" s="1"/>
  <c r="H89" i="21"/>
  <c r="I92" i="21" s="1"/>
  <c r="C92" i="21"/>
  <c r="C62" i="21"/>
  <c r="H63" i="21" s="1"/>
  <c r="H116" i="21"/>
  <c r="H116" i="20"/>
  <c r="C62" i="20"/>
  <c r="H63" i="20" s="1"/>
  <c r="C89" i="20"/>
  <c r="H29" i="20"/>
  <c r="E45" i="20" s="1"/>
  <c r="C65" i="20" s="1"/>
  <c r="H66" i="20" s="1"/>
  <c r="I29" i="20"/>
  <c r="I45" i="20" s="1"/>
  <c r="C92" i="18"/>
  <c r="H89" i="18"/>
  <c r="I92" i="18" s="1"/>
  <c r="C62" i="18"/>
  <c r="H63" i="18" s="1"/>
  <c r="H116" i="18"/>
  <c r="H79" i="18"/>
  <c r="I79" i="18" s="1"/>
  <c r="H81" i="18"/>
  <c r="I81" i="18" s="1"/>
  <c r="H80" i="18"/>
  <c r="I80" i="18" s="1"/>
  <c r="H82" i="18"/>
  <c r="I82" i="18" s="1"/>
  <c r="I29" i="18"/>
  <c r="I45" i="18" s="1"/>
  <c r="C89" i="17"/>
  <c r="P98" i="17"/>
  <c r="U98" i="17" s="1"/>
  <c r="P39" i="17"/>
  <c r="U39" i="17" s="1"/>
  <c r="P37" i="17"/>
  <c r="U37" i="17" s="1"/>
  <c r="U111" i="17"/>
  <c r="P42" i="17"/>
  <c r="U42" i="17" s="1"/>
  <c r="P106" i="17"/>
  <c r="U106" i="17" s="1"/>
  <c r="U109" i="17" s="1"/>
  <c r="H70" i="17"/>
  <c r="I70" i="17" s="1"/>
  <c r="P25" i="17"/>
  <c r="T25" i="17" s="1"/>
  <c r="U25" i="17" s="1"/>
  <c r="P23" i="17"/>
  <c r="T23" i="17" s="1"/>
  <c r="U23" i="17" s="1"/>
  <c r="P21" i="17"/>
  <c r="T21" i="17" s="1"/>
  <c r="U21" i="17" s="1"/>
  <c r="H77" i="17"/>
  <c r="I77" i="17" s="1"/>
  <c r="U74" i="17"/>
  <c r="P22" i="17"/>
  <c r="T22" i="17" s="1"/>
  <c r="U22" i="17" s="1"/>
  <c r="U75" i="17"/>
  <c r="H84" i="17"/>
  <c r="I84" i="17" s="1"/>
  <c r="H72" i="17"/>
  <c r="I72" i="17" s="1"/>
  <c r="H29" i="17"/>
  <c r="E45" i="17" s="1"/>
  <c r="C65" i="17" s="1"/>
  <c r="H66" i="17" s="1"/>
  <c r="H79" i="17" s="1"/>
  <c r="I79" i="17" s="1"/>
  <c r="P38" i="17"/>
  <c r="U38" i="17" s="1"/>
  <c r="U112" i="17"/>
  <c r="H78" i="17"/>
  <c r="I78" i="17" s="1"/>
  <c r="P107" i="17"/>
  <c r="U107" i="17" s="1"/>
  <c r="P40" i="17"/>
  <c r="U40" i="17" s="1"/>
  <c r="U17" i="17"/>
  <c r="O90" i="17"/>
  <c r="T90" i="17" s="1"/>
  <c r="U15" i="17"/>
  <c r="T13" i="17"/>
  <c r="C92" i="17"/>
  <c r="H89" i="17"/>
  <c r="I92" i="17"/>
  <c r="I15" i="60"/>
  <c r="H116" i="16"/>
  <c r="C62" i="16"/>
  <c r="H63" i="16" s="1"/>
  <c r="C91" i="16"/>
  <c r="H91" i="16" s="1"/>
  <c r="I21" i="16"/>
  <c r="I21" i="60" s="1"/>
  <c r="I14" i="16"/>
  <c r="I29" i="16" s="1"/>
  <c r="I45" i="16" s="1"/>
  <c r="H29" i="16"/>
  <c r="E45" i="16" s="1"/>
  <c r="C65" i="16" s="1"/>
  <c r="H66" i="16" s="1"/>
  <c r="C89" i="16"/>
  <c r="E30" i="60"/>
  <c r="H30" i="60" s="1"/>
  <c r="H116" i="15"/>
  <c r="C62" i="15"/>
  <c r="H63" i="15" s="1"/>
  <c r="H89" i="15"/>
  <c r="I92" i="15" s="1"/>
  <c r="C92" i="15"/>
  <c r="H79" i="15"/>
  <c r="I79" i="15" s="1"/>
  <c r="H81" i="15"/>
  <c r="I81" i="15" s="1"/>
  <c r="H82" i="15"/>
  <c r="I82" i="15" s="1"/>
  <c r="H80" i="15"/>
  <c r="I80" i="15" s="1"/>
  <c r="H89" i="7"/>
  <c r="H29" i="7"/>
  <c r="E45" i="7" s="1"/>
  <c r="C65" i="7" s="1"/>
  <c r="H66" i="7" s="1"/>
  <c r="C90" i="7"/>
  <c r="H90" i="7" s="1"/>
  <c r="H116" i="7"/>
  <c r="C62" i="7"/>
  <c r="H63" i="7" s="1"/>
  <c r="I29" i="7"/>
  <c r="I45" i="7" s="1"/>
  <c r="I109" i="60" l="1"/>
  <c r="H81" i="17"/>
  <c r="I81" i="17" s="1"/>
  <c r="H80" i="17"/>
  <c r="I80" i="17" s="1"/>
  <c r="H79" i="50"/>
  <c r="I79" i="50" s="1"/>
  <c r="H79" i="66"/>
  <c r="I79" i="66" s="1"/>
  <c r="H79" i="67"/>
  <c r="I79" i="67" s="1"/>
  <c r="H79" i="52"/>
  <c r="I79" i="52" s="1"/>
  <c r="H80" i="67"/>
  <c r="I80" i="67" s="1"/>
  <c r="H81" i="50"/>
  <c r="I81" i="50" s="1"/>
  <c r="H80" i="71"/>
  <c r="I80" i="71" s="1"/>
  <c r="I114" i="51"/>
  <c r="H118" i="51" s="1"/>
  <c r="I118" i="51" s="1"/>
  <c r="H78" i="33"/>
  <c r="I78" i="33" s="1"/>
  <c r="H72" i="77"/>
  <c r="I72" i="77" s="1"/>
  <c r="I114" i="77" s="1"/>
  <c r="H79" i="78"/>
  <c r="I79" i="78" s="1"/>
  <c r="H82" i="78"/>
  <c r="I82" i="78" s="1"/>
  <c r="H82" i="26"/>
  <c r="I82" i="26" s="1"/>
  <c r="H81" i="26"/>
  <c r="I81" i="26" s="1"/>
  <c r="H71" i="33"/>
  <c r="I71" i="33" s="1"/>
  <c r="I114" i="34"/>
  <c r="H118" i="34" s="1"/>
  <c r="I92" i="47"/>
  <c r="P22" i="51"/>
  <c r="T22" i="51" s="1"/>
  <c r="U22" i="51" s="1"/>
  <c r="I42" i="60"/>
  <c r="P106" i="51"/>
  <c r="U106" i="51" s="1"/>
  <c r="R45" i="26"/>
  <c r="P65" i="26" s="1"/>
  <c r="T66" i="26" s="1"/>
  <c r="H77" i="33"/>
  <c r="I77" i="33" s="1"/>
  <c r="H78" i="47"/>
  <c r="I78" i="47" s="1"/>
  <c r="P18" i="51"/>
  <c r="T18" i="51" s="1"/>
  <c r="U18" i="51" s="1"/>
  <c r="I92" i="70"/>
  <c r="C90" i="78"/>
  <c r="H90" i="78" s="1"/>
  <c r="H82" i="17"/>
  <c r="I82" i="17" s="1"/>
  <c r="U74" i="33"/>
  <c r="I59" i="23"/>
  <c r="P39" i="39"/>
  <c r="U39" i="39" s="1"/>
  <c r="P98" i="39"/>
  <c r="U98" i="39" s="1"/>
  <c r="H71" i="47"/>
  <c r="I71" i="47" s="1"/>
  <c r="P13" i="51"/>
  <c r="T13" i="51" s="1"/>
  <c r="H84" i="31"/>
  <c r="I84" i="31" s="1"/>
  <c r="H73" i="31"/>
  <c r="I73" i="31" s="1"/>
  <c r="H70" i="31"/>
  <c r="I70" i="31" s="1"/>
  <c r="H71" i="31"/>
  <c r="I71" i="31" s="1"/>
  <c r="H72" i="31"/>
  <c r="I72" i="31" s="1"/>
  <c r="H68" i="31"/>
  <c r="I68" i="31" s="1"/>
  <c r="H77" i="31"/>
  <c r="I77" i="31" s="1"/>
  <c r="H78" i="31"/>
  <c r="I78" i="31" s="1"/>
  <c r="P108" i="31"/>
  <c r="U108" i="31" s="1"/>
  <c r="P106" i="31"/>
  <c r="U106" i="31" s="1"/>
  <c r="P26" i="31"/>
  <c r="T26" i="31" s="1"/>
  <c r="U26" i="31" s="1"/>
  <c r="P16" i="31"/>
  <c r="T16" i="31" s="1"/>
  <c r="U16" i="31" s="1"/>
  <c r="U111" i="31"/>
  <c r="U112" i="31"/>
  <c r="P41" i="31"/>
  <c r="U41" i="31" s="1"/>
  <c r="U74" i="31"/>
  <c r="P98" i="31"/>
  <c r="U98" i="31" s="1"/>
  <c r="P13" i="31"/>
  <c r="P25" i="31"/>
  <c r="T25" i="31" s="1"/>
  <c r="U25" i="31" s="1"/>
  <c r="P22" i="31"/>
  <c r="T22" i="31" s="1"/>
  <c r="U22" i="31" s="1"/>
  <c r="P39" i="31"/>
  <c r="U39" i="31" s="1"/>
  <c r="P24" i="31"/>
  <c r="T24" i="31" s="1"/>
  <c r="U24" i="31" s="1"/>
  <c r="P20" i="31"/>
  <c r="T20" i="31" s="1"/>
  <c r="U20" i="31" s="1"/>
  <c r="P37" i="31"/>
  <c r="P17" i="31"/>
  <c r="T17" i="31" s="1"/>
  <c r="P28" i="31"/>
  <c r="T28" i="31" s="1"/>
  <c r="U28" i="31" s="1"/>
  <c r="U83" i="31"/>
  <c r="P23" i="31"/>
  <c r="T23" i="31" s="1"/>
  <c r="U23" i="31" s="1"/>
  <c r="P18" i="31"/>
  <c r="T18" i="31" s="1"/>
  <c r="U18" i="31" s="1"/>
  <c r="P40" i="31"/>
  <c r="U40" i="31" s="1"/>
  <c r="P21" i="31"/>
  <c r="T21" i="31" s="1"/>
  <c r="U21" i="31" s="1"/>
  <c r="P14" i="31"/>
  <c r="T14" i="31" s="1"/>
  <c r="U14" i="31" s="1"/>
  <c r="P107" i="31"/>
  <c r="U107" i="31" s="1"/>
  <c r="P38" i="31"/>
  <c r="U38" i="31" s="1"/>
  <c r="P19" i="31"/>
  <c r="T19" i="31" s="1"/>
  <c r="U19" i="31" s="1"/>
  <c r="P27" i="31"/>
  <c r="T27" i="31" s="1"/>
  <c r="U27" i="31" s="1"/>
  <c r="P15" i="31"/>
  <c r="T15" i="31" s="1"/>
  <c r="U75" i="31"/>
  <c r="P42" i="31"/>
  <c r="U42" i="31" s="1"/>
  <c r="I43" i="26"/>
  <c r="I45" i="26" s="1"/>
  <c r="H79" i="32"/>
  <c r="I79" i="32" s="1"/>
  <c r="H80" i="47"/>
  <c r="I80" i="47" s="1"/>
  <c r="U112" i="51"/>
  <c r="P28" i="51"/>
  <c r="T28" i="51" s="1"/>
  <c r="U28" i="51" s="1"/>
  <c r="C92" i="52"/>
  <c r="C91" i="69"/>
  <c r="H91" i="69" s="1"/>
  <c r="R43" i="26"/>
  <c r="U37" i="26"/>
  <c r="U43" i="26" s="1"/>
  <c r="U45" i="26" s="1"/>
  <c r="C92" i="45"/>
  <c r="H79" i="47"/>
  <c r="I79" i="47" s="1"/>
  <c r="P26" i="51"/>
  <c r="T26" i="51" s="1"/>
  <c r="U26" i="51" s="1"/>
  <c r="P15" i="51"/>
  <c r="T15" i="51" s="1"/>
  <c r="H70" i="57"/>
  <c r="I70" i="57" s="1"/>
  <c r="H80" i="70"/>
  <c r="I80" i="70" s="1"/>
  <c r="E43" i="60"/>
  <c r="I38" i="60"/>
  <c r="U43" i="17"/>
  <c r="I59" i="33"/>
  <c r="I59" i="43"/>
  <c r="U74" i="51"/>
  <c r="P41" i="51"/>
  <c r="U41" i="51" s="1"/>
  <c r="H77" i="57"/>
  <c r="I77" i="57" s="1"/>
  <c r="H81" i="70"/>
  <c r="I81" i="70" s="1"/>
  <c r="H84" i="70"/>
  <c r="I84" i="70" s="1"/>
  <c r="I43" i="17"/>
  <c r="I45" i="17" s="1"/>
  <c r="I37" i="60"/>
  <c r="H116" i="78"/>
  <c r="P21" i="78" s="1"/>
  <c r="T21" i="78" s="1"/>
  <c r="U21" i="78" s="1"/>
  <c r="I18" i="78"/>
  <c r="I29" i="78" s="1"/>
  <c r="I45" i="78" s="1"/>
  <c r="C91" i="78"/>
  <c r="H80" i="78"/>
  <c r="I80" i="78" s="1"/>
  <c r="H81" i="78"/>
  <c r="I81" i="78" s="1"/>
  <c r="P42" i="78"/>
  <c r="U42" i="78" s="1"/>
  <c r="U74" i="78"/>
  <c r="U75" i="78"/>
  <c r="P26" i="78"/>
  <c r="T26" i="78" s="1"/>
  <c r="U26" i="78" s="1"/>
  <c r="P19" i="78"/>
  <c r="T19" i="78" s="1"/>
  <c r="U19" i="78" s="1"/>
  <c r="P24" i="78"/>
  <c r="T24" i="78" s="1"/>
  <c r="U24" i="78" s="1"/>
  <c r="P108" i="78"/>
  <c r="U108" i="78" s="1"/>
  <c r="P17" i="78"/>
  <c r="T17" i="78" s="1"/>
  <c r="P107" i="78"/>
  <c r="U107" i="78" s="1"/>
  <c r="P106" i="78"/>
  <c r="U106" i="78" s="1"/>
  <c r="P16" i="78"/>
  <c r="T16" i="78" s="1"/>
  <c r="U16" i="78" s="1"/>
  <c r="P40" i="78"/>
  <c r="U40" i="78" s="1"/>
  <c r="H70" i="78"/>
  <c r="I70" i="78" s="1"/>
  <c r="H73" i="78"/>
  <c r="I73" i="78" s="1"/>
  <c r="H78" i="78"/>
  <c r="I78" i="78" s="1"/>
  <c r="H77" i="78"/>
  <c r="I77" i="78" s="1"/>
  <c r="H68" i="78"/>
  <c r="I68" i="78" s="1"/>
  <c r="H71" i="78"/>
  <c r="I71" i="78" s="1"/>
  <c r="H84" i="78"/>
  <c r="I84" i="78" s="1"/>
  <c r="H72" i="78"/>
  <c r="I72" i="78" s="1"/>
  <c r="U109" i="77"/>
  <c r="U17" i="77"/>
  <c r="O91" i="77"/>
  <c r="T91" i="77" s="1"/>
  <c r="O90" i="77"/>
  <c r="T90" i="77" s="1"/>
  <c r="U15" i="77"/>
  <c r="T13" i="77"/>
  <c r="P29" i="77"/>
  <c r="P62" i="77" s="1"/>
  <c r="T63" i="77" s="1"/>
  <c r="U37" i="77"/>
  <c r="U43" i="77" s="1"/>
  <c r="R43" i="77"/>
  <c r="H73" i="68"/>
  <c r="I73" i="68" s="1"/>
  <c r="H70" i="68"/>
  <c r="I70" i="68" s="1"/>
  <c r="H72" i="68"/>
  <c r="I72" i="68" s="1"/>
  <c r="H78" i="68"/>
  <c r="I78" i="68" s="1"/>
  <c r="H68" i="68"/>
  <c r="I68" i="68" s="1"/>
  <c r="H71" i="68"/>
  <c r="I71" i="68" s="1"/>
  <c r="H84" i="68"/>
  <c r="I84" i="68" s="1"/>
  <c r="H77" i="68"/>
  <c r="I77" i="68" s="1"/>
  <c r="P22" i="68"/>
  <c r="T22" i="68" s="1"/>
  <c r="U22" i="68" s="1"/>
  <c r="P21" i="68"/>
  <c r="T21" i="68" s="1"/>
  <c r="U21" i="68" s="1"/>
  <c r="P17" i="68"/>
  <c r="T17" i="68" s="1"/>
  <c r="U75" i="68"/>
  <c r="P41" i="68"/>
  <c r="U41" i="68" s="1"/>
  <c r="U74" i="68"/>
  <c r="U112" i="68"/>
  <c r="P14" i="68"/>
  <c r="T14" i="68" s="1"/>
  <c r="U14" i="68" s="1"/>
  <c r="P39" i="68"/>
  <c r="U39" i="68" s="1"/>
  <c r="P98" i="68"/>
  <c r="U98" i="68" s="1"/>
  <c r="P28" i="68"/>
  <c r="T28" i="68" s="1"/>
  <c r="U28" i="68" s="1"/>
  <c r="P40" i="68"/>
  <c r="U40" i="68" s="1"/>
  <c r="P13" i="68"/>
  <c r="P15" i="68"/>
  <c r="T15" i="68" s="1"/>
  <c r="P25" i="68"/>
  <c r="T25" i="68" s="1"/>
  <c r="U25" i="68" s="1"/>
  <c r="P38" i="68"/>
  <c r="U38" i="68" s="1"/>
  <c r="P37" i="68"/>
  <c r="P107" i="68"/>
  <c r="U107" i="68" s="1"/>
  <c r="P19" i="68"/>
  <c r="T19" i="68" s="1"/>
  <c r="U19" i="68" s="1"/>
  <c r="P20" i="68"/>
  <c r="T20" i="68" s="1"/>
  <c r="U20" i="68" s="1"/>
  <c r="P27" i="68"/>
  <c r="T27" i="68" s="1"/>
  <c r="U27" i="68" s="1"/>
  <c r="U83" i="68"/>
  <c r="P108" i="68"/>
  <c r="U108" i="68" s="1"/>
  <c r="P24" i="68"/>
  <c r="T24" i="68" s="1"/>
  <c r="U24" i="68" s="1"/>
  <c r="P26" i="68"/>
  <c r="T26" i="68" s="1"/>
  <c r="U26" i="68" s="1"/>
  <c r="P16" i="68"/>
  <c r="T16" i="68" s="1"/>
  <c r="U16" i="68" s="1"/>
  <c r="U111" i="68"/>
  <c r="P23" i="68"/>
  <c r="T23" i="68" s="1"/>
  <c r="U23" i="68" s="1"/>
  <c r="P106" i="68"/>
  <c r="U106" i="68" s="1"/>
  <c r="U109" i="68" s="1"/>
  <c r="P18" i="68"/>
  <c r="T18" i="68" s="1"/>
  <c r="U18" i="68" s="1"/>
  <c r="P42" i="68"/>
  <c r="U42" i="68" s="1"/>
  <c r="H70" i="71"/>
  <c r="I70" i="71" s="1"/>
  <c r="H78" i="71"/>
  <c r="I78" i="71" s="1"/>
  <c r="H72" i="71"/>
  <c r="I72" i="71" s="1"/>
  <c r="H77" i="71"/>
  <c r="I77" i="71" s="1"/>
  <c r="H68" i="71"/>
  <c r="I68" i="71" s="1"/>
  <c r="H71" i="71"/>
  <c r="I71" i="71" s="1"/>
  <c r="H84" i="71"/>
  <c r="I84" i="71" s="1"/>
  <c r="H73" i="71"/>
  <c r="I73" i="71" s="1"/>
  <c r="P38" i="71"/>
  <c r="U38" i="71" s="1"/>
  <c r="P98" i="71"/>
  <c r="U98" i="71" s="1"/>
  <c r="U75" i="71"/>
  <c r="U74" i="71"/>
  <c r="P107" i="71"/>
  <c r="U107" i="71" s="1"/>
  <c r="P25" i="71"/>
  <c r="T25" i="71" s="1"/>
  <c r="U25" i="71" s="1"/>
  <c r="U111" i="71"/>
  <c r="P106" i="71"/>
  <c r="U106" i="71" s="1"/>
  <c r="P22" i="71"/>
  <c r="T22" i="71" s="1"/>
  <c r="U22" i="71" s="1"/>
  <c r="P17" i="71"/>
  <c r="T17" i="71" s="1"/>
  <c r="P19" i="71"/>
  <c r="T19" i="71" s="1"/>
  <c r="U19" i="71" s="1"/>
  <c r="P13" i="71"/>
  <c r="P24" i="71"/>
  <c r="T24" i="71" s="1"/>
  <c r="U24" i="71" s="1"/>
  <c r="P42" i="71"/>
  <c r="U42" i="71" s="1"/>
  <c r="P21" i="71"/>
  <c r="T21" i="71" s="1"/>
  <c r="U21" i="71" s="1"/>
  <c r="P41" i="71"/>
  <c r="U41" i="71" s="1"/>
  <c r="P28" i="71"/>
  <c r="T28" i="71" s="1"/>
  <c r="U28" i="71" s="1"/>
  <c r="P37" i="71"/>
  <c r="P16" i="71"/>
  <c r="T16" i="71" s="1"/>
  <c r="U16" i="71" s="1"/>
  <c r="P27" i="71"/>
  <c r="T27" i="71" s="1"/>
  <c r="U27" i="71" s="1"/>
  <c r="P108" i="71"/>
  <c r="U108" i="71" s="1"/>
  <c r="P40" i="71"/>
  <c r="U40" i="71" s="1"/>
  <c r="P20" i="71"/>
  <c r="T20" i="71" s="1"/>
  <c r="U20" i="71" s="1"/>
  <c r="P39" i="71"/>
  <c r="U39" i="71" s="1"/>
  <c r="U112" i="71"/>
  <c r="P14" i="71"/>
  <c r="T14" i="71" s="1"/>
  <c r="U14" i="71" s="1"/>
  <c r="U83" i="71"/>
  <c r="P15" i="71"/>
  <c r="T15" i="71" s="1"/>
  <c r="P18" i="71"/>
  <c r="T18" i="71" s="1"/>
  <c r="U18" i="71" s="1"/>
  <c r="P23" i="71"/>
  <c r="T23" i="71" s="1"/>
  <c r="U23" i="71" s="1"/>
  <c r="P26" i="71"/>
  <c r="T26" i="71" s="1"/>
  <c r="U26" i="71" s="1"/>
  <c r="H68" i="70"/>
  <c r="I68" i="70" s="1"/>
  <c r="H72" i="70"/>
  <c r="I72" i="70" s="1"/>
  <c r="H70" i="70"/>
  <c r="I70" i="70" s="1"/>
  <c r="H77" i="70"/>
  <c r="I77" i="70" s="1"/>
  <c r="H73" i="70"/>
  <c r="I73" i="70" s="1"/>
  <c r="U109" i="70"/>
  <c r="U15" i="70"/>
  <c r="O90" i="70"/>
  <c r="T90" i="70" s="1"/>
  <c r="R43" i="70"/>
  <c r="U37" i="70"/>
  <c r="U43" i="70" s="1"/>
  <c r="T13" i="70"/>
  <c r="P29" i="70"/>
  <c r="P62" i="70" s="1"/>
  <c r="T63" i="70" s="1"/>
  <c r="O91" i="70"/>
  <c r="T91" i="70" s="1"/>
  <c r="U17" i="70"/>
  <c r="I16" i="69"/>
  <c r="I29" i="69" s="1"/>
  <c r="I45" i="69" s="1"/>
  <c r="C90" i="69"/>
  <c r="H29" i="69"/>
  <c r="E45" i="69" s="1"/>
  <c r="C65" i="69" s="1"/>
  <c r="H66" i="69" s="1"/>
  <c r="H116" i="69"/>
  <c r="P26" i="69" s="1"/>
  <c r="T26" i="69" s="1"/>
  <c r="U26" i="69" s="1"/>
  <c r="P18" i="69"/>
  <c r="T18" i="69" s="1"/>
  <c r="U18" i="69" s="1"/>
  <c r="P41" i="69"/>
  <c r="U41" i="69" s="1"/>
  <c r="U74" i="69"/>
  <c r="H73" i="69"/>
  <c r="I73" i="69" s="1"/>
  <c r="H70" i="69"/>
  <c r="I70" i="69" s="1"/>
  <c r="H68" i="69"/>
  <c r="I68" i="69" s="1"/>
  <c r="H78" i="69"/>
  <c r="I78" i="69" s="1"/>
  <c r="H71" i="69"/>
  <c r="I71" i="69" s="1"/>
  <c r="H72" i="69"/>
  <c r="I72" i="69" s="1"/>
  <c r="H77" i="69"/>
  <c r="I77" i="69" s="1"/>
  <c r="H84" i="69"/>
  <c r="I84" i="69" s="1"/>
  <c r="P26" i="67"/>
  <c r="T26" i="67" s="1"/>
  <c r="U26" i="67" s="1"/>
  <c r="P38" i="67"/>
  <c r="U38" i="67" s="1"/>
  <c r="P21" i="67"/>
  <c r="T21" i="67" s="1"/>
  <c r="U21" i="67" s="1"/>
  <c r="P39" i="67"/>
  <c r="U39" i="67" s="1"/>
  <c r="P17" i="67"/>
  <c r="T17" i="67" s="1"/>
  <c r="P98" i="67"/>
  <c r="U98" i="67" s="1"/>
  <c r="P19" i="67"/>
  <c r="T19" i="67" s="1"/>
  <c r="U19" i="67" s="1"/>
  <c r="P22" i="67"/>
  <c r="T22" i="67" s="1"/>
  <c r="U22" i="67" s="1"/>
  <c r="P13" i="67"/>
  <c r="P41" i="67"/>
  <c r="U41" i="67" s="1"/>
  <c r="P40" i="67"/>
  <c r="U40" i="67" s="1"/>
  <c r="U83" i="67"/>
  <c r="P24" i="67"/>
  <c r="T24" i="67" s="1"/>
  <c r="U24" i="67" s="1"/>
  <c r="U112" i="67"/>
  <c r="P27" i="67"/>
  <c r="T27" i="67" s="1"/>
  <c r="U27" i="67" s="1"/>
  <c r="P23" i="67"/>
  <c r="T23" i="67" s="1"/>
  <c r="U23" i="67" s="1"/>
  <c r="P16" i="67"/>
  <c r="T16" i="67" s="1"/>
  <c r="U16" i="67" s="1"/>
  <c r="P107" i="67"/>
  <c r="U107" i="67" s="1"/>
  <c r="P15" i="67"/>
  <c r="T15" i="67" s="1"/>
  <c r="P106" i="67"/>
  <c r="U106" i="67" s="1"/>
  <c r="P18" i="67"/>
  <c r="T18" i="67" s="1"/>
  <c r="U18" i="67" s="1"/>
  <c r="P14" i="67"/>
  <c r="T14" i="67" s="1"/>
  <c r="U14" i="67" s="1"/>
  <c r="P108" i="67"/>
  <c r="U108" i="67" s="1"/>
  <c r="P28" i="67"/>
  <c r="T28" i="67" s="1"/>
  <c r="U28" i="67" s="1"/>
  <c r="P37" i="67"/>
  <c r="U74" i="67"/>
  <c r="P25" i="67"/>
  <c r="T25" i="67" s="1"/>
  <c r="U25" i="67" s="1"/>
  <c r="U111" i="67"/>
  <c r="U75" i="67"/>
  <c r="P20" i="67"/>
  <c r="T20" i="67" s="1"/>
  <c r="U20" i="67" s="1"/>
  <c r="P42" i="67"/>
  <c r="U42" i="67" s="1"/>
  <c r="H71" i="67"/>
  <c r="I71" i="67" s="1"/>
  <c r="H72" i="67"/>
  <c r="I72" i="67" s="1"/>
  <c r="H78" i="67"/>
  <c r="I78" i="67" s="1"/>
  <c r="H77" i="67"/>
  <c r="I77" i="67" s="1"/>
  <c r="H68" i="67"/>
  <c r="I68" i="67" s="1"/>
  <c r="H84" i="67"/>
  <c r="I84" i="67" s="1"/>
  <c r="H70" i="67"/>
  <c r="I70" i="67" s="1"/>
  <c r="H73" i="67"/>
  <c r="I73" i="67" s="1"/>
  <c r="H73" i="66"/>
  <c r="I73" i="66" s="1"/>
  <c r="H72" i="66"/>
  <c r="I72" i="66" s="1"/>
  <c r="H68" i="66"/>
  <c r="I68" i="66" s="1"/>
  <c r="H70" i="66"/>
  <c r="I70" i="66" s="1"/>
  <c r="H84" i="66"/>
  <c r="I84" i="66" s="1"/>
  <c r="H77" i="66"/>
  <c r="I77" i="66" s="1"/>
  <c r="H78" i="66"/>
  <c r="I78" i="66" s="1"/>
  <c r="H71" i="66"/>
  <c r="I71" i="66" s="1"/>
  <c r="U83" i="66"/>
  <c r="P19" i="66"/>
  <c r="T19" i="66" s="1"/>
  <c r="U19" i="66" s="1"/>
  <c r="P20" i="66"/>
  <c r="T20" i="66" s="1"/>
  <c r="U20" i="66" s="1"/>
  <c r="P38" i="66"/>
  <c r="U38" i="66" s="1"/>
  <c r="P28" i="66"/>
  <c r="T28" i="66" s="1"/>
  <c r="U28" i="66" s="1"/>
  <c r="P24" i="66"/>
  <c r="T24" i="66" s="1"/>
  <c r="U24" i="66" s="1"/>
  <c r="P13" i="66"/>
  <c r="P98" i="66"/>
  <c r="U98" i="66" s="1"/>
  <c r="P37" i="66"/>
  <c r="P39" i="66"/>
  <c r="U39" i="66" s="1"/>
  <c r="P26" i="66"/>
  <c r="T26" i="66" s="1"/>
  <c r="U26" i="66" s="1"/>
  <c r="P41" i="66"/>
  <c r="U41" i="66" s="1"/>
  <c r="P40" i="66"/>
  <c r="U40" i="66" s="1"/>
  <c r="P17" i="66"/>
  <c r="T17" i="66" s="1"/>
  <c r="U112" i="66"/>
  <c r="P27" i="66"/>
  <c r="T27" i="66" s="1"/>
  <c r="U27" i="66" s="1"/>
  <c r="U75" i="66"/>
  <c r="P107" i="66"/>
  <c r="U107" i="66" s="1"/>
  <c r="P15" i="66"/>
  <c r="T15" i="66" s="1"/>
  <c r="P25" i="66"/>
  <c r="T25" i="66" s="1"/>
  <c r="U25" i="66" s="1"/>
  <c r="P23" i="66"/>
  <c r="T23" i="66" s="1"/>
  <c r="U23" i="66" s="1"/>
  <c r="P42" i="66"/>
  <c r="U42" i="66" s="1"/>
  <c r="P16" i="66"/>
  <c r="T16" i="66" s="1"/>
  <c r="U16" i="66" s="1"/>
  <c r="P22" i="66"/>
  <c r="T22" i="66" s="1"/>
  <c r="U22" i="66" s="1"/>
  <c r="P106" i="66"/>
  <c r="U106" i="66" s="1"/>
  <c r="U74" i="66"/>
  <c r="U111" i="66"/>
  <c r="P14" i="66"/>
  <c r="T14" i="66" s="1"/>
  <c r="U14" i="66" s="1"/>
  <c r="P21" i="66"/>
  <c r="T21" i="66" s="1"/>
  <c r="U21" i="66" s="1"/>
  <c r="P18" i="66"/>
  <c r="T18" i="66" s="1"/>
  <c r="U18" i="66" s="1"/>
  <c r="P108" i="66"/>
  <c r="U108" i="66" s="1"/>
  <c r="I14" i="58"/>
  <c r="I29" i="58" s="1"/>
  <c r="I45" i="58" s="1"/>
  <c r="H29" i="58"/>
  <c r="E45" i="58" s="1"/>
  <c r="C65" i="58" s="1"/>
  <c r="H66" i="58" s="1"/>
  <c r="C89" i="58"/>
  <c r="C62" i="58"/>
  <c r="H63" i="58" s="1"/>
  <c r="H116" i="58"/>
  <c r="C90" i="60"/>
  <c r="C90" i="58"/>
  <c r="H90" i="58" s="1"/>
  <c r="C91" i="58"/>
  <c r="H91" i="58" s="1"/>
  <c r="H73" i="57"/>
  <c r="I73" i="57" s="1"/>
  <c r="H72" i="57"/>
  <c r="I72" i="57" s="1"/>
  <c r="H78" i="57"/>
  <c r="I78" i="57" s="1"/>
  <c r="H68" i="57"/>
  <c r="I68" i="57" s="1"/>
  <c r="H82" i="57"/>
  <c r="I82" i="57" s="1"/>
  <c r="H84" i="57"/>
  <c r="I84" i="57" s="1"/>
  <c r="H81" i="57"/>
  <c r="I81" i="57" s="1"/>
  <c r="H80" i="57"/>
  <c r="I80" i="57" s="1"/>
  <c r="U15" i="57"/>
  <c r="O90" i="57"/>
  <c r="T90" i="57" s="1"/>
  <c r="U109" i="57"/>
  <c r="R43" i="57"/>
  <c r="U37" i="57"/>
  <c r="U43" i="57" s="1"/>
  <c r="U17" i="57"/>
  <c r="O91" i="57"/>
  <c r="T91" i="57" s="1"/>
  <c r="T13" i="57"/>
  <c r="P29" i="57"/>
  <c r="P62" i="57" s="1"/>
  <c r="T63" i="57" s="1"/>
  <c r="H77" i="56"/>
  <c r="I77" i="56" s="1"/>
  <c r="H70" i="56"/>
  <c r="I70" i="56" s="1"/>
  <c r="H84" i="56"/>
  <c r="I84" i="56" s="1"/>
  <c r="H78" i="56"/>
  <c r="I78" i="56" s="1"/>
  <c r="H71" i="56"/>
  <c r="I71" i="56" s="1"/>
  <c r="H72" i="56"/>
  <c r="I72" i="56" s="1"/>
  <c r="H73" i="56"/>
  <c r="I73" i="56" s="1"/>
  <c r="H68" i="56"/>
  <c r="I68" i="56" s="1"/>
  <c r="P26" i="56"/>
  <c r="T26" i="56" s="1"/>
  <c r="U26" i="56" s="1"/>
  <c r="P27" i="56"/>
  <c r="T27" i="56" s="1"/>
  <c r="U27" i="56" s="1"/>
  <c r="P24" i="56"/>
  <c r="T24" i="56" s="1"/>
  <c r="U24" i="56" s="1"/>
  <c r="P20" i="56"/>
  <c r="T20" i="56" s="1"/>
  <c r="U20" i="56" s="1"/>
  <c r="P23" i="56"/>
  <c r="T23" i="56" s="1"/>
  <c r="U23" i="56" s="1"/>
  <c r="U74" i="56"/>
  <c r="P14" i="56"/>
  <c r="T14" i="56" s="1"/>
  <c r="U14" i="56" s="1"/>
  <c r="P21" i="56"/>
  <c r="T21" i="56" s="1"/>
  <c r="U21" i="56" s="1"/>
  <c r="P18" i="56"/>
  <c r="T18" i="56" s="1"/>
  <c r="U18" i="56" s="1"/>
  <c r="P42" i="56"/>
  <c r="U42" i="56" s="1"/>
  <c r="U111" i="56"/>
  <c r="P13" i="56"/>
  <c r="P40" i="56"/>
  <c r="U40" i="56" s="1"/>
  <c r="U75" i="56"/>
  <c r="U83" i="56"/>
  <c r="P106" i="56"/>
  <c r="U106" i="56" s="1"/>
  <c r="P19" i="56"/>
  <c r="T19" i="56" s="1"/>
  <c r="U19" i="56" s="1"/>
  <c r="P15" i="56"/>
  <c r="T15" i="56" s="1"/>
  <c r="P28" i="56"/>
  <c r="T28" i="56" s="1"/>
  <c r="U28" i="56" s="1"/>
  <c r="P25" i="56"/>
  <c r="T25" i="56" s="1"/>
  <c r="U25" i="56" s="1"/>
  <c r="U112" i="56"/>
  <c r="P37" i="56"/>
  <c r="P39" i="56"/>
  <c r="U39" i="56" s="1"/>
  <c r="P38" i="56"/>
  <c r="U38" i="56" s="1"/>
  <c r="P41" i="56"/>
  <c r="U41" i="56" s="1"/>
  <c r="P108" i="56"/>
  <c r="U108" i="56" s="1"/>
  <c r="P16" i="56"/>
  <c r="T16" i="56" s="1"/>
  <c r="U16" i="56" s="1"/>
  <c r="P98" i="56"/>
  <c r="U98" i="56" s="1"/>
  <c r="P107" i="56"/>
  <c r="U107" i="56" s="1"/>
  <c r="P17" i="56"/>
  <c r="T17" i="56" s="1"/>
  <c r="P22" i="56"/>
  <c r="T22" i="56" s="1"/>
  <c r="U22" i="56" s="1"/>
  <c r="H90" i="55"/>
  <c r="I92" i="55" s="1"/>
  <c r="C92" i="55"/>
  <c r="H79" i="55"/>
  <c r="I79" i="55" s="1"/>
  <c r="H82" i="55"/>
  <c r="I82" i="55" s="1"/>
  <c r="H80" i="55"/>
  <c r="I80" i="55" s="1"/>
  <c r="H81" i="55"/>
  <c r="I81" i="55" s="1"/>
  <c r="T68" i="55"/>
  <c r="T71" i="55"/>
  <c r="U71" i="55" s="1"/>
  <c r="T70" i="55"/>
  <c r="U70" i="55" s="1"/>
  <c r="T72" i="55"/>
  <c r="U72" i="55" s="1"/>
  <c r="T73" i="55"/>
  <c r="U73" i="55" s="1"/>
  <c r="O89" i="55"/>
  <c r="T29" i="55"/>
  <c r="R45" i="55" s="1"/>
  <c r="P65" i="55" s="1"/>
  <c r="T66" i="55" s="1"/>
  <c r="U13" i="55"/>
  <c r="U29" i="55" s="1"/>
  <c r="U45" i="55" s="1"/>
  <c r="I50" i="60"/>
  <c r="I59" i="60" s="1"/>
  <c r="P107" i="76"/>
  <c r="U107" i="76" s="1"/>
  <c r="U75" i="76"/>
  <c r="P13" i="76"/>
  <c r="P28" i="76"/>
  <c r="T28" i="76" s="1"/>
  <c r="U28" i="76" s="1"/>
  <c r="P26" i="76"/>
  <c r="T26" i="76" s="1"/>
  <c r="U26" i="76" s="1"/>
  <c r="P24" i="76"/>
  <c r="T24" i="76" s="1"/>
  <c r="U24" i="76" s="1"/>
  <c r="P23" i="76"/>
  <c r="T23" i="76" s="1"/>
  <c r="U23" i="76" s="1"/>
  <c r="U112" i="76"/>
  <c r="P40" i="76"/>
  <c r="U40" i="76" s="1"/>
  <c r="P42" i="76"/>
  <c r="U42" i="76" s="1"/>
  <c r="P17" i="76"/>
  <c r="T17" i="76" s="1"/>
  <c r="U74" i="76"/>
  <c r="P98" i="76"/>
  <c r="U98" i="76" s="1"/>
  <c r="P25" i="76"/>
  <c r="T25" i="76" s="1"/>
  <c r="U25" i="76" s="1"/>
  <c r="P106" i="76"/>
  <c r="U106" i="76" s="1"/>
  <c r="P37" i="76"/>
  <c r="P108" i="76"/>
  <c r="U108" i="76" s="1"/>
  <c r="P20" i="76"/>
  <c r="T20" i="76" s="1"/>
  <c r="U20" i="76" s="1"/>
  <c r="P41" i="76"/>
  <c r="U41" i="76" s="1"/>
  <c r="P21" i="76"/>
  <c r="T21" i="76" s="1"/>
  <c r="U21" i="76" s="1"/>
  <c r="P15" i="76"/>
  <c r="T15" i="76" s="1"/>
  <c r="P27" i="76"/>
  <c r="T27" i="76" s="1"/>
  <c r="U27" i="76" s="1"/>
  <c r="P38" i="76"/>
  <c r="U38" i="76" s="1"/>
  <c r="P16" i="76"/>
  <c r="T16" i="76" s="1"/>
  <c r="U16" i="76" s="1"/>
  <c r="P19" i="76"/>
  <c r="T19" i="76" s="1"/>
  <c r="U19" i="76" s="1"/>
  <c r="P14" i="76"/>
  <c r="T14" i="76" s="1"/>
  <c r="U14" i="76" s="1"/>
  <c r="U83" i="76"/>
  <c r="U111" i="76"/>
  <c r="P18" i="76"/>
  <c r="T18" i="76" s="1"/>
  <c r="U18" i="76" s="1"/>
  <c r="P39" i="76"/>
  <c r="U39" i="76" s="1"/>
  <c r="P22" i="76"/>
  <c r="T22" i="76" s="1"/>
  <c r="U22" i="76" s="1"/>
  <c r="H71" i="76"/>
  <c r="I71" i="76" s="1"/>
  <c r="H84" i="76"/>
  <c r="I84" i="76" s="1"/>
  <c r="H68" i="76"/>
  <c r="I68" i="76" s="1"/>
  <c r="H77" i="76"/>
  <c r="I77" i="76" s="1"/>
  <c r="H73" i="76"/>
  <c r="I73" i="76" s="1"/>
  <c r="H70" i="76"/>
  <c r="I70" i="76" s="1"/>
  <c r="H78" i="76"/>
  <c r="I78" i="76" s="1"/>
  <c r="H72" i="76"/>
  <c r="I72" i="76" s="1"/>
  <c r="P29" i="75"/>
  <c r="P62" i="75" s="1"/>
  <c r="T63" i="75" s="1"/>
  <c r="T13" i="75"/>
  <c r="K29" i="75"/>
  <c r="I45" i="75"/>
  <c r="H82" i="75"/>
  <c r="I82" i="75" s="1"/>
  <c r="H79" i="75"/>
  <c r="I79" i="75" s="1"/>
  <c r="H80" i="75"/>
  <c r="I80" i="75" s="1"/>
  <c r="H81" i="75"/>
  <c r="I81" i="75" s="1"/>
  <c r="H89" i="75"/>
  <c r="I92" i="75" s="1"/>
  <c r="C92" i="75"/>
  <c r="U17" i="75"/>
  <c r="O91" i="75"/>
  <c r="T91" i="75" s="1"/>
  <c r="U15" i="75"/>
  <c r="O90" i="75"/>
  <c r="T90" i="75" s="1"/>
  <c r="R43" i="75"/>
  <c r="U37" i="75"/>
  <c r="U43" i="75" s="1"/>
  <c r="H80" i="52"/>
  <c r="I80" i="52" s="1"/>
  <c r="H81" i="52"/>
  <c r="I81" i="52" s="1"/>
  <c r="I92" i="52"/>
  <c r="U75" i="52"/>
  <c r="P28" i="52"/>
  <c r="T28" i="52" s="1"/>
  <c r="U28" i="52" s="1"/>
  <c r="P21" i="52"/>
  <c r="T21" i="52" s="1"/>
  <c r="U21" i="52" s="1"/>
  <c r="P106" i="52"/>
  <c r="U106" i="52" s="1"/>
  <c r="P98" i="52"/>
  <c r="U98" i="52" s="1"/>
  <c r="P38" i="52"/>
  <c r="U38" i="52" s="1"/>
  <c r="P39" i="52"/>
  <c r="U39" i="52" s="1"/>
  <c r="P15" i="52"/>
  <c r="T15" i="52" s="1"/>
  <c r="P19" i="52"/>
  <c r="T19" i="52" s="1"/>
  <c r="U19" i="52" s="1"/>
  <c r="P40" i="52"/>
  <c r="U40" i="52" s="1"/>
  <c r="P27" i="52"/>
  <c r="T27" i="52" s="1"/>
  <c r="U27" i="52" s="1"/>
  <c r="U83" i="52"/>
  <c r="P25" i="52"/>
  <c r="T25" i="52" s="1"/>
  <c r="U25" i="52" s="1"/>
  <c r="P26" i="52"/>
  <c r="T26" i="52" s="1"/>
  <c r="U26" i="52" s="1"/>
  <c r="P107" i="52"/>
  <c r="U107" i="52" s="1"/>
  <c r="U111" i="52"/>
  <c r="U74" i="52"/>
  <c r="P16" i="52"/>
  <c r="T16" i="52" s="1"/>
  <c r="U16" i="52" s="1"/>
  <c r="P23" i="52"/>
  <c r="T23" i="52" s="1"/>
  <c r="U23" i="52" s="1"/>
  <c r="P108" i="52"/>
  <c r="U108" i="52" s="1"/>
  <c r="P41" i="52"/>
  <c r="U41" i="52" s="1"/>
  <c r="P22" i="52"/>
  <c r="T22" i="52" s="1"/>
  <c r="U22" i="52" s="1"/>
  <c r="P20" i="52"/>
  <c r="T20" i="52" s="1"/>
  <c r="U20" i="52" s="1"/>
  <c r="P13" i="52"/>
  <c r="P17" i="52"/>
  <c r="T17" i="52" s="1"/>
  <c r="P37" i="52"/>
  <c r="P24" i="52"/>
  <c r="T24" i="52" s="1"/>
  <c r="U24" i="52" s="1"/>
  <c r="U112" i="52"/>
  <c r="P18" i="52"/>
  <c r="T18" i="52" s="1"/>
  <c r="U18" i="52" s="1"/>
  <c r="P14" i="52"/>
  <c r="T14" i="52" s="1"/>
  <c r="U14" i="52" s="1"/>
  <c r="P42" i="52"/>
  <c r="U42" i="52" s="1"/>
  <c r="H70" i="52"/>
  <c r="I70" i="52" s="1"/>
  <c r="H71" i="52"/>
  <c r="I71" i="52" s="1"/>
  <c r="H84" i="52"/>
  <c r="I84" i="52" s="1"/>
  <c r="H72" i="52"/>
  <c r="I72" i="52" s="1"/>
  <c r="H77" i="52"/>
  <c r="I77" i="52" s="1"/>
  <c r="H78" i="52"/>
  <c r="I78" i="52" s="1"/>
  <c r="H73" i="52"/>
  <c r="I73" i="52" s="1"/>
  <c r="H68" i="52"/>
  <c r="I68" i="52" s="1"/>
  <c r="P108" i="51"/>
  <c r="U108" i="51" s="1"/>
  <c r="P25" i="51"/>
  <c r="T25" i="51" s="1"/>
  <c r="U25" i="51" s="1"/>
  <c r="P39" i="51"/>
  <c r="U39" i="51" s="1"/>
  <c r="P16" i="51"/>
  <c r="T16" i="51" s="1"/>
  <c r="U16" i="51" s="1"/>
  <c r="P23" i="51"/>
  <c r="T23" i="51" s="1"/>
  <c r="U23" i="51" s="1"/>
  <c r="U111" i="51"/>
  <c r="P37" i="51"/>
  <c r="U37" i="51" s="1"/>
  <c r="P19" i="51"/>
  <c r="T19" i="51" s="1"/>
  <c r="U19" i="51" s="1"/>
  <c r="P42" i="51"/>
  <c r="U42" i="51" s="1"/>
  <c r="P27" i="51"/>
  <c r="T27" i="51" s="1"/>
  <c r="U27" i="51" s="1"/>
  <c r="P107" i="51"/>
  <c r="U107" i="51" s="1"/>
  <c r="P20" i="51"/>
  <c r="T20" i="51" s="1"/>
  <c r="U20" i="51" s="1"/>
  <c r="P38" i="51"/>
  <c r="U38" i="51" s="1"/>
  <c r="P98" i="51"/>
  <c r="U98" i="51" s="1"/>
  <c r="U15" i="51"/>
  <c r="U17" i="51"/>
  <c r="U109" i="51"/>
  <c r="P18" i="50"/>
  <c r="T18" i="50" s="1"/>
  <c r="U18" i="50" s="1"/>
  <c r="U112" i="50"/>
  <c r="P37" i="50"/>
  <c r="P98" i="50"/>
  <c r="U98" i="50" s="1"/>
  <c r="U111" i="50"/>
  <c r="U83" i="50"/>
  <c r="P24" i="50"/>
  <c r="T24" i="50" s="1"/>
  <c r="U24" i="50" s="1"/>
  <c r="P40" i="50"/>
  <c r="U40" i="50" s="1"/>
  <c r="P26" i="50"/>
  <c r="T26" i="50" s="1"/>
  <c r="U26" i="50" s="1"/>
  <c r="P39" i="50"/>
  <c r="U39" i="50" s="1"/>
  <c r="U74" i="50"/>
  <c r="P13" i="50"/>
  <c r="P25" i="50"/>
  <c r="T25" i="50" s="1"/>
  <c r="U25" i="50" s="1"/>
  <c r="P22" i="50"/>
  <c r="T22" i="50" s="1"/>
  <c r="U22" i="50" s="1"/>
  <c r="P42" i="50"/>
  <c r="U42" i="50" s="1"/>
  <c r="P38" i="50"/>
  <c r="U38" i="50" s="1"/>
  <c r="P19" i="50"/>
  <c r="T19" i="50" s="1"/>
  <c r="U19" i="50" s="1"/>
  <c r="P21" i="50"/>
  <c r="T21" i="50" s="1"/>
  <c r="U21" i="50" s="1"/>
  <c r="P27" i="50"/>
  <c r="T27" i="50" s="1"/>
  <c r="U27" i="50" s="1"/>
  <c r="P106" i="50"/>
  <c r="U106" i="50" s="1"/>
  <c r="P107" i="50"/>
  <c r="U107" i="50" s="1"/>
  <c r="U75" i="50"/>
  <c r="P23" i="50"/>
  <c r="T23" i="50" s="1"/>
  <c r="U23" i="50" s="1"/>
  <c r="P20" i="50"/>
  <c r="T20" i="50" s="1"/>
  <c r="U20" i="50" s="1"/>
  <c r="P14" i="50"/>
  <c r="T14" i="50" s="1"/>
  <c r="U14" i="50" s="1"/>
  <c r="P16" i="50"/>
  <c r="T16" i="50" s="1"/>
  <c r="U16" i="50" s="1"/>
  <c r="P108" i="50"/>
  <c r="U108" i="50" s="1"/>
  <c r="P41" i="50"/>
  <c r="U41" i="50" s="1"/>
  <c r="P28" i="50"/>
  <c r="T28" i="50" s="1"/>
  <c r="U28" i="50" s="1"/>
  <c r="P15" i="50"/>
  <c r="T15" i="50" s="1"/>
  <c r="P17" i="50"/>
  <c r="T17" i="50" s="1"/>
  <c r="H71" i="50"/>
  <c r="I71" i="50" s="1"/>
  <c r="H73" i="50"/>
  <c r="I73" i="50" s="1"/>
  <c r="H68" i="50"/>
  <c r="I68" i="50" s="1"/>
  <c r="H84" i="50"/>
  <c r="I84" i="50" s="1"/>
  <c r="H70" i="50"/>
  <c r="I70" i="50" s="1"/>
  <c r="H77" i="50"/>
  <c r="I77" i="50" s="1"/>
  <c r="H78" i="50"/>
  <c r="I78" i="50" s="1"/>
  <c r="H72" i="50"/>
  <c r="I72" i="50" s="1"/>
  <c r="H71" i="48"/>
  <c r="I71" i="48" s="1"/>
  <c r="H84" i="48"/>
  <c r="I84" i="48" s="1"/>
  <c r="H78" i="48"/>
  <c r="I78" i="48" s="1"/>
  <c r="H77" i="48"/>
  <c r="I77" i="48" s="1"/>
  <c r="H70" i="48"/>
  <c r="I70" i="48" s="1"/>
  <c r="H68" i="48"/>
  <c r="I68" i="48" s="1"/>
  <c r="H73" i="48"/>
  <c r="I73" i="48" s="1"/>
  <c r="H72" i="48"/>
  <c r="I72" i="48" s="1"/>
  <c r="U75" i="48"/>
  <c r="P24" i="48"/>
  <c r="T24" i="48" s="1"/>
  <c r="U24" i="48" s="1"/>
  <c r="P15" i="48"/>
  <c r="T15" i="48" s="1"/>
  <c r="P38" i="48"/>
  <c r="U38" i="48" s="1"/>
  <c r="P27" i="48"/>
  <c r="T27" i="48" s="1"/>
  <c r="U27" i="48" s="1"/>
  <c r="P22" i="48"/>
  <c r="T22" i="48" s="1"/>
  <c r="U22" i="48" s="1"/>
  <c r="P98" i="48"/>
  <c r="U98" i="48" s="1"/>
  <c r="P108" i="48"/>
  <c r="U108" i="48" s="1"/>
  <c r="P41" i="48"/>
  <c r="U41" i="48" s="1"/>
  <c r="U112" i="48"/>
  <c r="P16" i="48"/>
  <c r="T16" i="48" s="1"/>
  <c r="U16" i="48" s="1"/>
  <c r="P39" i="48"/>
  <c r="U39" i="48" s="1"/>
  <c r="P25" i="48"/>
  <c r="T25" i="48" s="1"/>
  <c r="U25" i="48" s="1"/>
  <c r="P40" i="48"/>
  <c r="U40" i="48" s="1"/>
  <c r="U74" i="48"/>
  <c r="U83" i="48"/>
  <c r="P14" i="48"/>
  <c r="T14" i="48" s="1"/>
  <c r="U14" i="48" s="1"/>
  <c r="P17" i="48"/>
  <c r="T17" i="48" s="1"/>
  <c r="P107" i="48"/>
  <c r="U107" i="48" s="1"/>
  <c r="P42" i="48"/>
  <c r="U42" i="48" s="1"/>
  <c r="P26" i="48"/>
  <c r="T26" i="48" s="1"/>
  <c r="U26" i="48" s="1"/>
  <c r="P106" i="48"/>
  <c r="U106" i="48" s="1"/>
  <c r="P23" i="48"/>
  <c r="T23" i="48" s="1"/>
  <c r="U23" i="48" s="1"/>
  <c r="U111" i="48"/>
  <c r="P20" i="48"/>
  <c r="T20" i="48" s="1"/>
  <c r="U20" i="48" s="1"/>
  <c r="P21" i="48"/>
  <c r="T21" i="48" s="1"/>
  <c r="U21" i="48" s="1"/>
  <c r="P28" i="48"/>
  <c r="T28" i="48" s="1"/>
  <c r="U28" i="48" s="1"/>
  <c r="P19" i="48"/>
  <c r="T19" i="48" s="1"/>
  <c r="U19" i="48" s="1"/>
  <c r="P13" i="48"/>
  <c r="P37" i="48"/>
  <c r="P18" i="48"/>
  <c r="T18" i="48" s="1"/>
  <c r="U18" i="48" s="1"/>
  <c r="H68" i="47"/>
  <c r="I68" i="47" s="1"/>
  <c r="H84" i="47"/>
  <c r="I84" i="47" s="1"/>
  <c r="H73" i="47"/>
  <c r="I73" i="47" s="1"/>
  <c r="U109" i="47"/>
  <c r="T13" i="47"/>
  <c r="P29" i="47"/>
  <c r="P62" i="47" s="1"/>
  <c r="T63" i="47" s="1"/>
  <c r="O90" i="47"/>
  <c r="T90" i="47" s="1"/>
  <c r="U15" i="47"/>
  <c r="O91" i="47"/>
  <c r="T91" i="47" s="1"/>
  <c r="U17" i="47"/>
  <c r="C92" i="47"/>
  <c r="R43" i="47"/>
  <c r="U37" i="47"/>
  <c r="U43" i="47" s="1"/>
  <c r="H70" i="45"/>
  <c r="I70" i="45" s="1"/>
  <c r="H72" i="45"/>
  <c r="I72" i="45" s="1"/>
  <c r="H84" i="45"/>
  <c r="I84" i="45" s="1"/>
  <c r="H71" i="45"/>
  <c r="I71" i="45" s="1"/>
  <c r="H78" i="45"/>
  <c r="I78" i="45" s="1"/>
  <c r="H73" i="45"/>
  <c r="I73" i="45" s="1"/>
  <c r="H68" i="45"/>
  <c r="I68" i="45" s="1"/>
  <c r="H77" i="45"/>
  <c r="I77" i="45" s="1"/>
  <c r="P13" i="45"/>
  <c r="P42" i="45"/>
  <c r="U42" i="45" s="1"/>
  <c r="U75" i="45"/>
  <c r="P39" i="45"/>
  <c r="U39" i="45" s="1"/>
  <c r="P108" i="45"/>
  <c r="U108" i="45" s="1"/>
  <c r="P15" i="45"/>
  <c r="T15" i="45" s="1"/>
  <c r="P106" i="45"/>
  <c r="U106" i="45" s="1"/>
  <c r="P24" i="45"/>
  <c r="T24" i="45" s="1"/>
  <c r="U24" i="45" s="1"/>
  <c r="P22" i="45"/>
  <c r="T22" i="45" s="1"/>
  <c r="U22" i="45" s="1"/>
  <c r="P27" i="45"/>
  <c r="T27" i="45" s="1"/>
  <c r="U27" i="45" s="1"/>
  <c r="U74" i="45"/>
  <c r="U111" i="45"/>
  <c r="U112" i="45"/>
  <c r="P41" i="45"/>
  <c r="U41" i="45" s="1"/>
  <c r="P37" i="45"/>
  <c r="P19" i="45"/>
  <c r="T19" i="45" s="1"/>
  <c r="U19" i="45" s="1"/>
  <c r="P20" i="45"/>
  <c r="T20" i="45" s="1"/>
  <c r="U20" i="45" s="1"/>
  <c r="P28" i="45"/>
  <c r="T28" i="45" s="1"/>
  <c r="U28" i="45" s="1"/>
  <c r="U83" i="45"/>
  <c r="P40" i="45"/>
  <c r="U40" i="45" s="1"/>
  <c r="P23" i="45"/>
  <c r="T23" i="45" s="1"/>
  <c r="U23" i="45" s="1"/>
  <c r="P14" i="45"/>
  <c r="T14" i="45" s="1"/>
  <c r="U14" i="45" s="1"/>
  <c r="P98" i="45"/>
  <c r="U98" i="45" s="1"/>
  <c r="P107" i="45"/>
  <c r="U107" i="45" s="1"/>
  <c r="P16" i="45"/>
  <c r="T16" i="45" s="1"/>
  <c r="U16" i="45" s="1"/>
  <c r="P26" i="45"/>
  <c r="T26" i="45" s="1"/>
  <c r="U26" i="45" s="1"/>
  <c r="P17" i="45"/>
  <c r="T17" i="45" s="1"/>
  <c r="P18" i="45"/>
  <c r="T18" i="45" s="1"/>
  <c r="U18" i="45" s="1"/>
  <c r="P38" i="45"/>
  <c r="U38" i="45" s="1"/>
  <c r="P21" i="45"/>
  <c r="T21" i="45" s="1"/>
  <c r="U21" i="45" s="1"/>
  <c r="P25" i="45"/>
  <c r="T25" i="45" s="1"/>
  <c r="U25" i="45" s="1"/>
  <c r="H79" i="44"/>
  <c r="I79" i="44" s="1"/>
  <c r="H80" i="44"/>
  <c r="I80" i="44" s="1"/>
  <c r="H82" i="44"/>
  <c r="I82" i="44" s="1"/>
  <c r="H77" i="44"/>
  <c r="I77" i="44" s="1"/>
  <c r="H70" i="44"/>
  <c r="I70" i="44" s="1"/>
  <c r="H84" i="44"/>
  <c r="I84" i="44" s="1"/>
  <c r="H71" i="44"/>
  <c r="I71" i="44" s="1"/>
  <c r="H72" i="44"/>
  <c r="I72" i="44" s="1"/>
  <c r="H68" i="44"/>
  <c r="I68" i="44" s="1"/>
  <c r="H73" i="44"/>
  <c r="I73" i="44" s="1"/>
  <c r="H78" i="44"/>
  <c r="I78" i="44" s="1"/>
  <c r="P42" i="44"/>
  <c r="U42" i="44" s="1"/>
  <c r="P24" i="44"/>
  <c r="T24" i="44" s="1"/>
  <c r="U24" i="44" s="1"/>
  <c r="P17" i="44"/>
  <c r="T17" i="44" s="1"/>
  <c r="P98" i="44"/>
  <c r="U98" i="44" s="1"/>
  <c r="P26" i="44"/>
  <c r="T26" i="44" s="1"/>
  <c r="U26" i="44" s="1"/>
  <c r="P28" i="44"/>
  <c r="T28" i="44" s="1"/>
  <c r="U28" i="44" s="1"/>
  <c r="P37" i="44"/>
  <c r="P16" i="44"/>
  <c r="T16" i="44" s="1"/>
  <c r="U16" i="44" s="1"/>
  <c r="P106" i="44"/>
  <c r="U106" i="44" s="1"/>
  <c r="U75" i="44"/>
  <c r="P39" i="44"/>
  <c r="U39" i="44" s="1"/>
  <c r="U74" i="44"/>
  <c r="U112" i="44"/>
  <c r="P20" i="44"/>
  <c r="T20" i="44" s="1"/>
  <c r="U20" i="44" s="1"/>
  <c r="P27" i="44"/>
  <c r="T27" i="44" s="1"/>
  <c r="U27" i="44" s="1"/>
  <c r="P22" i="44"/>
  <c r="T22" i="44" s="1"/>
  <c r="U22" i="44" s="1"/>
  <c r="P41" i="44"/>
  <c r="U41" i="44" s="1"/>
  <c r="P19" i="44"/>
  <c r="T19" i="44" s="1"/>
  <c r="U19" i="44" s="1"/>
  <c r="P25" i="44"/>
  <c r="T25" i="44" s="1"/>
  <c r="U25" i="44" s="1"/>
  <c r="P40" i="44"/>
  <c r="U40" i="44" s="1"/>
  <c r="P38" i="44"/>
  <c r="U38" i="44" s="1"/>
  <c r="P13" i="44"/>
  <c r="P15" i="44"/>
  <c r="T15" i="44" s="1"/>
  <c r="P23" i="44"/>
  <c r="T23" i="44" s="1"/>
  <c r="U23" i="44" s="1"/>
  <c r="P18" i="44"/>
  <c r="T18" i="44" s="1"/>
  <c r="U18" i="44" s="1"/>
  <c r="P107" i="44"/>
  <c r="U107" i="44" s="1"/>
  <c r="P21" i="44"/>
  <c r="T21" i="44" s="1"/>
  <c r="U21" i="44" s="1"/>
  <c r="P108" i="44"/>
  <c r="U108" i="44" s="1"/>
  <c r="P14" i="44"/>
  <c r="T14" i="44" s="1"/>
  <c r="U14" i="44" s="1"/>
  <c r="U111" i="44"/>
  <c r="U83" i="44"/>
  <c r="P98" i="43"/>
  <c r="U98" i="43" s="1"/>
  <c r="U112" i="43"/>
  <c r="P37" i="43"/>
  <c r="P107" i="43"/>
  <c r="U107" i="43" s="1"/>
  <c r="P15" i="43"/>
  <c r="T15" i="43" s="1"/>
  <c r="P38" i="43"/>
  <c r="U38" i="43" s="1"/>
  <c r="P42" i="43"/>
  <c r="U42" i="43" s="1"/>
  <c r="P20" i="43"/>
  <c r="T20" i="43" s="1"/>
  <c r="U20" i="43" s="1"/>
  <c r="P27" i="43"/>
  <c r="T27" i="43" s="1"/>
  <c r="U27" i="43" s="1"/>
  <c r="P22" i="43"/>
  <c r="T22" i="43" s="1"/>
  <c r="U22" i="43" s="1"/>
  <c r="U74" i="43"/>
  <c r="U111" i="43"/>
  <c r="P23" i="43"/>
  <c r="T23" i="43" s="1"/>
  <c r="U23" i="43" s="1"/>
  <c r="P28" i="43"/>
  <c r="T28" i="43" s="1"/>
  <c r="U28" i="43" s="1"/>
  <c r="U75" i="43"/>
  <c r="P40" i="43"/>
  <c r="U40" i="43" s="1"/>
  <c r="P41" i="43"/>
  <c r="U41" i="43" s="1"/>
  <c r="P18" i="43"/>
  <c r="T18" i="43" s="1"/>
  <c r="U18" i="43" s="1"/>
  <c r="U83" i="43"/>
  <c r="P21" i="43"/>
  <c r="T21" i="43" s="1"/>
  <c r="U21" i="43" s="1"/>
  <c r="P108" i="43"/>
  <c r="U108" i="43" s="1"/>
  <c r="P25" i="43"/>
  <c r="T25" i="43" s="1"/>
  <c r="U25" i="43" s="1"/>
  <c r="P106" i="43"/>
  <c r="U106" i="43" s="1"/>
  <c r="P39" i="43"/>
  <c r="U39" i="43" s="1"/>
  <c r="P13" i="43"/>
  <c r="P26" i="43"/>
  <c r="T26" i="43" s="1"/>
  <c r="U26" i="43" s="1"/>
  <c r="P17" i="43"/>
  <c r="T17" i="43" s="1"/>
  <c r="P16" i="43"/>
  <c r="T16" i="43" s="1"/>
  <c r="U16" i="43" s="1"/>
  <c r="P19" i="43"/>
  <c r="T19" i="43" s="1"/>
  <c r="U19" i="43" s="1"/>
  <c r="P14" i="43"/>
  <c r="T14" i="43" s="1"/>
  <c r="U14" i="43" s="1"/>
  <c r="P24" i="43"/>
  <c r="T24" i="43" s="1"/>
  <c r="U24" i="43" s="1"/>
  <c r="H70" i="43"/>
  <c r="I70" i="43" s="1"/>
  <c r="H77" i="43"/>
  <c r="I77" i="43" s="1"/>
  <c r="H84" i="43"/>
  <c r="I84" i="43" s="1"/>
  <c r="H68" i="43"/>
  <c r="I68" i="43" s="1"/>
  <c r="H72" i="43"/>
  <c r="I72" i="43" s="1"/>
  <c r="H71" i="43"/>
  <c r="I71" i="43" s="1"/>
  <c r="H78" i="43"/>
  <c r="I78" i="43" s="1"/>
  <c r="H73" i="43"/>
  <c r="I73" i="43" s="1"/>
  <c r="P98" i="42"/>
  <c r="U98" i="42" s="1"/>
  <c r="P13" i="42"/>
  <c r="P14" i="42"/>
  <c r="T14" i="42" s="1"/>
  <c r="U14" i="42" s="1"/>
  <c r="P27" i="42"/>
  <c r="T27" i="42" s="1"/>
  <c r="U27" i="42" s="1"/>
  <c r="P108" i="42"/>
  <c r="U108" i="42" s="1"/>
  <c r="P28" i="42"/>
  <c r="T28" i="42" s="1"/>
  <c r="U28" i="42" s="1"/>
  <c r="P22" i="42"/>
  <c r="T22" i="42" s="1"/>
  <c r="U22" i="42" s="1"/>
  <c r="U111" i="42"/>
  <c r="P107" i="42"/>
  <c r="U107" i="42" s="1"/>
  <c r="P24" i="42"/>
  <c r="T24" i="42" s="1"/>
  <c r="U24" i="42" s="1"/>
  <c r="U112" i="42"/>
  <c r="U74" i="42"/>
  <c r="P19" i="42"/>
  <c r="T19" i="42" s="1"/>
  <c r="U19" i="42" s="1"/>
  <c r="P17" i="42"/>
  <c r="T17" i="42" s="1"/>
  <c r="P41" i="42"/>
  <c r="U41" i="42" s="1"/>
  <c r="P21" i="42"/>
  <c r="T21" i="42" s="1"/>
  <c r="U21" i="42" s="1"/>
  <c r="P106" i="42"/>
  <c r="U106" i="42" s="1"/>
  <c r="P42" i="42"/>
  <c r="U42" i="42" s="1"/>
  <c r="P16" i="42"/>
  <c r="T16" i="42" s="1"/>
  <c r="U16" i="42" s="1"/>
  <c r="P20" i="42"/>
  <c r="T20" i="42" s="1"/>
  <c r="U20" i="42" s="1"/>
  <c r="P39" i="42"/>
  <c r="U39" i="42" s="1"/>
  <c r="P40" i="42"/>
  <c r="U40" i="42" s="1"/>
  <c r="P38" i="42"/>
  <c r="U38" i="42" s="1"/>
  <c r="P37" i="42"/>
  <c r="P26" i="42"/>
  <c r="T26" i="42" s="1"/>
  <c r="U26" i="42" s="1"/>
  <c r="U83" i="42"/>
  <c r="U75" i="42"/>
  <c r="P25" i="42"/>
  <c r="T25" i="42" s="1"/>
  <c r="U25" i="42" s="1"/>
  <c r="P23" i="42"/>
  <c r="T23" i="42" s="1"/>
  <c r="U23" i="42" s="1"/>
  <c r="P18" i="42"/>
  <c r="T18" i="42" s="1"/>
  <c r="U18" i="42" s="1"/>
  <c r="P15" i="42"/>
  <c r="T15" i="42" s="1"/>
  <c r="H72" i="42"/>
  <c r="I72" i="42" s="1"/>
  <c r="H84" i="42"/>
  <c r="I84" i="42" s="1"/>
  <c r="H68" i="42"/>
  <c r="I68" i="42" s="1"/>
  <c r="H77" i="42"/>
  <c r="I77" i="42" s="1"/>
  <c r="H70" i="42"/>
  <c r="I70" i="42" s="1"/>
  <c r="H78" i="42"/>
  <c r="I78" i="42" s="1"/>
  <c r="H71" i="42"/>
  <c r="I71" i="42" s="1"/>
  <c r="H73" i="42"/>
  <c r="I73" i="42" s="1"/>
  <c r="P107" i="40"/>
  <c r="U107" i="40" s="1"/>
  <c r="P20" i="40"/>
  <c r="T20" i="40" s="1"/>
  <c r="U20" i="40" s="1"/>
  <c r="P18" i="40"/>
  <c r="T18" i="40" s="1"/>
  <c r="U18" i="40" s="1"/>
  <c r="U112" i="40"/>
  <c r="P40" i="40"/>
  <c r="U40" i="40" s="1"/>
  <c r="U74" i="40"/>
  <c r="P108" i="40"/>
  <c r="U108" i="40" s="1"/>
  <c r="P41" i="40"/>
  <c r="U41" i="40" s="1"/>
  <c r="P38" i="40"/>
  <c r="U38" i="40" s="1"/>
  <c r="P15" i="40"/>
  <c r="T15" i="40" s="1"/>
  <c r="P17" i="40"/>
  <c r="T17" i="40" s="1"/>
  <c r="P28" i="40"/>
  <c r="T28" i="40" s="1"/>
  <c r="U28" i="40" s="1"/>
  <c r="U111" i="40"/>
  <c r="P27" i="40"/>
  <c r="T27" i="40" s="1"/>
  <c r="U27" i="40" s="1"/>
  <c r="P26" i="40"/>
  <c r="T26" i="40" s="1"/>
  <c r="U26" i="40" s="1"/>
  <c r="U83" i="40"/>
  <c r="P25" i="40"/>
  <c r="T25" i="40" s="1"/>
  <c r="U25" i="40" s="1"/>
  <c r="P39" i="40"/>
  <c r="U39" i="40" s="1"/>
  <c r="P42" i="40"/>
  <c r="U42" i="40" s="1"/>
  <c r="P21" i="40"/>
  <c r="T21" i="40" s="1"/>
  <c r="U21" i="40" s="1"/>
  <c r="P23" i="40"/>
  <c r="T23" i="40" s="1"/>
  <c r="U23" i="40" s="1"/>
  <c r="P24" i="40"/>
  <c r="T24" i="40" s="1"/>
  <c r="U24" i="40" s="1"/>
  <c r="P37" i="40"/>
  <c r="P98" i="40"/>
  <c r="U98" i="40" s="1"/>
  <c r="P22" i="40"/>
  <c r="T22" i="40" s="1"/>
  <c r="U22" i="40" s="1"/>
  <c r="P14" i="40"/>
  <c r="T14" i="40" s="1"/>
  <c r="U14" i="40" s="1"/>
  <c r="P16" i="40"/>
  <c r="T16" i="40" s="1"/>
  <c r="U16" i="40" s="1"/>
  <c r="U75" i="40"/>
  <c r="P106" i="40"/>
  <c r="U106" i="40" s="1"/>
  <c r="P13" i="40"/>
  <c r="P19" i="40"/>
  <c r="T19" i="40" s="1"/>
  <c r="U19" i="40" s="1"/>
  <c r="H78" i="40"/>
  <c r="I78" i="40" s="1"/>
  <c r="H84" i="40"/>
  <c r="I84" i="40" s="1"/>
  <c r="H68" i="40"/>
  <c r="I68" i="40" s="1"/>
  <c r="H77" i="40"/>
  <c r="I77" i="40" s="1"/>
  <c r="H73" i="40"/>
  <c r="I73" i="40" s="1"/>
  <c r="H70" i="40"/>
  <c r="I70" i="40" s="1"/>
  <c r="H71" i="40"/>
  <c r="I71" i="40" s="1"/>
  <c r="H72" i="40"/>
  <c r="I72" i="40" s="1"/>
  <c r="U75" i="39"/>
  <c r="P28" i="39"/>
  <c r="T28" i="39" s="1"/>
  <c r="U28" i="39" s="1"/>
  <c r="P21" i="39"/>
  <c r="T21" i="39" s="1"/>
  <c r="U21" i="39" s="1"/>
  <c r="P38" i="39"/>
  <c r="U38" i="39" s="1"/>
  <c r="U74" i="39"/>
  <c r="P27" i="39"/>
  <c r="T27" i="39" s="1"/>
  <c r="U27" i="39" s="1"/>
  <c r="P19" i="39"/>
  <c r="T19" i="39" s="1"/>
  <c r="U19" i="39" s="1"/>
  <c r="I114" i="39"/>
  <c r="T13" i="39"/>
  <c r="O90" i="39"/>
  <c r="T90" i="39" s="1"/>
  <c r="U15" i="39"/>
  <c r="U17" i="39"/>
  <c r="U37" i="39"/>
  <c r="P42" i="38"/>
  <c r="U42" i="38" s="1"/>
  <c r="P41" i="38"/>
  <c r="U41" i="38" s="1"/>
  <c r="P107" i="38"/>
  <c r="U107" i="38" s="1"/>
  <c r="U111" i="38"/>
  <c r="P27" i="38"/>
  <c r="T27" i="38" s="1"/>
  <c r="U27" i="38" s="1"/>
  <c r="P26" i="38"/>
  <c r="T26" i="38" s="1"/>
  <c r="U26" i="38" s="1"/>
  <c r="U112" i="38"/>
  <c r="P40" i="38"/>
  <c r="U40" i="38" s="1"/>
  <c r="P39" i="38"/>
  <c r="U39" i="38" s="1"/>
  <c r="P18" i="38"/>
  <c r="T18" i="38" s="1"/>
  <c r="U18" i="38" s="1"/>
  <c r="P108" i="38"/>
  <c r="U108" i="38" s="1"/>
  <c r="P17" i="38"/>
  <c r="T17" i="38" s="1"/>
  <c r="U75" i="38"/>
  <c r="P19" i="38"/>
  <c r="T19" i="38" s="1"/>
  <c r="U19" i="38" s="1"/>
  <c r="P24" i="38"/>
  <c r="T24" i="38" s="1"/>
  <c r="U24" i="38" s="1"/>
  <c r="P21" i="38"/>
  <c r="T21" i="38" s="1"/>
  <c r="U21" i="38" s="1"/>
  <c r="P98" i="38"/>
  <c r="U98" i="38" s="1"/>
  <c r="P23" i="38"/>
  <c r="T23" i="38" s="1"/>
  <c r="U23" i="38" s="1"/>
  <c r="P38" i="38"/>
  <c r="U38" i="38" s="1"/>
  <c r="P22" i="38"/>
  <c r="T22" i="38" s="1"/>
  <c r="U22" i="38" s="1"/>
  <c r="P106" i="38"/>
  <c r="U106" i="38" s="1"/>
  <c r="P20" i="38"/>
  <c r="T20" i="38" s="1"/>
  <c r="U20" i="38" s="1"/>
  <c r="P37" i="38"/>
  <c r="P14" i="38"/>
  <c r="T14" i="38" s="1"/>
  <c r="U14" i="38" s="1"/>
  <c r="P25" i="38"/>
  <c r="T25" i="38" s="1"/>
  <c r="U25" i="38" s="1"/>
  <c r="P13" i="38"/>
  <c r="P15" i="38"/>
  <c r="T15" i="38" s="1"/>
  <c r="U74" i="38"/>
  <c r="P16" i="38"/>
  <c r="T16" i="38" s="1"/>
  <c r="U16" i="38" s="1"/>
  <c r="U83" i="38"/>
  <c r="P28" i="38"/>
  <c r="T28" i="38" s="1"/>
  <c r="U28" i="38" s="1"/>
  <c r="H77" i="38"/>
  <c r="I77" i="38" s="1"/>
  <c r="H84" i="38"/>
  <c r="I84" i="38" s="1"/>
  <c r="H71" i="38"/>
  <c r="I71" i="38" s="1"/>
  <c r="H73" i="38"/>
  <c r="I73" i="38" s="1"/>
  <c r="H70" i="38"/>
  <c r="I70" i="38" s="1"/>
  <c r="H72" i="38"/>
  <c r="I72" i="38" s="1"/>
  <c r="H78" i="38"/>
  <c r="I78" i="38" s="1"/>
  <c r="H68" i="38"/>
  <c r="I68" i="38" s="1"/>
  <c r="H84" i="37"/>
  <c r="I84" i="37" s="1"/>
  <c r="H78" i="37"/>
  <c r="I78" i="37" s="1"/>
  <c r="H70" i="37"/>
  <c r="I70" i="37" s="1"/>
  <c r="H71" i="37"/>
  <c r="I71" i="37" s="1"/>
  <c r="H77" i="37"/>
  <c r="I77" i="37" s="1"/>
  <c r="H68" i="37"/>
  <c r="I68" i="37" s="1"/>
  <c r="H73" i="37"/>
  <c r="I73" i="37" s="1"/>
  <c r="H72" i="37"/>
  <c r="I72" i="37" s="1"/>
  <c r="P25" i="37"/>
  <c r="T25" i="37" s="1"/>
  <c r="U25" i="37" s="1"/>
  <c r="P39" i="37"/>
  <c r="U39" i="37" s="1"/>
  <c r="P26" i="37"/>
  <c r="T26" i="37" s="1"/>
  <c r="U26" i="37" s="1"/>
  <c r="U75" i="37"/>
  <c r="P23" i="37"/>
  <c r="T23" i="37" s="1"/>
  <c r="U23" i="37" s="1"/>
  <c r="U111" i="37"/>
  <c r="P22" i="37"/>
  <c r="T22" i="37" s="1"/>
  <c r="U22" i="37" s="1"/>
  <c r="P42" i="37"/>
  <c r="U42" i="37" s="1"/>
  <c r="P38" i="37"/>
  <c r="U38" i="37" s="1"/>
  <c r="P28" i="37"/>
  <c r="T28" i="37" s="1"/>
  <c r="U28" i="37" s="1"/>
  <c r="P15" i="37"/>
  <c r="T15" i="37" s="1"/>
  <c r="P20" i="37"/>
  <c r="T20" i="37" s="1"/>
  <c r="U20" i="37" s="1"/>
  <c r="P41" i="37"/>
  <c r="U41" i="37" s="1"/>
  <c r="P14" i="37"/>
  <c r="T14" i="37" s="1"/>
  <c r="U14" i="37" s="1"/>
  <c r="P106" i="37"/>
  <c r="U106" i="37" s="1"/>
  <c r="U83" i="37"/>
  <c r="P27" i="37"/>
  <c r="T27" i="37" s="1"/>
  <c r="U27" i="37" s="1"/>
  <c r="P98" i="37"/>
  <c r="U98" i="37" s="1"/>
  <c r="P19" i="37"/>
  <c r="T19" i="37" s="1"/>
  <c r="U19" i="37" s="1"/>
  <c r="P13" i="37"/>
  <c r="U74" i="37"/>
  <c r="P17" i="37"/>
  <c r="T17" i="37" s="1"/>
  <c r="P18" i="37"/>
  <c r="T18" i="37" s="1"/>
  <c r="U18" i="37" s="1"/>
  <c r="P40" i="37"/>
  <c r="U40" i="37" s="1"/>
  <c r="U112" i="37"/>
  <c r="P108" i="37"/>
  <c r="U108" i="37" s="1"/>
  <c r="P16" i="37"/>
  <c r="T16" i="37" s="1"/>
  <c r="U16" i="37" s="1"/>
  <c r="P21" i="37"/>
  <c r="T21" i="37" s="1"/>
  <c r="U21" i="37" s="1"/>
  <c r="P37" i="37"/>
  <c r="P107" i="37"/>
  <c r="U107" i="37" s="1"/>
  <c r="P24" i="37"/>
  <c r="T24" i="37" s="1"/>
  <c r="U24" i="37" s="1"/>
  <c r="H29" i="36"/>
  <c r="E45" i="36" s="1"/>
  <c r="C65" i="36" s="1"/>
  <c r="H66" i="36" s="1"/>
  <c r="H116" i="36"/>
  <c r="C62" i="36"/>
  <c r="H63" i="36" s="1"/>
  <c r="I16" i="36"/>
  <c r="C90" i="36"/>
  <c r="H90" i="36" s="1"/>
  <c r="I18" i="36"/>
  <c r="C91" i="36"/>
  <c r="H91" i="36" s="1"/>
  <c r="H89" i="36"/>
  <c r="H116" i="23"/>
  <c r="C62" i="23"/>
  <c r="H63" i="23" s="1"/>
  <c r="C91" i="23"/>
  <c r="I17" i="23"/>
  <c r="H29" i="23"/>
  <c r="E45" i="23" s="1"/>
  <c r="C65" i="23" s="1"/>
  <c r="H66" i="23" s="1"/>
  <c r="H77" i="35"/>
  <c r="I77" i="35" s="1"/>
  <c r="H72" i="35"/>
  <c r="I72" i="35" s="1"/>
  <c r="H84" i="35"/>
  <c r="I84" i="35" s="1"/>
  <c r="H70" i="35"/>
  <c r="I70" i="35" s="1"/>
  <c r="H68" i="35"/>
  <c r="I68" i="35" s="1"/>
  <c r="H73" i="35"/>
  <c r="I73" i="35" s="1"/>
  <c r="H71" i="35"/>
  <c r="I71" i="35" s="1"/>
  <c r="H78" i="35"/>
  <c r="I78" i="35" s="1"/>
  <c r="P17" i="35"/>
  <c r="T17" i="35" s="1"/>
  <c r="U75" i="35"/>
  <c r="P19" i="35"/>
  <c r="T19" i="35" s="1"/>
  <c r="U19" i="35" s="1"/>
  <c r="U83" i="35"/>
  <c r="P21" i="35"/>
  <c r="T21" i="35" s="1"/>
  <c r="U21" i="35" s="1"/>
  <c r="P23" i="35"/>
  <c r="T23" i="35" s="1"/>
  <c r="U23" i="35" s="1"/>
  <c r="P37" i="35"/>
  <c r="P25" i="35"/>
  <c r="T25" i="35" s="1"/>
  <c r="U25" i="35" s="1"/>
  <c r="P27" i="35"/>
  <c r="T27" i="35" s="1"/>
  <c r="U27" i="35" s="1"/>
  <c r="P38" i="35"/>
  <c r="U38" i="35" s="1"/>
  <c r="P14" i="35"/>
  <c r="T14" i="35" s="1"/>
  <c r="U14" i="35" s="1"/>
  <c r="P106" i="35"/>
  <c r="U106" i="35" s="1"/>
  <c r="P15" i="35"/>
  <c r="T15" i="35" s="1"/>
  <c r="P108" i="35"/>
  <c r="U108" i="35" s="1"/>
  <c r="P20" i="35"/>
  <c r="T20" i="35" s="1"/>
  <c r="U20" i="35" s="1"/>
  <c r="P28" i="35"/>
  <c r="T28" i="35" s="1"/>
  <c r="U28" i="35" s="1"/>
  <c r="P16" i="35"/>
  <c r="T16" i="35" s="1"/>
  <c r="U16" i="35" s="1"/>
  <c r="P39" i="35"/>
  <c r="U39" i="35" s="1"/>
  <c r="P24" i="35"/>
  <c r="T24" i="35" s="1"/>
  <c r="U24" i="35" s="1"/>
  <c r="P26" i="35"/>
  <c r="T26" i="35" s="1"/>
  <c r="U26" i="35" s="1"/>
  <c r="P98" i="35"/>
  <c r="U98" i="35" s="1"/>
  <c r="P42" i="35"/>
  <c r="U42" i="35" s="1"/>
  <c r="P18" i="35"/>
  <c r="T18" i="35" s="1"/>
  <c r="U18" i="35" s="1"/>
  <c r="P13" i="35"/>
  <c r="P22" i="35"/>
  <c r="T22" i="35" s="1"/>
  <c r="U22" i="35" s="1"/>
  <c r="P41" i="35"/>
  <c r="U41" i="35" s="1"/>
  <c r="U111" i="35"/>
  <c r="U112" i="35"/>
  <c r="U74" i="35"/>
  <c r="P40" i="35"/>
  <c r="U40" i="35" s="1"/>
  <c r="P107" i="35"/>
  <c r="U107" i="35" s="1"/>
  <c r="E59" i="60"/>
  <c r="T71" i="34"/>
  <c r="U71" i="34" s="1"/>
  <c r="T73" i="34"/>
  <c r="U73" i="34" s="1"/>
  <c r="T72" i="34"/>
  <c r="U72" i="34" s="1"/>
  <c r="T68" i="34"/>
  <c r="T70" i="34"/>
  <c r="U70" i="34" s="1"/>
  <c r="U13" i="34"/>
  <c r="U29" i="34" s="1"/>
  <c r="U45" i="34" s="1"/>
  <c r="O89" i="34"/>
  <c r="T29" i="34"/>
  <c r="R45" i="34" s="1"/>
  <c r="P65" i="34" s="1"/>
  <c r="T66" i="34" s="1"/>
  <c r="P16" i="33"/>
  <c r="T16" i="33" s="1"/>
  <c r="U16" i="33" s="1"/>
  <c r="P98" i="33"/>
  <c r="U98" i="33" s="1"/>
  <c r="P42" i="33"/>
  <c r="U42" i="33" s="1"/>
  <c r="H70" i="33"/>
  <c r="I70" i="33" s="1"/>
  <c r="P17" i="33"/>
  <c r="T17" i="33" s="1"/>
  <c r="U17" i="33" s="1"/>
  <c r="P14" i="33"/>
  <c r="T14" i="33" s="1"/>
  <c r="U14" i="33" s="1"/>
  <c r="P39" i="33"/>
  <c r="U39" i="33" s="1"/>
  <c r="H84" i="33"/>
  <c r="I84" i="33" s="1"/>
  <c r="P22" i="33"/>
  <c r="T22" i="33" s="1"/>
  <c r="U22" i="33" s="1"/>
  <c r="P24" i="33"/>
  <c r="T24" i="33" s="1"/>
  <c r="U24" i="33" s="1"/>
  <c r="U75" i="33"/>
  <c r="H72" i="33"/>
  <c r="I72" i="33" s="1"/>
  <c r="U111" i="33"/>
  <c r="P107" i="33"/>
  <c r="U107" i="33" s="1"/>
  <c r="P28" i="33"/>
  <c r="T28" i="33" s="1"/>
  <c r="U28" i="33" s="1"/>
  <c r="H73" i="33"/>
  <c r="I73" i="33" s="1"/>
  <c r="P23" i="33"/>
  <c r="T23" i="33" s="1"/>
  <c r="U23" i="33" s="1"/>
  <c r="P38" i="33"/>
  <c r="U38" i="33" s="1"/>
  <c r="P25" i="33"/>
  <c r="T25" i="33" s="1"/>
  <c r="U25" i="33" s="1"/>
  <c r="P106" i="33"/>
  <c r="U106" i="33" s="1"/>
  <c r="U109" i="33" s="1"/>
  <c r="P37" i="33"/>
  <c r="U37" i="33" s="1"/>
  <c r="U43" i="33" s="1"/>
  <c r="P19" i="33"/>
  <c r="T19" i="33" s="1"/>
  <c r="U19" i="33" s="1"/>
  <c r="P20" i="33"/>
  <c r="T20" i="33" s="1"/>
  <c r="U20" i="33" s="1"/>
  <c r="P13" i="33"/>
  <c r="P26" i="33"/>
  <c r="T26" i="33" s="1"/>
  <c r="U26" i="33" s="1"/>
  <c r="U83" i="33"/>
  <c r="U15" i="33"/>
  <c r="H82" i="32"/>
  <c r="I82" i="32" s="1"/>
  <c r="H80" i="32"/>
  <c r="I80" i="32" s="1"/>
  <c r="P29" i="32"/>
  <c r="P62" i="32" s="1"/>
  <c r="T63" i="32" s="1"/>
  <c r="T13" i="32"/>
  <c r="U17" i="32"/>
  <c r="O91" i="32"/>
  <c r="T91" i="32" s="1"/>
  <c r="C91" i="60"/>
  <c r="U109" i="32"/>
  <c r="U37" i="32"/>
  <c r="U43" i="32" s="1"/>
  <c r="R43" i="32"/>
  <c r="O90" i="32"/>
  <c r="T90" i="32" s="1"/>
  <c r="U15" i="32"/>
  <c r="C89" i="60"/>
  <c r="H29" i="60"/>
  <c r="E45" i="60" s="1"/>
  <c r="C65" i="60" s="1"/>
  <c r="H66" i="60" s="1"/>
  <c r="H81" i="60" s="1"/>
  <c r="I16" i="30"/>
  <c r="I29" i="30" s="1"/>
  <c r="I45" i="30" s="1"/>
  <c r="H29" i="30"/>
  <c r="E45" i="30" s="1"/>
  <c r="C65" i="30" s="1"/>
  <c r="H66" i="30" s="1"/>
  <c r="C90" i="30"/>
  <c r="P28" i="30"/>
  <c r="T28" i="30" s="1"/>
  <c r="U28" i="30" s="1"/>
  <c r="P25" i="30"/>
  <c r="T25" i="30" s="1"/>
  <c r="U25" i="30" s="1"/>
  <c r="P26" i="30"/>
  <c r="T26" i="30" s="1"/>
  <c r="U26" i="30" s="1"/>
  <c r="U75" i="30"/>
  <c r="P38" i="30"/>
  <c r="U38" i="30" s="1"/>
  <c r="P21" i="30"/>
  <c r="T21" i="30" s="1"/>
  <c r="U21" i="30" s="1"/>
  <c r="P14" i="30"/>
  <c r="T14" i="30" s="1"/>
  <c r="U14" i="30" s="1"/>
  <c r="U74" i="30"/>
  <c r="P27" i="30"/>
  <c r="T27" i="30" s="1"/>
  <c r="U27" i="30" s="1"/>
  <c r="P42" i="30"/>
  <c r="U42" i="30" s="1"/>
  <c r="P24" i="30"/>
  <c r="T24" i="30" s="1"/>
  <c r="U24" i="30" s="1"/>
  <c r="P106" i="30"/>
  <c r="U106" i="30" s="1"/>
  <c r="U112" i="30"/>
  <c r="P108" i="30"/>
  <c r="U108" i="30" s="1"/>
  <c r="P22" i="30"/>
  <c r="T22" i="30" s="1"/>
  <c r="U22" i="30" s="1"/>
  <c r="P15" i="30"/>
  <c r="T15" i="30" s="1"/>
  <c r="P41" i="30"/>
  <c r="U41" i="30" s="1"/>
  <c r="P107" i="30"/>
  <c r="U107" i="30" s="1"/>
  <c r="P98" i="30"/>
  <c r="U98" i="30" s="1"/>
  <c r="P16" i="30"/>
  <c r="T16" i="30" s="1"/>
  <c r="U16" i="30" s="1"/>
  <c r="P19" i="30"/>
  <c r="T19" i="30" s="1"/>
  <c r="U19" i="30" s="1"/>
  <c r="P20" i="30"/>
  <c r="T20" i="30" s="1"/>
  <c r="U20" i="30" s="1"/>
  <c r="P18" i="30"/>
  <c r="T18" i="30" s="1"/>
  <c r="U18" i="30" s="1"/>
  <c r="P39" i="30"/>
  <c r="U39" i="30" s="1"/>
  <c r="P17" i="30"/>
  <c r="T17" i="30" s="1"/>
  <c r="U83" i="30"/>
  <c r="P40" i="30"/>
  <c r="U40" i="30" s="1"/>
  <c r="P13" i="30"/>
  <c r="P23" i="30"/>
  <c r="T23" i="30" s="1"/>
  <c r="U23" i="30" s="1"/>
  <c r="P37" i="30"/>
  <c r="U111" i="30"/>
  <c r="H77" i="30"/>
  <c r="I77" i="30" s="1"/>
  <c r="H73" i="30"/>
  <c r="I73" i="30" s="1"/>
  <c r="H72" i="30"/>
  <c r="I72" i="30" s="1"/>
  <c r="H84" i="30"/>
  <c r="I84" i="30" s="1"/>
  <c r="H71" i="30"/>
  <c r="I71" i="30" s="1"/>
  <c r="H68" i="30"/>
  <c r="I68" i="30" s="1"/>
  <c r="H78" i="30"/>
  <c r="I78" i="30" s="1"/>
  <c r="H70" i="30"/>
  <c r="I70" i="30" s="1"/>
  <c r="C62" i="29"/>
  <c r="H63" i="29" s="1"/>
  <c r="H70" i="29" s="1"/>
  <c r="I70" i="29" s="1"/>
  <c r="H116" i="29"/>
  <c r="P40" i="29" s="1"/>
  <c r="U40" i="29" s="1"/>
  <c r="E29" i="60"/>
  <c r="E31" i="60" s="1"/>
  <c r="H29" i="29"/>
  <c r="E45" i="29" s="1"/>
  <c r="C65" i="29" s="1"/>
  <c r="H66" i="29" s="1"/>
  <c r="C90" i="29"/>
  <c r="H90" i="29" s="1"/>
  <c r="C89" i="29"/>
  <c r="H78" i="29"/>
  <c r="I78" i="29" s="1"/>
  <c r="H72" i="29"/>
  <c r="I72" i="29" s="1"/>
  <c r="P18" i="29"/>
  <c r="T18" i="29" s="1"/>
  <c r="U18" i="29" s="1"/>
  <c r="P13" i="29"/>
  <c r="U111" i="29"/>
  <c r="P41" i="29"/>
  <c r="U41" i="29" s="1"/>
  <c r="P37" i="29"/>
  <c r="U83" i="29"/>
  <c r="P17" i="29"/>
  <c r="T17" i="29" s="1"/>
  <c r="P38" i="29"/>
  <c r="U38" i="29" s="1"/>
  <c r="P106" i="29"/>
  <c r="U106" i="29" s="1"/>
  <c r="P22" i="29"/>
  <c r="T22" i="29" s="1"/>
  <c r="U22" i="29" s="1"/>
  <c r="P42" i="29"/>
  <c r="U42" i="29" s="1"/>
  <c r="P26" i="29"/>
  <c r="T26" i="29" s="1"/>
  <c r="U26" i="29" s="1"/>
  <c r="P21" i="29"/>
  <c r="T21" i="29" s="1"/>
  <c r="U21" i="29" s="1"/>
  <c r="P39" i="29"/>
  <c r="U39" i="29" s="1"/>
  <c r="H72" i="28"/>
  <c r="I72" i="28" s="1"/>
  <c r="H68" i="28"/>
  <c r="I68" i="28" s="1"/>
  <c r="H77" i="28"/>
  <c r="I77" i="28" s="1"/>
  <c r="H84" i="28"/>
  <c r="I84" i="28" s="1"/>
  <c r="H70" i="28"/>
  <c r="I70" i="28" s="1"/>
  <c r="H73" i="28"/>
  <c r="I73" i="28" s="1"/>
  <c r="H71" i="28"/>
  <c r="I71" i="28" s="1"/>
  <c r="H78" i="28"/>
  <c r="I78" i="28" s="1"/>
  <c r="P15" i="28"/>
  <c r="T15" i="28" s="1"/>
  <c r="P23" i="28"/>
  <c r="T23" i="28" s="1"/>
  <c r="U23" i="28" s="1"/>
  <c r="P41" i="28"/>
  <c r="U41" i="28" s="1"/>
  <c r="P16" i="28"/>
  <c r="T16" i="28" s="1"/>
  <c r="U16" i="28" s="1"/>
  <c r="P17" i="28"/>
  <c r="T17" i="28" s="1"/>
  <c r="U112" i="28"/>
  <c r="U75" i="28"/>
  <c r="P22" i="28"/>
  <c r="T22" i="28" s="1"/>
  <c r="U22" i="28" s="1"/>
  <c r="U83" i="28"/>
  <c r="P98" i="28"/>
  <c r="U98" i="28" s="1"/>
  <c r="P106" i="28"/>
  <c r="U106" i="28" s="1"/>
  <c r="P40" i="28"/>
  <c r="U40" i="28" s="1"/>
  <c r="P19" i="28"/>
  <c r="T19" i="28" s="1"/>
  <c r="U19" i="28" s="1"/>
  <c r="P20" i="28"/>
  <c r="T20" i="28" s="1"/>
  <c r="U20" i="28" s="1"/>
  <c r="U74" i="28"/>
  <c r="P18" i="28"/>
  <c r="T18" i="28" s="1"/>
  <c r="U18" i="28" s="1"/>
  <c r="P108" i="28"/>
  <c r="U108" i="28" s="1"/>
  <c r="U111" i="28"/>
  <c r="P37" i="28"/>
  <c r="P28" i="28"/>
  <c r="T28" i="28" s="1"/>
  <c r="U28" i="28" s="1"/>
  <c r="P39" i="28"/>
  <c r="U39" i="28" s="1"/>
  <c r="P13" i="28"/>
  <c r="P38" i="28"/>
  <c r="U38" i="28" s="1"/>
  <c r="P42" i="28"/>
  <c r="U42" i="28" s="1"/>
  <c r="P21" i="28"/>
  <c r="T21" i="28" s="1"/>
  <c r="U21" i="28" s="1"/>
  <c r="P14" i="28"/>
  <c r="T14" i="28" s="1"/>
  <c r="U14" i="28" s="1"/>
  <c r="P26" i="28"/>
  <c r="T26" i="28" s="1"/>
  <c r="U26" i="28" s="1"/>
  <c r="P25" i="28"/>
  <c r="T25" i="28" s="1"/>
  <c r="U25" i="28" s="1"/>
  <c r="P107" i="28"/>
  <c r="U107" i="28" s="1"/>
  <c r="P24" i="28"/>
  <c r="T24" i="28" s="1"/>
  <c r="U24" i="28" s="1"/>
  <c r="P27" i="28"/>
  <c r="T27" i="28" s="1"/>
  <c r="U27" i="28" s="1"/>
  <c r="H77" i="27"/>
  <c r="I77" i="27" s="1"/>
  <c r="H70" i="27"/>
  <c r="I70" i="27" s="1"/>
  <c r="H84" i="27"/>
  <c r="I84" i="27" s="1"/>
  <c r="H72" i="27"/>
  <c r="I72" i="27" s="1"/>
  <c r="H73" i="27"/>
  <c r="I73" i="27" s="1"/>
  <c r="H71" i="27"/>
  <c r="I71" i="27" s="1"/>
  <c r="H78" i="27"/>
  <c r="I78" i="27" s="1"/>
  <c r="H68" i="27"/>
  <c r="I68" i="27" s="1"/>
  <c r="P38" i="27"/>
  <c r="U38" i="27" s="1"/>
  <c r="P108" i="27"/>
  <c r="U108" i="27" s="1"/>
  <c r="P21" i="27"/>
  <c r="T21" i="27" s="1"/>
  <c r="U21" i="27" s="1"/>
  <c r="P17" i="27"/>
  <c r="T17" i="27" s="1"/>
  <c r="P25" i="27"/>
  <c r="T25" i="27" s="1"/>
  <c r="U25" i="27" s="1"/>
  <c r="P26" i="27"/>
  <c r="T26" i="27" s="1"/>
  <c r="U26" i="27" s="1"/>
  <c r="P42" i="27"/>
  <c r="U42" i="27" s="1"/>
  <c r="P15" i="27"/>
  <c r="T15" i="27" s="1"/>
  <c r="P16" i="27"/>
  <c r="T16" i="27" s="1"/>
  <c r="U16" i="27" s="1"/>
  <c r="U111" i="27"/>
  <c r="U83" i="27"/>
  <c r="P27" i="27"/>
  <c r="T27" i="27" s="1"/>
  <c r="U27" i="27" s="1"/>
  <c r="P14" i="27"/>
  <c r="T14" i="27" s="1"/>
  <c r="U14" i="27" s="1"/>
  <c r="P98" i="27"/>
  <c r="U98" i="27" s="1"/>
  <c r="P24" i="27"/>
  <c r="T24" i="27" s="1"/>
  <c r="U24" i="27" s="1"/>
  <c r="P41" i="27"/>
  <c r="U41" i="27" s="1"/>
  <c r="P39" i="27"/>
  <c r="U39" i="27" s="1"/>
  <c r="U75" i="27"/>
  <c r="U112" i="27"/>
  <c r="P37" i="27"/>
  <c r="P22" i="27"/>
  <c r="T22" i="27" s="1"/>
  <c r="U22" i="27" s="1"/>
  <c r="U74" i="27"/>
  <c r="P40" i="27"/>
  <c r="U40" i="27" s="1"/>
  <c r="P23" i="27"/>
  <c r="T23" i="27" s="1"/>
  <c r="U23" i="27" s="1"/>
  <c r="P106" i="27"/>
  <c r="U106" i="27" s="1"/>
  <c r="P20" i="27"/>
  <c r="T20" i="27" s="1"/>
  <c r="U20" i="27" s="1"/>
  <c r="P107" i="27"/>
  <c r="U107" i="27" s="1"/>
  <c r="P28" i="27"/>
  <c r="T28" i="27" s="1"/>
  <c r="U28" i="27" s="1"/>
  <c r="P19" i="27"/>
  <c r="T19" i="27" s="1"/>
  <c r="U19" i="27" s="1"/>
  <c r="P18" i="27"/>
  <c r="T18" i="27" s="1"/>
  <c r="U18" i="27" s="1"/>
  <c r="P13" i="27"/>
  <c r="I114" i="26"/>
  <c r="U68" i="26"/>
  <c r="T84" i="26"/>
  <c r="U84" i="26" s="1"/>
  <c r="H68" i="22"/>
  <c r="I68" i="22" s="1"/>
  <c r="H78" i="22"/>
  <c r="I78" i="22" s="1"/>
  <c r="H70" i="22"/>
  <c r="I70" i="22" s="1"/>
  <c r="H77" i="22"/>
  <c r="I77" i="22" s="1"/>
  <c r="H73" i="22"/>
  <c r="I73" i="22" s="1"/>
  <c r="H84" i="22"/>
  <c r="I84" i="22" s="1"/>
  <c r="H72" i="22"/>
  <c r="I72" i="22" s="1"/>
  <c r="H71" i="22"/>
  <c r="I71" i="22" s="1"/>
  <c r="U74" i="22"/>
  <c r="P18" i="22"/>
  <c r="T18" i="22" s="1"/>
  <c r="U18" i="22" s="1"/>
  <c r="U75" i="22"/>
  <c r="P108" i="22"/>
  <c r="U108" i="22" s="1"/>
  <c r="U111" i="22"/>
  <c r="P15" i="22"/>
  <c r="T15" i="22" s="1"/>
  <c r="P25" i="22"/>
  <c r="T25" i="22" s="1"/>
  <c r="U25" i="22" s="1"/>
  <c r="P20" i="22"/>
  <c r="T20" i="22" s="1"/>
  <c r="U20" i="22" s="1"/>
  <c r="P23" i="22"/>
  <c r="T23" i="22" s="1"/>
  <c r="U23" i="22" s="1"/>
  <c r="P21" i="22"/>
  <c r="T21" i="22" s="1"/>
  <c r="U21" i="22" s="1"/>
  <c r="P14" i="22"/>
  <c r="T14" i="22" s="1"/>
  <c r="U14" i="22" s="1"/>
  <c r="P19" i="22"/>
  <c r="T19" i="22" s="1"/>
  <c r="U19" i="22" s="1"/>
  <c r="P13" i="22"/>
  <c r="P26" i="22"/>
  <c r="T26" i="22" s="1"/>
  <c r="U26" i="22" s="1"/>
  <c r="P38" i="22"/>
  <c r="U38" i="22" s="1"/>
  <c r="P106" i="22"/>
  <c r="U106" i="22" s="1"/>
  <c r="P42" i="22"/>
  <c r="U42" i="22" s="1"/>
  <c r="P22" i="22"/>
  <c r="T22" i="22" s="1"/>
  <c r="U22" i="22" s="1"/>
  <c r="P98" i="22"/>
  <c r="U98" i="22" s="1"/>
  <c r="P24" i="22"/>
  <c r="T24" i="22" s="1"/>
  <c r="U24" i="22" s="1"/>
  <c r="P40" i="22"/>
  <c r="U40" i="22" s="1"/>
  <c r="U83" i="22"/>
  <c r="P39" i="22"/>
  <c r="U39" i="22" s="1"/>
  <c r="P107" i="22"/>
  <c r="U107" i="22" s="1"/>
  <c r="P37" i="22"/>
  <c r="P16" i="22"/>
  <c r="T16" i="22" s="1"/>
  <c r="U16" i="22" s="1"/>
  <c r="P17" i="22"/>
  <c r="T17" i="22" s="1"/>
  <c r="P27" i="22"/>
  <c r="T27" i="22" s="1"/>
  <c r="U27" i="22" s="1"/>
  <c r="P41" i="22"/>
  <c r="U41" i="22" s="1"/>
  <c r="P28" i="22"/>
  <c r="T28" i="22" s="1"/>
  <c r="U28" i="22" s="1"/>
  <c r="U112" i="22"/>
  <c r="P22" i="24"/>
  <c r="T22" i="24" s="1"/>
  <c r="U22" i="24" s="1"/>
  <c r="P38" i="24"/>
  <c r="U38" i="24" s="1"/>
  <c r="P41" i="24"/>
  <c r="U41" i="24" s="1"/>
  <c r="P15" i="24"/>
  <c r="T15" i="24" s="1"/>
  <c r="U112" i="24"/>
  <c r="P42" i="24"/>
  <c r="U42" i="24" s="1"/>
  <c r="P17" i="24"/>
  <c r="T17" i="24" s="1"/>
  <c r="P16" i="24"/>
  <c r="T16" i="24" s="1"/>
  <c r="U16" i="24" s="1"/>
  <c r="P107" i="24"/>
  <c r="U107" i="24" s="1"/>
  <c r="P19" i="24"/>
  <c r="T19" i="24" s="1"/>
  <c r="U19" i="24" s="1"/>
  <c r="P108" i="24"/>
  <c r="U108" i="24" s="1"/>
  <c r="P27" i="24"/>
  <c r="T27" i="24" s="1"/>
  <c r="U27" i="24" s="1"/>
  <c r="P14" i="24"/>
  <c r="T14" i="24" s="1"/>
  <c r="U14" i="24" s="1"/>
  <c r="P98" i="24"/>
  <c r="U98" i="24" s="1"/>
  <c r="P106" i="24"/>
  <c r="U106" i="24" s="1"/>
  <c r="U75" i="24"/>
  <c r="P40" i="24"/>
  <c r="U40" i="24" s="1"/>
  <c r="U83" i="24"/>
  <c r="P37" i="24"/>
  <c r="P26" i="24"/>
  <c r="T26" i="24" s="1"/>
  <c r="U26" i="24" s="1"/>
  <c r="P28" i="24"/>
  <c r="T28" i="24" s="1"/>
  <c r="U28" i="24" s="1"/>
  <c r="P20" i="24"/>
  <c r="T20" i="24" s="1"/>
  <c r="U20" i="24" s="1"/>
  <c r="P18" i="24"/>
  <c r="T18" i="24" s="1"/>
  <c r="U18" i="24" s="1"/>
  <c r="P13" i="24"/>
  <c r="U74" i="24"/>
  <c r="P21" i="24"/>
  <c r="T21" i="24" s="1"/>
  <c r="U21" i="24" s="1"/>
  <c r="P24" i="24"/>
  <c r="T24" i="24" s="1"/>
  <c r="U24" i="24" s="1"/>
  <c r="U111" i="24"/>
  <c r="P39" i="24"/>
  <c r="U39" i="24" s="1"/>
  <c r="P25" i="24"/>
  <c r="T25" i="24" s="1"/>
  <c r="U25" i="24" s="1"/>
  <c r="P23" i="24"/>
  <c r="T23" i="24" s="1"/>
  <c r="U23" i="24" s="1"/>
  <c r="H73" i="24"/>
  <c r="I73" i="24" s="1"/>
  <c r="H77" i="24"/>
  <c r="I77" i="24" s="1"/>
  <c r="H84" i="24"/>
  <c r="I84" i="24" s="1"/>
  <c r="H78" i="24"/>
  <c r="I78" i="24" s="1"/>
  <c r="H71" i="24"/>
  <c r="I71" i="24" s="1"/>
  <c r="H70" i="24"/>
  <c r="I70" i="24" s="1"/>
  <c r="H72" i="24"/>
  <c r="I72" i="24" s="1"/>
  <c r="H68" i="24"/>
  <c r="I68" i="24" s="1"/>
  <c r="H70" i="25"/>
  <c r="I70" i="25" s="1"/>
  <c r="H77" i="25"/>
  <c r="I77" i="25" s="1"/>
  <c r="H73" i="25"/>
  <c r="I73" i="25" s="1"/>
  <c r="H84" i="25"/>
  <c r="I84" i="25" s="1"/>
  <c r="H78" i="25"/>
  <c r="I78" i="25" s="1"/>
  <c r="H71" i="25"/>
  <c r="I71" i="25" s="1"/>
  <c r="H72" i="25"/>
  <c r="I72" i="25" s="1"/>
  <c r="H68" i="25"/>
  <c r="I68" i="25" s="1"/>
  <c r="P40" i="25"/>
  <c r="U40" i="25" s="1"/>
  <c r="P21" i="25"/>
  <c r="T21" i="25" s="1"/>
  <c r="U21" i="25" s="1"/>
  <c r="U83" i="25"/>
  <c r="U111" i="25"/>
  <c r="P38" i="25"/>
  <c r="U38" i="25" s="1"/>
  <c r="P98" i="25"/>
  <c r="U98" i="25" s="1"/>
  <c r="P37" i="25"/>
  <c r="P16" i="25"/>
  <c r="T16" i="25" s="1"/>
  <c r="U16" i="25" s="1"/>
  <c r="P19" i="25"/>
  <c r="T19" i="25" s="1"/>
  <c r="U19" i="25" s="1"/>
  <c r="P42" i="25"/>
  <c r="U42" i="25" s="1"/>
  <c r="P41" i="25"/>
  <c r="U41" i="25" s="1"/>
  <c r="P14" i="25"/>
  <c r="T14" i="25" s="1"/>
  <c r="U14" i="25" s="1"/>
  <c r="P20" i="25"/>
  <c r="T20" i="25" s="1"/>
  <c r="U20" i="25" s="1"/>
  <c r="P28" i="25"/>
  <c r="T28" i="25" s="1"/>
  <c r="U28" i="25" s="1"/>
  <c r="P24" i="25"/>
  <c r="T24" i="25" s="1"/>
  <c r="U24" i="25" s="1"/>
  <c r="P15" i="25"/>
  <c r="T15" i="25" s="1"/>
  <c r="P39" i="25"/>
  <c r="U39" i="25" s="1"/>
  <c r="P108" i="25"/>
  <c r="U108" i="25" s="1"/>
  <c r="U112" i="25"/>
  <c r="P17" i="25"/>
  <c r="T17" i="25" s="1"/>
  <c r="U75" i="25"/>
  <c r="P23" i="25"/>
  <c r="T23" i="25" s="1"/>
  <c r="U23" i="25" s="1"/>
  <c r="P27" i="25"/>
  <c r="T27" i="25" s="1"/>
  <c r="U27" i="25" s="1"/>
  <c r="P18" i="25"/>
  <c r="T18" i="25" s="1"/>
  <c r="U18" i="25" s="1"/>
  <c r="P106" i="25"/>
  <c r="U106" i="25" s="1"/>
  <c r="U109" i="25" s="1"/>
  <c r="P26" i="25"/>
  <c r="T26" i="25" s="1"/>
  <c r="U26" i="25" s="1"/>
  <c r="P22" i="25"/>
  <c r="T22" i="25" s="1"/>
  <c r="U22" i="25" s="1"/>
  <c r="P25" i="25"/>
  <c r="T25" i="25" s="1"/>
  <c r="U25" i="25" s="1"/>
  <c r="P107" i="25"/>
  <c r="U107" i="25" s="1"/>
  <c r="P13" i="25"/>
  <c r="U74" i="25"/>
  <c r="P28" i="21"/>
  <c r="T28" i="21" s="1"/>
  <c r="U28" i="21" s="1"/>
  <c r="P13" i="21"/>
  <c r="P106" i="21"/>
  <c r="U106" i="21" s="1"/>
  <c r="P23" i="21"/>
  <c r="T23" i="21" s="1"/>
  <c r="U23" i="21" s="1"/>
  <c r="U75" i="21"/>
  <c r="P22" i="21"/>
  <c r="T22" i="21" s="1"/>
  <c r="U22" i="21" s="1"/>
  <c r="P27" i="21"/>
  <c r="T27" i="21" s="1"/>
  <c r="U27" i="21" s="1"/>
  <c r="P37" i="21"/>
  <c r="U111" i="21"/>
  <c r="P38" i="21"/>
  <c r="U38" i="21" s="1"/>
  <c r="P40" i="21"/>
  <c r="U40" i="21" s="1"/>
  <c r="P20" i="21"/>
  <c r="T20" i="21" s="1"/>
  <c r="U20" i="21" s="1"/>
  <c r="P26" i="21"/>
  <c r="T26" i="21" s="1"/>
  <c r="U26" i="21" s="1"/>
  <c r="P107" i="21"/>
  <c r="U107" i="21" s="1"/>
  <c r="P39" i="21"/>
  <c r="U39" i="21" s="1"/>
  <c r="P25" i="21"/>
  <c r="T25" i="21" s="1"/>
  <c r="U25" i="21" s="1"/>
  <c r="P14" i="21"/>
  <c r="T14" i="21" s="1"/>
  <c r="U14" i="21" s="1"/>
  <c r="U112" i="21"/>
  <c r="P18" i="21"/>
  <c r="T18" i="21" s="1"/>
  <c r="U18" i="21" s="1"/>
  <c r="P41" i="21"/>
  <c r="U41" i="21" s="1"/>
  <c r="P15" i="21"/>
  <c r="T15" i="21" s="1"/>
  <c r="P19" i="21"/>
  <c r="T19" i="21" s="1"/>
  <c r="U19" i="21" s="1"/>
  <c r="P24" i="21"/>
  <c r="T24" i="21" s="1"/>
  <c r="U24" i="21" s="1"/>
  <c r="P98" i="21"/>
  <c r="U98" i="21" s="1"/>
  <c r="U74" i="21"/>
  <c r="P108" i="21"/>
  <c r="U108" i="21" s="1"/>
  <c r="U83" i="21"/>
  <c r="P17" i="21"/>
  <c r="T17" i="21" s="1"/>
  <c r="P16" i="21"/>
  <c r="T16" i="21" s="1"/>
  <c r="U16" i="21" s="1"/>
  <c r="P21" i="21"/>
  <c r="T21" i="21" s="1"/>
  <c r="U21" i="21" s="1"/>
  <c r="P42" i="21"/>
  <c r="U42" i="21" s="1"/>
  <c r="H68" i="21"/>
  <c r="I68" i="21" s="1"/>
  <c r="H77" i="21"/>
  <c r="I77" i="21" s="1"/>
  <c r="H71" i="21"/>
  <c r="I71" i="21" s="1"/>
  <c r="H72" i="21"/>
  <c r="I72" i="21" s="1"/>
  <c r="H78" i="21"/>
  <c r="I78" i="21" s="1"/>
  <c r="H84" i="21"/>
  <c r="I84" i="21" s="1"/>
  <c r="H73" i="21"/>
  <c r="I73" i="21" s="1"/>
  <c r="H70" i="21"/>
  <c r="I70" i="21" s="1"/>
  <c r="H79" i="20"/>
  <c r="I79" i="20" s="1"/>
  <c r="H82" i="20"/>
  <c r="I82" i="20" s="1"/>
  <c r="H80" i="20"/>
  <c r="I80" i="20" s="1"/>
  <c r="H81" i="20"/>
  <c r="I81" i="20" s="1"/>
  <c r="H89" i="20"/>
  <c r="I92" i="20" s="1"/>
  <c r="C92" i="20"/>
  <c r="H70" i="20"/>
  <c r="I70" i="20" s="1"/>
  <c r="H73" i="20"/>
  <c r="I73" i="20" s="1"/>
  <c r="H84" i="20"/>
  <c r="I84" i="20" s="1"/>
  <c r="H68" i="20"/>
  <c r="I68" i="20" s="1"/>
  <c r="H71" i="20"/>
  <c r="I71" i="20" s="1"/>
  <c r="H77" i="20"/>
  <c r="I77" i="20" s="1"/>
  <c r="H72" i="20"/>
  <c r="I72" i="20" s="1"/>
  <c r="H78" i="20"/>
  <c r="I78" i="20" s="1"/>
  <c r="P24" i="20"/>
  <c r="T24" i="20" s="1"/>
  <c r="U24" i="20" s="1"/>
  <c r="P17" i="20"/>
  <c r="T17" i="20" s="1"/>
  <c r="P14" i="20"/>
  <c r="T14" i="20" s="1"/>
  <c r="U14" i="20" s="1"/>
  <c r="P18" i="20"/>
  <c r="T18" i="20" s="1"/>
  <c r="U18" i="20" s="1"/>
  <c r="P40" i="20"/>
  <c r="U40" i="20" s="1"/>
  <c r="P25" i="20"/>
  <c r="T25" i="20" s="1"/>
  <c r="U25" i="20" s="1"/>
  <c r="P23" i="20"/>
  <c r="T23" i="20" s="1"/>
  <c r="U23" i="20" s="1"/>
  <c r="P16" i="20"/>
  <c r="T16" i="20" s="1"/>
  <c r="U16" i="20" s="1"/>
  <c r="U111" i="20"/>
  <c r="P98" i="20"/>
  <c r="U98" i="20" s="1"/>
  <c r="P108" i="20"/>
  <c r="U108" i="20" s="1"/>
  <c r="P13" i="20"/>
  <c r="U83" i="20"/>
  <c r="P42" i="20"/>
  <c r="U42" i="20" s="1"/>
  <c r="P20" i="20"/>
  <c r="T20" i="20" s="1"/>
  <c r="U20" i="20" s="1"/>
  <c r="U75" i="20"/>
  <c r="P22" i="20"/>
  <c r="T22" i="20" s="1"/>
  <c r="U22" i="20" s="1"/>
  <c r="P106" i="20"/>
  <c r="U106" i="20" s="1"/>
  <c r="P107" i="20"/>
  <c r="U107" i="20" s="1"/>
  <c r="P21" i="20"/>
  <c r="T21" i="20" s="1"/>
  <c r="U21" i="20" s="1"/>
  <c r="P26" i="20"/>
  <c r="T26" i="20" s="1"/>
  <c r="U26" i="20" s="1"/>
  <c r="P28" i="20"/>
  <c r="T28" i="20" s="1"/>
  <c r="U28" i="20" s="1"/>
  <c r="U74" i="20"/>
  <c r="P38" i="20"/>
  <c r="U38" i="20" s="1"/>
  <c r="P19" i="20"/>
  <c r="T19" i="20" s="1"/>
  <c r="U19" i="20" s="1"/>
  <c r="P37" i="20"/>
  <c r="P39" i="20"/>
  <c r="U39" i="20" s="1"/>
  <c r="P27" i="20"/>
  <c r="T27" i="20" s="1"/>
  <c r="U27" i="20" s="1"/>
  <c r="P15" i="20"/>
  <c r="T15" i="20" s="1"/>
  <c r="P41" i="20"/>
  <c r="U41" i="20" s="1"/>
  <c r="U112" i="20"/>
  <c r="U74" i="18"/>
  <c r="P28" i="18"/>
  <c r="T28" i="18" s="1"/>
  <c r="U28" i="18" s="1"/>
  <c r="P13" i="18"/>
  <c r="P25" i="18"/>
  <c r="T25" i="18" s="1"/>
  <c r="U25" i="18" s="1"/>
  <c r="P41" i="18"/>
  <c r="U41" i="18" s="1"/>
  <c r="P24" i="18"/>
  <c r="T24" i="18" s="1"/>
  <c r="U24" i="18" s="1"/>
  <c r="P15" i="18"/>
  <c r="T15" i="18" s="1"/>
  <c r="P107" i="18"/>
  <c r="U107" i="18" s="1"/>
  <c r="P23" i="18"/>
  <c r="T23" i="18" s="1"/>
  <c r="U23" i="18" s="1"/>
  <c r="P26" i="18"/>
  <c r="T26" i="18" s="1"/>
  <c r="U26" i="18" s="1"/>
  <c r="P18" i="18"/>
  <c r="T18" i="18" s="1"/>
  <c r="U18" i="18" s="1"/>
  <c r="P22" i="18"/>
  <c r="T22" i="18" s="1"/>
  <c r="U22" i="18" s="1"/>
  <c r="P17" i="18"/>
  <c r="T17" i="18" s="1"/>
  <c r="P108" i="18"/>
  <c r="U108" i="18" s="1"/>
  <c r="U75" i="18"/>
  <c r="P27" i="18"/>
  <c r="T27" i="18" s="1"/>
  <c r="U27" i="18" s="1"/>
  <c r="P19" i="18"/>
  <c r="T19" i="18" s="1"/>
  <c r="U19" i="18" s="1"/>
  <c r="P20" i="18"/>
  <c r="T20" i="18" s="1"/>
  <c r="U20" i="18" s="1"/>
  <c r="P37" i="18"/>
  <c r="P42" i="18"/>
  <c r="U42" i="18" s="1"/>
  <c r="P38" i="18"/>
  <c r="U38" i="18" s="1"/>
  <c r="P21" i="18"/>
  <c r="T21" i="18" s="1"/>
  <c r="U21" i="18" s="1"/>
  <c r="U83" i="18"/>
  <c r="P14" i="18"/>
  <c r="T14" i="18" s="1"/>
  <c r="U14" i="18" s="1"/>
  <c r="P39" i="18"/>
  <c r="U39" i="18" s="1"/>
  <c r="P106" i="18"/>
  <c r="U106" i="18" s="1"/>
  <c r="U111" i="18"/>
  <c r="P16" i="18"/>
  <c r="T16" i="18" s="1"/>
  <c r="U16" i="18" s="1"/>
  <c r="P40" i="18"/>
  <c r="U40" i="18" s="1"/>
  <c r="P98" i="18"/>
  <c r="U98" i="18" s="1"/>
  <c r="U112" i="18"/>
  <c r="H70" i="18"/>
  <c r="I70" i="18" s="1"/>
  <c r="H84" i="18"/>
  <c r="I84" i="18" s="1"/>
  <c r="H68" i="18"/>
  <c r="I68" i="18" s="1"/>
  <c r="H77" i="18"/>
  <c r="I77" i="18" s="1"/>
  <c r="H73" i="18"/>
  <c r="I73" i="18" s="1"/>
  <c r="H78" i="18"/>
  <c r="I78" i="18" s="1"/>
  <c r="H71" i="18"/>
  <c r="I71" i="18" s="1"/>
  <c r="H72" i="18"/>
  <c r="I72" i="18" s="1"/>
  <c r="R43" i="17"/>
  <c r="P29" i="17"/>
  <c r="P62" i="17" s="1"/>
  <c r="T63" i="17" s="1"/>
  <c r="T72" i="17" s="1"/>
  <c r="U72" i="17" s="1"/>
  <c r="O91" i="17"/>
  <c r="T91" i="17" s="1"/>
  <c r="U13" i="17"/>
  <c r="U29" i="17" s="1"/>
  <c r="U45" i="17" s="1"/>
  <c r="O89" i="17"/>
  <c r="T29" i="17"/>
  <c r="I14" i="60"/>
  <c r="H89" i="16"/>
  <c r="I92" i="16" s="1"/>
  <c r="C92" i="16"/>
  <c r="H81" i="16"/>
  <c r="I81" i="16" s="1"/>
  <c r="H80" i="16"/>
  <c r="I80" i="16" s="1"/>
  <c r="H79" i="16"/>
  <c r="I79" i="16" s="1"/>
  <c r="H82" i="16"/>
  <c r="I82" i="16" s="1"/>
  <c r="H78" i="16"/>
  <c r="I78" i="16" s="1"/>
  <c r="H73" i="16"/>
  <c r="I73" i="16" s="1"/>
  <c r="H70" i="16"/>
  <c r="I70" i="16" s="1"/>
  <c r="H71" i="16"/>
  <c r="I71" i="16" s="1"/>
  <c r="H84" i="16"/>
  <c r="I84" i="16" s="1"/>
  <c r="H72" i="16"/>
  <c r="I72" i="16" s="1"/>
  <c r="H68" i="16"/>
  <c r="I68" i="16" s="1"/>
  <c r="H77" i="16"/>
  <c r="I77" i="16" s="1"/>
  <c r="P22" i="16"/>
  <c r="T22" i="16" s="1"/>
  <c r="U22" i="16" s="1"/>
  <c r="U112" i="16"/>
  <c r="P21" i="16"/>
  <c r="T21" i="16" s="1"/>
  <c r="U21" i="16" s="1"/>
  <c r="P15" i="16"/>
  <c r="T15" i="16" s="1"/>
  <c r="P27" i="16"/>
  <c r="T27" i="16" s="1"/>
  <c r="U27" i="16" s="1"/>
  <c r="P24" i="16"/>
  <c r="T24" i="16" s="1"/>
  <c r="U24" i="16" s="1"/>
  <c r="P23" i="16"/>
  <c r="T23" i="16" s="1"/>
  <c r="U23" i="16" s="1"/>
  <c r="P19" i="16"/>
  <c r="T19" i="16" s="1"/>
  <c r="U19" i="16" s="1"/>
  <c r="P40" i="16"/>
  <c r="U40" i="16" s="1"/>
  <c r="U83" i="16"/>
  <c r="P13" i="16"/>
  <c r="P41" i="16"/>
  <c r="U41" i="16" s="1"/>
  <c r="P98" i="16"/>
  <c r="U98" i="16" s="1"/>
  <c r="P106" i="16"/>
  <c r="U106" i="16" s="1"/>
  <c r="P38" i="16"/>
  <c r="U38" i="16" s="1"/>
  <c r="P39" i="16"/>
  <c r="U39" i="16" s="1"/>
  <c r="P20" i="16"/>
  <c r="T20" i="16" s="1"/>
  <c r="U20" i="16" s="1"/>
  <c r="P107" i="16"/>
  <c r="U107" i="16" s="1"/>
  <c r="P18" i="16"/>
  <c r="T18" i="16" s="1"/>
  <c r="U18" i="16" s="1"/>
  <c r="P16" i="16"/>
  <c r="T16" i="16" s="1"/>
  <c r="U16" i="16" s="1"/>
  <c r="U75" i="16"/>
  <c r="P26" i="16"/>
  <c r="T26" i="16" s="1"/>
  <c r="U26" i="16" s="1"/>
  <c r="P42" i="16"/>
  <c r="U42" i="16" s="1"/>
  <c r="U74" i="16"/>
  <c r="P108" i="16"/>
  <c r="U108" i="16" s="1"/>
  <c r="U111" i="16"/>
  <c r="P17" i="16"/>
  <c r="T17" i="16" s="1"/>
  <c r="P37" i="16"/>
  <c r="P25" i="16"/>
  <c r="T25" i="16" s="1"/>
  <c r="U25" i="16" s="1"/>
  <c r="P28" i="16"/>
  <c r="T28" i="16" s="1"/>
  <c r="U28" i="16" s="1"/>
  <c r="P14" i="16"/>
  <c r="T14" i="16" s="1"/>
  <c r="U14" i="16" s="1"/>
  <c r="H70" i="15"/>
  <c r="I70" i="15" s="1"/>
  <c r="H78" i="15"/>
  <c r="I78" i="15" s="1"/>
  <c r="H84" i="15"/>
  <c r="I84" i="15" s="1"/>
  <c r="H77" i="15"/>
  <c r="I77" i="15" s="1"/>
  <c r="H72" i="15"/>
  <c r="I72" i="15" s="1"/>
  <c r="H68" i="15"/>
  <c r="I68" i="15" s="1"/>
  <c r="H71" i="15"/>
  <c r="I71" i="15" s="1"/>
  <c r="H73" i="15"/>
  <c r="I73" i="15" s="1"/>
  <c r="P98" i="15"/>
  <c r="U98" i="15" s="1"/>
  <c r="P27" i="15"/>
  <c r="T27" i="15" s="1"/>
  <c r="U27" i="15" s="1"/>
  <c r="P18" i="15"/>
  <c r="T18" i="15" s="1"/>
  <c r="U18" i="15" s="1"/>
  <c r="P25" i="15"/>
  <c r="T25" i="15" s="1"/>
  <c r="U25" i="15" s="1"/>
  <c r="P40" i="15"/>
  <c r="U40" i="15" s="1"/>
  <c r="P13" i="15"/>
  <c r="U74" i="15"/>
  <c r="P41" i="15"/>
  <c r="U41" i="15" s="1"/>
  <c r="U75" i="15"/>
  <c r="P16" i="15"/>
  <c r="T16" i="15" s="1"/>
  <c r="U16" i="15" s="1"/>
  <c r="P42" i="15"/>
  <c r="U42" i="15" s="1"/>
  <c r="P23" i="15"/>
  <c r="T23" i="15" s="1"/>
  <c r="U23" i="15" s="1"/>
  <c r="P24" i="15"/>
  <c r="T24" i="15" s="1"/>
  <c r="U24" i="15" s="1"/>
  <c r="U83" i="15"/>
  <c r="P17" i="15"/>
  <c r="T17" i="15" s="1"/>
  <c r="U112" i="15"/>
  <c r="P21" i="15"/>
  <c r="T21" i="15" s="1"/>
  <c r="U21" i="15" s="1"/>
  <c r="P39" i="15"/>
  <c r="U39" i="15" s="1"/>
  <c r="P38" i="15"/>
  <c r="U38" i="15" s="1"/>
  <c r="P20" i="15"/>
  <c r="T20" i="15" s="1"/>
  <c r="U20" i="15" s="1"/>
  <c r="P106" i="15"/>
  <c r="U106" i="15" s="1"/>
  <c r="U111" i="15"/>
  <c r="P14" i="15"/>
  <c r="T14" i="15" s="1"/>
  <c r="U14" i="15" s="1"/>
  <c r="P28" i="15"/>
  <c r="T28" i="15" s="1"/>
  <c r="U28" i="15" s="1"/>
  <c r="P19" i="15"/>
  <c r="T19" i="15" s="1"/>
  <c r="U19" i="15" s="1"/>
  <c r="P108" i="15"/>
  <c r="U108" i="15" s="1"/>
  <c r="P26" i="15"/>
  <c r="T26" i="15" s="1"/>
  <c r="U26" i="15" s="1"/>
  <c r="P37" i="15"/>
  <c r="P107" i="15"/>
  <c r="U107" i="15" s="1"/>
  <c r="P15" i="15"/>
  <c r="T15" i="15" s="1"/>
  <c r="P22" i="15"/>
  <c r="T22" i="15" s="1"/>
  <c r="U22" i="15" s="1"/>
  <c r="H77" i="7"/>
  <c r="I77" i="7" s="1"/>
  <c r="H78" i="7"/>
  <c r="I78" i="7" s="1"/>
  <c r="H70" i="7"/>
  <c r="I70" i="7" s="1"/>
  <c r="H72" i="7"/>
  <c r="I72" i="7" s="1"/>
  <c r="H71" i="7"/>
  <c r="I71" i="7" s="1"/>
  <c r="H68" i="7"/>
  <c r="I68" i="7" s="1"/>
  <c r="H84" i="7"/>
  <c r="I84" i="7" s="1"/>
  <c r="H73" i="7"/>
  <c r="I73" i="7" s="1"/>
  <c r="P19" i="7"/>
  <c r="T19" i="7" s="1"/>
  <c r="U19" i="7" s="1"/>
  <c r="P25" i="7"/>
  <c r="T25" i="7" s="1"/>
  <c r="U25" i="7" s="1"/>
  <c r="P23" i="7"/>
  <c r="T23" i="7" s="1"/>
  <c r="U23" i="7" s="1"/>
  <c r="P24" i="7"/>
  <c r="T24" i="7" s="1"/>
  <c r="U24" i="7" s="1"/>
  <c r="P15" i="7"/>
  <c r="T15" i="7" s="1"/>
  <c r="P37" i="7"/>
  <c r="P26" i="7"/>
  <c r="T26" i="7" s="1"/>
  <c r="U26" i="7" s="1"/>
  <c r="P20" i="7"/>
  <c r="T20" i="7" s="1"/>
  <c r="U20" i="7" s="1"/>
  <c r="U74" i="7"/>
  <c r="P41" i="7"/>
  <c r="U41" i="7" s="1"/>
  <c r="P42" i="7"/>
  <c r="U42" i="7" s="1"/>
  <c r="U75" i="7"/>
  <c r="P28" i="7"/>
  <c r="T28" i="7" s="1"/>
  <c r="U28" i="7" s="1"/>
  <c r="P22" i="7"/>
  <c r="T22" i="7" s="1"/>
  <c r="U22" i="7" s="1"/>
  <c r="P14" i="7"/>
  <c r="T14" i="7" s="1"/>
  <c r="U14" i="7" s="1"/>
  <c r="P13" i="7"/>
  <c r="P40" i="7"/>
  <c r="U40" i="7" s="1"/>
  <c r="P21" i="7"/>
  <c r="T21" i="7" s="1"/>
  <c r="U21" i="7" s="1"/>
  <c r="U112" i="7"/>
  <c r="P18" i="7"/>
  <c r="T18" i="7" s="1"/>
  <c r="U18" i="7" s="1"/>
  <c r="P17" i="7"/>
  <c r="T17" i="7" s="1"/>
  <c r="P108" i="7"/>
  <c r="U108" i="7" s="1"/>
  <c r="U83" i="7"/>
  <c r="P38" i="7"/>
  <c r="U38" i="7" s="1"/>
  <c r="P98" i="7"/>
  <c r="U98" i="7" s="1"/>
  <c r="P107" i="7"/>
  <c r="U107" i="7" s="1"/>
  <c r="U111" i="7"/>
  <c r="P27" i="7"/>
  <c r="T27" i="7" s="1"/>
  <c r="U27" i="7" s="1"/>
  <c r="P16" i="7"/>
  <c r="T16" i="7" s="1"/>
  <c r="U16" i="7" s="1"/>
  <c r="P106" i="7"/>
  <c r="U106" i="7" s="1"/>
  <c r="P39" i="7"/>
  <c r="U39" i="7" s="1"/>
  <c r="I92" i="7"/>
  <c r="H79" i="7"/>
  <c r="I79" i="7" s="1"/>
  <c r="H80" i="7"/>
  <c r="I80" i="7" s="1"/>
  <c r="H82" i="7"/>
  <c r="I82" i="7" s="1"/>
  <c r="H81" i="7"/>
  <c r="I81" i="7" s="1"/>
  <c r="C92" i="7"/>
  <c r="I114" i="17" l="1"/>
  <c r="H118" i="77"/>
  <c r="I118" i="77" s="1"/>
  <c r="H71" i="29"/>
  <c r="I71" i="29" s="1"/>
  <c r="I114" i="57"/>
  <c r="I114" i="31"/>
  <c r="H68" i="29"/>
  <c r="I68" i="29" s="1"/>
  <c r="T81" i="26"/>
  <c r="U81" i="26" s="1"/>
  <c r="T83" i="26"/>
  <c r="T82" i="26"/>
  <c r="U82" i="26" s="1"/>
  <c r="T79" i="26"/>
  <c r="U79" i="26" s="1"/>
  <c r="T80" i="26"/>
  <c r="U80" i="26" s="1"/>
  <c r="P27" i="29"/>
  <c r="T27" i="29" s="1"/>
  <c r="U27" i="29" s="1"/>
  <c r="P23" i="29"/>
  <c r="T23" i="29" s="1"/>
  <c r="U23" i="29" s="1"/>
  <c r="H84" i="29"/>
  <c r="I84" i="29" s="1"/>
  <c r="P29" i="33"/>
  <c r="P62" i="33" s="1"/>
  <c r="T63" i="33" s="1"/>
  <c r="T68" i="33" s="1"/>
  <c r="I18" i="60"/>
  <c r="I114" i="40"/>
  <c r="U109" i="56"/>
  <c r="U83" i="69"/>
  <c r="U109" i="31"/>
  <c r="I43" i="60"/>
  <c r="T68" i="17"/>
  <c r="U109" i="22"/>
  <c r="P24" i="29"/>
  <c r="T24" i="29" s="1"/>
  <c r="U24" i="29" s="1"/>
  <c r="P107" i="29"/>
  <c r="U107" i="29" s="1"/>
  <c r="U43" i="39"/>
  <c r="I114" i="47"/>
  <c r="H118" i="47" s="1"/>
  <c r="U111" i="78"/>
  <c r="U112" i="78"/>
  <c r="I114" i="33"/>
  <c r="H118" i="33" s="1"/>
  <c r="R43" i="39"/>
  <c r="P29" i="31"/>
  <c r="P62" i="31" s="1"/>
  <c r="T63" i="31" s="1"/>
  <c r="T13" i="31"/>
  <c r="P25" i="29"/>
  <c r="T25" i="29" s="1"/>
  <c r="U25" i="29" s="1"/>
  <c r="U74" i="29"/>
  <c r="U112" i="29"/>
  <c r="I114" i="32"/>
  <c r="I114" i="38"/>
  <c r="I114" i="70"/>
  <c r="H118" i="70" s="1"/>
  <c r="P38" i="78"/>
  <c r="U38" i="78" s="1"/>
  <c r="P15" i="78"/>
  <c r="T15" i="78" s="1"/>
  <c r="I114" i="21"/>
  <c r="P16" i="29"/>
  <c r="T16" i="29" s="1"/>
  <c r="U16" i="29" s="1"/>
  <c r="U75" i="29"/>
  <c r="P98" i="29"/>
  <c r="U98" i="29" s="1"/>
  <c r="T13" i="33"/>
  <c r="O91" i="51"/>
  <c r="T91" i="51" s="1"/>
  <c r="P98" i="78"/>
  <c r="U98" i="78" s="1"/>
  <c r="P39" i="78"/>
  <c r="U39" i="78" s="1"/>
  <c r="H73" i="29"/>
  <c r="I73" i="29" s="1"/>
  <c r="P29" i="51"/>
  <c r="P62" i="51" s="1"/>
  <c r="T63" i="51" s="1"/>
  <c r="I114" i="76"/>
  <c r="H118" i="76" s="1"/>
  <c r="P13" i="78"/>
  <c r="P41" i="78"/>
  <c r="U41" i="78" s="1"/>
  <c r="O90" i="31"/>
  <c r="T90" i="31" s="1"/>
  <c r="U15" i="31"/>
  <c r="I114" i="15"/>
  <c r="H118" i="15" s="1"/>
  <c r="I118" i="15" s="1"/>
  <c r="O90" i="33"/>
  <c r="T90" i="33" s="1"/>
  <c r="I114" i="28"/>
  <c r="U109" i="24"/>
  <c r="I114" i="27"/>
  <c r="U109" i="28"/>
  <c r="P15" i="29"/>
  <c r="T15" i="29" s="1"/>
  <c r="P19" i="29"/>
  <c r="T19" i="29" s="1"/>
  <c r="U19" i="29" s="1"/>
  <c r="H77" i="29"/>
  <c r="I77" i="29" s="1"/>
  <c r="I92" i="36"/>
  <c r="I114" i="37"/>
  <c r="I114" i="45"/>
  <c r="H118" i="45" s="1"/>
  <c r="P106" i="69"/>
  <c r="U106" i="69" s="1"/>
  <c r="P25" i="78"/>
  <c r="T25" i="78" s="1"/>
  <c r="U25" i="78" s="1"/>
  <c r="U17" i="31"/>
  <c r="O91" i="31"/>
  <c r="T91" i="31" s="1"/>
  <c r="C92" i="36"/>
  <c r="R43" i="31"/>
  <c r="U37" i="31"/>
  <c r="U43" i="31" s="1"/>
  <c r="P18" i="78"/>
  <c r="T18" i="78" s="1"/>
  <c r="U18" i="78" s="1"/>
  <c r="P22" i="78"/>
  <c r="T22" i="78" s="1"/>
  <c r="U22" i="78" s="1"/>
  <c r="P20" i="78"/>
  <c r="T20" i="78" s="1"/>
  <c r="U20" i="78" s="1"/>
  <c r="P27" i="78"/>
  <c r="T27" i="78" s="1"/>
  <c r="U27" i="78" s="1"/>
  <c r="U83" i="78"/>
  <c r="U109" i="78"/>
  <c r="P23" i="78"/>
  <c r="T23" i="78" s="1"/>
  <c r="U23" i="78" s="1"/>
  <c r="P14" i="78"/>
  <c r="T14" i="78" s="1"/>
  <c r="U14" i="78" s="1"/>
  <c r="P37" i="78"/>
  <c r="U37" i="78" s="1"/>
  <c r="U43" i="78" s="1"/>
  <c r="P28" i="78"/>
  <c r="T28" i="78" s="1"/>
  <c r="U28" i="78" s="1"/>
  <c r="H91" i="78"/>
  <c r="I92" i="78" s="1"/>
  <c r="I114" i="78" s="1"/>
  <c r="C92" i="78"/>
  <c r="U15" i="78"/>
  <c r="T13" i="78"/>
  <c r="R43" i="78"/>
  <c r="U17" i="78"/>
  <c r="T71" i="77"/>
  <c r="U71" i="77" s="1"/>
  <c r="T72" i="77"/>
  <c r="U72" i="77" s="1"/>
  <c r="T68" i="77"/>
  <c r="T70" i="77"/>
  <c r="U70" i="77" s="1"/>
  <c r="T73" i="77"/>
  <c r="U73" i="77" s="1"/>
  <c r="O89" i="77"/>
  <c r="T29" i="77"/>
  <c r="R45" i="77" s="1"/>
  <c r="P65" i="77" s="1"/>
  <c r="T66" i="77" s="1"/>
  <c r="U13" i="77"/>
  <c r="U29" i="77" s="1"/>
  <c r="U45" i="77" s="1"/>
  <c r="I114" i="68"/>
  <c r="O91" i="68"/>
  <c r="T91" i="68" s="1"/>
  <c r="U17" i="68"/>
  <c r="T13" i="68"/>
  <c r="P29" i="68"/>
  <c r="P62" i="68" s="1"/>
  <c r="T63" i="68" s="1"/>
  <c r="R43" i="68"/>
  <c r="U37" i="68"/>
  <c r="U43" i="68" s="1"/>
  <c r="U15" i="68"/>
  <c r="O90" i="68"/>
  <c r="T90" i="68" s="1"/>
  <c r="I114" i="71"/>
  <c r="P29" i="71"/>
  <c r="P62" i="71" s="1"/>
  <c r="T63" i="71" s="1"/>
  <c r="T13" i="71"/>
  <c r="U17" i="71"/>
  <c r="O91" i="71"/>
  <c r="T91" i="71" s="1"/>
  <c r="U109" i="71"/>
  <c r="U37" i="71"/>
  <c r="U43" i="71" s="1"/>
  <c r="R43" i="71"/>
  <c r="U15" i="71"/>
  <c r="O90" i="71"/>
  <c r="T90" i="71" s="1"/>
  <c r="T68" i="70"/>
  <c r="T73" i="70"/>
  <c r="U73" i="70" s="1"/>
  <c r="T70" i="70"/>
  <c r="U70" i="70" s="1"/>
  <c r="T72" i="70"/>
  <c r="U72" i="70" s="1"/>
  <c r="T71" i="70"/>
  <c r="U71" i="70" s="1"/>
  <c r="U13" i="70"/>
  <c r="U29" i="70" s="1"/>
  <c r="U45" i="70" s="1"/>
  <c r="O89" i="70"/>
  <c r="T29" i="70"/>
  <c r="R45" i="70" s="1"/>
  <c r="P65" i="70" s="1"/>
  <c r="T66" i="70" s="1"/>
  <c r="P24" i="69"/>
  <c r="T24" i="69" s="1"/>
  <c r="U24" i="69" s="1"/>
  <c r="P38" i="69"/>
  <c r="U38" i="69" s="1"/>
  <c r="I16" i="60"/>
  <c r="P37" i="69"/>
  <c r="P40" i="69"/>
  <c r="U40" i="69" s="1"/>
  <c r="P21" i="69"/>
  <c r="T21" i="69" s="1"/>
  <c r="U21" i="69" s="1"/>
  <c r="P98" i="69"/>
  <c r="U98" i="69" s="1"/>
  <c r="P25" i="69"/>
  <c r="T25" i="69" s="1"/>
  <c r="U25" i="69" s="1"/>
  <c r="P19" i="69"/>
  <c r="T19" i="69" s="1"/>
  <c r="U19" i="69" s="1"/>
  <c r="P42" i="69"/>
  <c r="U42" i="69" s="1"/>
  <c r="U112" i="69"/>
  <c r="P15" i="69"/>
  <c r="T15" i="69" s="1"/>
  <c r="P28" i="69"/>
  <c r="T28" i="69" s="1"/>
  <c r="U28" i="69" s="1"/>
  <c r="P16" i="69"/>
  <c r="T16" i="69" s="1"/>
  <c r="U16" i="69" s="1"/>
  <c r="P13" i="69"/>
  <c r="P14" i="69"/>
  <c r="T14" i="69" s="1"/>
  <c r="U14" i="69" s="1"/>
  <c r="P17" i="69"/>
  <c r="T17" i="69" s="1"/>
  <c r="U17" i="69" s="1"/>
  <c r="U111" i="69"/>
  <c r="U75" i="69"/>
  <c r="P39" i="69"/>
  <c r="U39" i="69" s="1"/>
  <c r="P27" i="69"/>
  <c r="T27" i="69" s="1"/>
  <c r="U27" i="69" s="1"/>
  <c r="P22" i="69"/>
  <c r="T22" i="69" s="1"/>
  <c r="U22" i="69" s="1"/>
  <c r="P107" i="69"/>
  <c r="U107" i="69" s="1"/>
  <c r="P23" i="69"/>
  <c r="T23" i="69" s="1"/>
  <c r="U23" i="69" s="1"/>
  <c r="H81" i="69"/>
  <c r="I81" i="69" s="1"/>
  <c r="H82" i="69"/>
  <c r="I82" i="69" s="1"/>
  <c r="H80" i="69"/>
  <c r="I80" i="69" s="1"/>
  <c r="H79" i="69"/>
  <c r="I79" i="69" s="1"/>
  <c r="P20" i="69"/>
  <c r="T20" i="69" s="1"/>
  <c r="U20" i="69" s="1"/>
  <c r="H90" i="69"/>
  <c r="I92" i="69" s="1"/>
  <c r="C92" i="69"/>
  <c r="P108" i="69"/>
  <c r="U108" i="69" s="1"/>
  <c r="U109" i="69" s="1"/>
  <c r="U15" i="69"/>
  <c r="I114" i="67"/>
  <c r="P29" i="67"/>
  <c r="P62" i="67" s="1"/>
  <c r="T63" i="67" s="1"/>
  <c r="T13" i="67"/>
  <c r="U109" i="67"/>
  <c r="O90" i="67"/>
  <c r="T90" i="67" s="1"/>
  <c r="U15" i="67"/>
  <c r="U17" i="67"/>
  <c r="O91" i="67"/>
  <c r="T91" i="67" s="1"/>
  <c r="R43" i="67"/>
  <c r="U37" i="67"/>
  <c r="U43" i="67" s="1"/>
  <c r="U109" i="66"/>
  <c r="I114" i="66"/>
  <c r="U17" i="66"/>
  <c r="O91" i="66"/>
  <c r="T91" i="66" s="1"/>
  <c r="U37" i="66"/>
  <c r="U43" i="66" s="1"/>
  <c r="R43" i="66"/>
  <c r="O90" i="66"/>
  <c r="T90" i="66" s="1"/>
  <c r="U15" i="66"/>
  <c r="P29" i="66"/>
  <c r="P62" i="66" s="1"/>
  <c r="T63" i="66" s="1"/>
  <c r="T13" i="66"/>
  <c r="U111" i="58"/>
  <c r="P19" i="58"/>
  <c r="T19" i="58" s="1"/>
  <c r="U19" i="58" s="1"/>
  <c r="P39" i="58"/>
  <c r="U39" i="58" s="1"/>
  <c r="P27" i="58"/>
  <c r="T27" i="58" s="1"/>
  <c r="U27" i="58" s="1"/>
  <c r="U75" i="58"/>
  <c r="P107" i="58"/>
  <c r="U107" i="58" s="1"/>
  <c r="P14" i="58"/>
  <c r="T14" i="58" s="1"/>
  <c r="U14" i="58" s="1"/>
  <c r="P15" i="58"/>
  <c r="T15" i="58" s="1"/>
  <c r="P21" i="58"/>
  <c r="T21" i="58" s="1"/>
  <c r="U21" i="58" s="1"/>
  <c r="P108" i="58"/>
  <c r="U108" i="58" s="1"/>
  <c r="U83" i="58"/>
  <c r="P16" i="58"/>
  <c r="T16" i="58" s="1"/>
  <c r="U16" i="58" s="1"/>
  <c r="P24" i="58"/>
  <c r="T24" i="58" s="1"/>
  <c r="U24" i="58" s="1"/>
  <c r="P98" i="58"/>
  <c r="U98" i="58" s="1"/>
  <c r="P20" i="58"/>
  <c r="T20" i="58" s="1"/>
  <c r="U20" i="58" s="1"/>
  <c r="P41" i="58"/>
  <c r="U41" i="58" s="1"/>
  <c r="U112" i="58"/>
  <c r="P37" i="58"/>
  <c r="P23" i="58"/>
  <c r="T23" i="58" s="1"/>
  <c r="U23" i="58" s="1"/>
  <c r="P25" i="58"/>
  <c r="T25" i="58" s="1"/>
  <c r="U25" i="58" s="1"/>
  <c r="P28" i="58"/>
  <c r="T28" i="58" s="1"/>
  <c r="U28" i="58" s="1"/>
  <c r="P17" i="58"/>
  <c r="T17" i="58" s="1"/>
  <c r="P26" i="58"/>
  <c r="T26" i="58" s="1"/>
  <c r="U26" i="58" s="1"/>
  <c r="P40" i="58"/>
  <c r="U40" i="58" s="1"/>
  <c r="U74" i="58"/>
  <c r="P42" i="58"/>
  <c r="U42" i="58" s="1"/>
  <c r="P22" i="58"/>
  <c r="T22" i="58" s="1"/>
  <c r="U22" i="58" s="1"/>
  <c r="P13" i="58"/>
  <c r="P38" i="58"/>
  <c r="U38" i="58" s="1"/>
  <c r="P18" i="58"/>
  <c r="T18" i="58" s="1"/>
  <c r="U18" i="58" s="1"/>
  <c r="P106" i="58"/>
  <c r="U106" i="58" s="1"/>
  <c r="H70" i="58"/>
  <c r="I70" i="58" s="1"/>
  <c r="H73" i="58"/>
  <c r="I73" i="58" s="1"/>
  <c r="H68" i="58"/>
  <c r="I68" i="58" s="1"/>
  <c r="H72" i="58"/>
  <c r="I72" i="58" s="1"/>
  <c r="H84" i="58"/>
  <c r="I84" i="58" s="1"/>
  <c r="H71" i="58"/>
  <c r="I71" i="58" s="1"/>
  <c r="H77" i="58"/>
  <c r="I77" i="58" s="1"/>
  <c r="H78" i="58"/>
  <c r="I78" i="58" s="1"/>
  <c r="H89" i="58"/>
  <c r="I92" i="58" s="1"/>
  <c r="C92" i="58"/>
  <c r="H82" i="58"/>
  <c r="I82" i="58" s="1"/>
  <c r="H79" i="58"/>
  <c r="I79" i="58" s="1"/>
  <c r="H80" i="58"/>
  <c r="I80" i="58" s="1"/>
  <c r="H81" i="58"/>
  <c r="I81" i="58" s="1"/>
  <c r="T72" i="57"/>
  <c r="U72" i="57" s="1"/>
  <c r="T68" i="57"/>
  <c r="T73" i="57"/>
  <c r="U73" i="57" s="1"/>
  <c r="T70" i="57"/>
  <c r="U70" i="57" s="1"/>
  <c r="T71" i="57"/>
  <c r="U71" i="57" s="1"/>
  <c r="U13" i="57"/>
  <c r="U29" i="57" s="1"/>
  <c r="U45" i="57" s="1"/>
  <c r="O89" i="57"/>
  <c r="T29" i="57"/>
  <c r="R45" i="57" s="1"/>
  <c r="P65" i="57" s="1"/>
  <c r="T66" i="57" s="1"/>
  <c r="H118" i="57"/>
  <c r="T13" i="56"/>
  <c r="P29" i="56"/>
  <c r="P62" i="56" s="1"/>
  <c r="T63" i="56" s="1"/>
  <c r="U37" i="56"/>
  <c r="U43" i="56" s="1"/>
  <c r="R43" i="56"/>
  <c r="O91" i="56"/>
  <c r="T91" i="56" s="1"/>
  <c r="U17" i="56"/>
  <c r="I114" i="56"/>
  <c r="U15" i="56"/>
  <c r="O90" i="56"/>
  <c r="T90" i="56" s="1"/>
  <c r="I114" i="55"/>
  <c r="T82" i="55"/>
  <c r="U82" i="55" s="1"/>
  <c r="T79" i="55"/>
  <c r="U79" i="55" s="1"/>
  <c r="T80" i="55"/>
  <c r="U80" i="55" s="1"/>
  <c r="T83" i="55"/>
  <c r="T81" i="55"/>
  <c r="U81" i="55" s="1"/>
  <c r="T84" i="55"/>
  <c r="U84" i="55" s="1"/>
  <c r="U68" i="55"/>
  <c r="O92" i="55"/>
  <c r="T89" i="55"/>
  <c r="U92" i="55" s="1"/>
  <c r="U17" i="76"/>
  <c r="O91" i="76"/>
  <c r="T91" i="76" s="1"/>
  <c r="O90" i="76"/>
  <c r="T90" i="76" s="1"/>
  <c r="U15" i="76"/>
  <c r="R43" i="76"/>
  <c r="U37" i="76"/>
  <c r="U43" i="76" s="1"/>
  <c r="U109" i="76"/>
  <c r="P29" i="76"/>
  <c r="P62" i="76" s="1"/>
  <c r="T63" i="76" s="1"/>
  <c r="T13" i="76"/>
  <c r="I114" i="75"/>
  <c r="U13" i="75"/>
  <c r="U29" i="75" s="1"/>
  <c r="U45" i="75" s="1"/>
  <c r="O89" i="75"/>
  <c r="T29" i="75"/>
  <c r="R45" i="75" s="1"/>
  <c r="P65" i="75" s="1"/>
  <c r="T66" i="75" s="1"/>
  <c r="T72" i="75"/>
  <c r="U72" i="75" s="1"/>
  <c r="T73" i="75"/>
  <c r="U73" i="75" s="1"/>
  <c r="T70" i="75"/>
  <c r="U70" i="75" s="1"/>
  <c r="T68" i="75"/>
  <c r="T71" i="75"/>
  <c r="U71" i="75" s="1"/>
  <c r="I114" i="52"/>
  <c r="H118" i="52" s="1"/>
  <c r="U15" i="52"/>
  <c r="O90" i="52"/>
  <c r="T90" i="52" s="1"/>
  <c r="U37" i="52"/>
  <c r="U43" i="52" s="1"/>
  <c r="R43" i="52"/>
  <c r="U109" i="52"/>
  <c r="U17" i="52"/>
  <c r="O91" i="52"/>
  <c r="T91" i="52" s="1"/>
  <c r="T13" i="52"/>
  <c r="P29" i="52"/>
  <c r="P62" i="52" s="1"/>
  <c r="T63" i="52" s="1"/>
  <c r="R43" i="51"/>
  <c r="O90" i="51"/>
  <c r="T90" i="51" s="1"/>
  <c r="U43" i="51"/>
  <c r="I120" i="51"/>
  <c r="I124" i="51" s="1"/>
  <c r="I128" i="51" s="1"/>
  <c r="T73" i="51"/>
  <c r="U73" i="51" s="1"/>
  <c r="T68" i="51"/>
  <c r="T72" i="51"/>
  <c r="U72" i="51" s="1"/>
  <c r="T70" i="51"/>
  <c r="U70" i="51" s="1"/>
  <c r="T71" i="51"/>
  <c r="U71" i="51" s="1"/>
  <c r="O89" i="51"/>
  <c r="U13" i="51"/>
  <c r="U29" i="51" s="1"/>
  <c r="T29" i="51"/>
  <c r="I130" i="51"/>
  <c r="I114" i="50"/>
  <c r="U17" i="50"/>
  <c r="O91" i="50"/>
  <c r="T91" i="50" s="1"/>
  <c r="U109" i="50"/>
  <c r="U15" i="50"/>
  <c r="O90" i="50"/>
  <c r="T90" i="50" s="1"/>
  <c r="P29" i="50"/>
  <c r="P62" i="50" s="1"/>
  <c r="T63" i="50" s="1"/>
  <c r="T13" i="50"/>
  <c r="U37" i="50"/>
  <c r="U43" i="50" s="1"/>
  <c r="R43" i="50"/>
  <c r="I114" i="48"/>
  <c r="U15" i="48"/>
  <c r="O90" i="48"/>
  <c r="T90" i="48" s="1"/>
  <c r="U109" i="48"/>
  <c r="U37" i="48"/>
  <c r="U43" i="48" s="1"/>
  <c r="R43" i="48"/>
  <c r="T13" i="48"/>
  <c r="P29" i="48"/>
  <c r="P62" i="48" s="1"/>
  <c r="T63" i="48" s="1"/>
  <c r="U17" i="48"/>
  <c r="O91" i="48"/>
  <c r="T91" i="48" s="1"/>
  <c r="T70" i="47"/>
  <c r="U70" i="47" s="1"/>
  <c r="T68" i="47"/>
  <c r="T72" i="47"/>
  <c r="U72" i="47" s="1"/>
  <c r="T71" i="47"/>
  <c r="U71" i="47" s="1"/>
  <c r="T73" i="47"/>
  <c r="U73" i="47" s="1"/>
  <c r="O89" i="47"/>
  <c r="U13" i="47"/>
  <c r="U29" i="47" s="1"/>
  <c r="U45" i="47" s="1"/>
  <c r="T29" i="47"/>
  <c r="R45" i="47" s="1"/>
  <c r="P65" i="47" s="1"/>
  <c r="T66" i="47" s="1"/>
  <c r="T13" i="45"/>
  <c r="P29" i="45"/>
  <c r="P62" i="45" s="1"/>
  <c r="T63" i="45" s="1"/>
  <c r="U37" i="45"/>
  <c r="U43" i="45" s="1"/>
  <c r="R43" i="45"/>
  <c r="U109" i="45"/>
  <c r="U15" i="45"/>
  <c r="O90" i="45"/>
  <c r="T90" i="45" s="1"/>
  <c r="U17" i="45"/>
  <c r="O91" i="45"/>
  <c r="T91" i="45" s="1"/>
  <c r="I114" i="44"/>
  <c r="H118" i="44" s="1"/>
  <c r="U17" i="44"/>
  <c r="O91" i="44"/>
  <c r="T91" i="44" s="1"/>
  <c r="O90" i="44"/>
  <c r="T90" i="44" s="1"/>
  <c r="U15" i="44"/>
  <c r="P29" i="44"/>
  <c r="P62" i="44" s="1"/>
  <c r="T63" i="44" s="1"/>
  <c r="T13" i="44"/>
  <c r="U109" i="44"/>
  <c r="R43" i="44"/>
  <c r="U37" i="44"/>
  <c r="U43" i="44" s="1"/>
  <c r="I114" i="43"/>
  <c r="U109" i="43"/>
  <c r="U15" i="43"/>
  <c r="O90" i="43"/>
  <c r="T90" i="43" s="1"/>
  <c r="U17" i="43"/>
  <c r="O91" i="43"/>
  <c r="T91" i="43" s="1"/>
  <c r="R43" i="43"/>
  <c r="U37" i="43"/>
  <c r="U43" i="43" s="1"/>
  <c r="T13" i="43"/>
  <c r="P29" i="43"/>
  <c r="P62" i="43" s="1"/>
  <c r="T63" i="43" s="1"/>
  <c r="I114" i="42"/>
  <c r="U15" i="42"/>
  <c r="O90" i="42"/>
  <c r="T90" i="42" s="1"/>
  <c r="U109" i="42"/>
  <c r="U17" i="42"/>
  <c r="O91" i="42"/>
  <c r="T91" i="42" s="1"/>
  <c r="R43" i="42"/>
  <c r="U37" i="42"/>
  <c r="U43" i="42" s="1"/>
  <c r="P29" i="42"/>
  <c r="P62" i="42" s="1"/>
  <c r="T63" i="42" s="1"/>
  <c r="T13" i="42"/>
  <c r="U17" i="40"/>
  <c r="O91" i="40"/>
  <c r="T91" i="40" s="1"/>
  <c r="U15" i="40"/>
  <c r="O90" i="40"/>
  <c r="T90" i="40" s="1"/>
  <c r="P29" i="40"/>
  <c r="P62" i="40" s="1"/>
  <c r="T63" i="40" s="1"/>
  <c r="T13" i="40"/>
  <c r="U109" i="40"/>
  <c r="U37" i="40"/>
  <c r="U43" i="40" s="1"/>
  <c r="R43" i="40"/>
  <c r="P29" i="39"/>
  <c r="P62" i="39" s="1"/>
  <c r="T63" i="39" s="1"/>
  <c r="T72" i="39" s="1"/>
  <c r="U72" i="39" s="1"/>
  <c r="H118" i="39"/>
  <c r="I118" i="39" s="1"/>
  <c r="O91" i="39"/>
  <c r="T91" i="39" s="1"/>
  <c r="R45" i="39"/>
  <c r="P65" i="39" s="1"/>
  <c r="T66" i="39" s="1"/>
  <c r="O89" i="39"/>
  <c r="T29" i="39"/>
  <c r="U13" i="39"/>
  <c r="U29" i="39" s="1"/>
  <c r="U109" i="38"/>
  <c r="U15" i="38"/>
  <c r="O90" i="38"/>
  <c r="T90" i="38" s="1"/>
  <c r="P29" i="38"/>
  <c r="P62" i="38" s="1"/>
  <c r="T63" i="38" s="1"/>
  <c r="T13" i="38"/>
  <c r="U37" i="38"/>
  <c r="U43" i="38" s="1"/>
  <c r="R43" i="38"/>
  <c r="U17" i="38"/>
  <c r="O91" i="38"/>
  <c r="T91" i="38" s="1"/>
  <c r="U109" i="37"/>
  <c r="U15" i="37"/>
  <c r="O90" i="37"/>
  <c r="T90" i="37" s="1"/>
  <c r="O91" i="37"/>
  <c r="T91" i="37" s="1"/>
  <c r="U17" i="37"/>
  <c r="P29" i="37"/>
  <c r="P62" i="37" s="1"/>
  <c r="T63" i="37" s="1"/>
  <c r="T13" i="37"/>
  <c r="U37" i="37"/>
  <c r="U43" i="37" s="1"/>
  <c r="R43" i="37"/>
  <c r="I29" i="36"/>
  <c r="I45" i="36" s="1"/>
  <c r="H73" i="36"/>
  <c r="I73" i="36" s="1"/>
  <c r="H68" i="36"/>
  <c r="I68" i="36" s="1"/>
  <c r="H78" i="36"/>
  <c r="I78" i="36" s="1"/>
  <c r="H72" i="36"/>
  <c r="I72" i="36" s="1"/>
  <c r="H84" i="36"/>
  <c r="I84" i="36" s="1"/>
  <c r="H77" i="36"/>
  <c r="I77" i="36" s="1"/>
  <c r="H71" i="36"/>
  <c r="I71" i="36" s="1"/>
  <c r="H70" i="36"/>
  <c r="I70" i="36" s="1"/>
  <c r="U75" i="36"/>
  <c r="P41" i="36"/>
  <c r="U41" i="36" s="1"/>
  <c r="P21" i="36"/>
  <c r="T21" i="36" s="1"/>
  <c r="U21" i="36" s="1"/>
  <c r="U83" i="36"/>
  <c r="U111" i="36"/>
  <c r="P25" i="36"/>
  <c r="T25" i="36" s="1"/>
  <c r="U25" i="36" s="1"/>
  <c r="P107" i="36"/>
  <c r="U107" i="36" s="1"/>
  <c r="P39" i="36"/>
  <c r="U39" i="36" s="1"/>
  <c r="U74" i="36"/>
  <c r="P40" i="36"/>
  <c r="U40" i="36" s="1"/>
  <c r="P18" i="36"/>
  <c r="T18" i="36" s="1"/>
  <c r="U18" i="36" s="1"/>
  <c r="P26" i="36"/>
  <c r="T26" i="36" s="1"/>
  <c r="U26" i="36" s="1"/>
  <c r="P108" i="36"/>
  <c r="U108" i="36" s="1"/>
  <c r="P37" i="36"/>
  <c r="P13" i="36"/>
  <c r="P24" i="36"/>
  <c r="T24" i="36" s="1"/>
  <c r="U24" i="36" s="1"/>
  <c r="P19" i="36"/>
  <c r="T19" i="36" s="1"/>
  <c r="U19" i="36" s="1"/>
  <c r="P38" i="36"/>
  <c r="U38" i="36" s="1"/>
  <c r="P98" i="36"/>
  <c r="U98" i="36" s="1"/>
  <c r="P15" i="36"/>
  <c r="T15" i="36" s="1"/>
  <c r="P23" i="36"/>
  <c r="T23" i="36" s="1"/>
  <c r="U23" i="36" s="1"/>
  <c r="P22" i="36"/>
  <c r="T22" i="36" s="1"/>
  <c r="U22" i="36" s="1"/>
  <c r="P106" i="36"/>
  <c r="U106" i="36" s="1"/>
  <c r="P27" i="36"/>
  <c r="T27" i="36" s="1"/>
  <c r="U27" i="36" s="1"/>
  <c r="P14" i="36"/>
  <c r="T14" i="36" s="1"/>
  <c r="U14" i="36" s="1"/>
  <c r="U112" i="36"/>
  <c r="P16" i="36"/>
  <c r="T16" i="36" s="1"/>
  <c r="U16" i="36" s="1"/>
  <c r="P20" i="36"/>
  <c r="T20" i="36" s="1"/>
  <c r="U20" i="36" s="1"/>
  <c r="P17" i="36"/>
  <c r="T17" i="36" s="1"/>
  <c r="P42" i="36"/>
  <c r="U42" i="36" s="1"/>
  <c r="P28" i="36"/>
  <c r="T28" i="36" s="1"/>
  <c r="U28" i="36" s="1"/>
  <c r="H79" i="36"/>
  <c r="I79" i="36" s="1"/>
  <c r="H82" i="36"/>
  <c r="I82" i="36" s="1"/>
  <c r="H80" i="36"/>
  <c r="I80" i="36" s="1"/>
  <c r="H81" i="36"/>
  <c r="I81" i="36" s="1"/>
  <c r="I29" i="23"/>
  <c r="I45" i="23" s="1"/>
  <c r="I17" i="60"/>
  <c r="H79" i="23"/>
  <c r="I79" i="23" s="1"/>
  <c r="H81" i="23"/>
  <c r="I81" i="23" s="1"/>
  <c r="H82" i="23"/>
  <c r="I82" i="23" s="1"/>
  <c r="H80" i="23"/>
  <c r="I80" i="23" s="1"/>
  <c r="H91" i="23"/>
  <c r="C92" i="23"/>
  <c r="H71" i="23"/>
  <c r="I71" i="23" s="1"/>
  <c r="H78" i="23"/>
  <c r="I78" i="23" s="1"/>
  <c r="H70" i="23"/>
  <c r="I70" i="23" s="1"/>
  <c r="H68" i="23"/>
  <c r="I68" i="23" s="1"/>
  <c r="I68" i="60" s="1"/>
  <c r="H72" i="23"/>
  <c r="I72" i="23" s="1"/>
  <c r="H77" i="23"/>
  <c r="I77" i="23" s="1"/>
  <c r="H73" i="23"/>
  <c r="I73" i="23" s="1"/>
  <c r="H84" i="23"/>
  <c r="I84" i="23" s="1"/>
  <c r="P107" i="23"/>
  <c r="U107" i="23" s="1"/>
  <c r="P13" i="23"/>
  <c r="P23" i="23"/>
  <c r="T23" i="23" s="1"/>
  <c r="U23" i="23" s="1"/>
  <c r="P25" i="23"/>
  <c r="T25" i="23" s="1"/>
  <c r="U25" i="23" s="1"/>
  <c r="P42" i="23"/>
  <c r="U42" i="23" s="1"/>
  <c r="P26" i="23"/>
  <c r="T26" i="23" s="1"/>
  <c r="U26" i="23" s="1"/>
  <c r="P22" i="23"/>
  <c r="T22" i="23" s="1"/>
  <c r="U22" i="23" s="1"/>
  <c r="P108" i="23"/>
  <c r="U108" i="23" s="1"/>
  <c r="P19" i="23"/>
  <c r="T19" i="23" s="1"/>
  <c r="U19" i="23" s="1"/>
  <c r="P40" i="23"/>
  <c r="U40" i="23" s="1"/>
  <c r="U75" i="23"/>
  <c r="P39" i="23"/>
  <c r="U39" i="23" s="1"/>
  <c r="P106" i="23"/>
  <c r="U106" i="23" s="1"/>
  <c r="P14" i="23"/>
  <c r="T14" i="23" s="1"/>
  <c r="U14" i="23" s="1"/>
  <c r="U74" i="23"/>
  <c r="U83" i="23"/>
  <c r="P16" i="23"/>
  <c r="T16" i="23" s="1"/>
  <c r="U16" i="23" s="1"/>
  <c r="P18" i="23"/>
  <c r="T18" i="23" s="1"/>
  <c r="U18" i="23" s="1"/>
  <c r="P21" i="23"/>
  <c r="T21" i="23" s="1"/>
  <c r="U21" i="23" s="1"/>
  <c r="P37" i="23"/>
  <c r="P41" i="23"/>
  <c r="U41" i="23" s="1"/>
  <c r="U111" i="23"/>
  <c r="P20" i="23"/>
  <c r="T20" i="23" s="1"/>
  <c r="U20" i="23" s="1"/>
  <c r="U112" i="23"/>
  <c r="P98" i="23"/>
  <c r="U98" i="23" s="1"/>
  <c r="P38" i="23"/>
  <c r="U38" i="23" s="1"/>
  <c r="P27" i="23"/>
  <c r="T27" i="23" s="1"/>
  <c r="U27" i="23" s="1"/>
  <c r="P15" i="23"/>
  <c r="T15" i="23" s="1"/>
  <c r="P17" i="23"/>
  <c r="T17" i="23" s="1"/>
  <c r="P28" i="23"/>
  <c r="T28" i="23" s="1"/>
  <c r="U28" i="23" s="1"/>
  <c r="P24" i="23"/>
  <c r="T24" i="23" s="1"/>
  <c r="U24" i="23" s="1"/>
  <c r="I114" i="35"/>
  <c r="H118" i="35" s="1"/>
  <c r="U15" i="35"/>
  <c r="O90" i="35"/>
  <c r="T90" i="35" s="1"/>
  <c r="T13" i="35"/>
  <c r="P29" i="35"/>
  <c r="P62" i="35" s="1"/>
  <c r="T63" i="35" s="1"/>
  <c r="U17" i="35"/>
  <c r="O91" i="35"/>
  <c r="T91" i="35" s="1"/>
  <c r="U109" i="35"/>
  <c r="U37" i="35"/>
  <c r="U43" i="35" s="1"/>
  <c r="R43" i="35"/>
  <c r="C92" i="60"/>
  <c r="T84" i="34"/>
  <c r="U84" i="34" s="1"/>
  <c r="U68" i="34"/>
  <c r="T82" i="34"/>
  <c r="U82" i="34" s="1"/>
  <c r="T79" i="34"/>
  <c r="U79" i="34" s="1"/>
  <c r="T81" i="34"/>
  <c r="U81" i="34" s="1"/>
  <c r="T83" i="34"/>
  <c r="T80" i="34"/>
  <c r="U80" i="34" s="1"/>
  <c r="I118" i="34"/>
  <c r="I130" i="34" s="1"/>
  <c r="O92" i="34"/>
  <c r="T89" i="34"/>
  <c r="U92" i="34" s="1"/>
  <c r="R43" i="33"/>
  <c r="O91" i="33"/>
  <c r="T91" i="33" s="1"/>
  <c r="C62" i="60"/>
  <c r="H63" i="60" s="1"/>
  <c r="H68" i="60" s="1"/>
  <c r="T71" i="33"/>
  <c r="U71" i="33" s="1"/>
  <c r="T73" i="33"/>
  <c r="U73" i="33" s="1"/>
  <c r="T72" i="33"/>
  <c r="U72" i="33" s="1"/>
  <c r="U13" i="33"/>
  <c r="U29" i="33" s="1"/>
  <c r="U45" i="33" s="1"/>
  <c r="O89" i="33"/>
  <c r="T29" i="33"/>
  <c r="R45" i="33" s="1"/>
  <c r="P65" i="33" s="1"/>
  <c r="T66" i="33" s="1"/>
  <c r="H82" i="60"/>
  <c r="H79" i="60"/>
  <c r="H80" i="60"/>
  <c r="U13" i="32"/>
  <c r="U29" i="32" s="1"/>
  <c r="U45" i="32" s="1"/>
  <c r="O89" i="32"/>
  <c r="T29" i="32"/>
  <c r="R45" i="32" s="1"/>
  <c r="P65" i="32" s="1"/>
  <c r="T66" i="32" s="1"/>
  <c r="T70" i="32"/>
  <c r="U70" i="32" s="1"/>
  <c r="T72" i="32"/>
  <c r="U72" i="32" s="1"/>
  <c r="T71" i="32"/>
  <c r="U71" i="32" s="1"/>
  <c r="T68" i="32"/>
  <c r="T73" i="32"/>
  <c r="U73" i="32" s="1"/>
  <c r="U109" i="30"/>
  <c r="H90" i="30"/>
  <c r="C92" i="30"/>
  <c r="H81" i="30"/>
  <c r="I81" i="30" s="1"/>
  <c r="H80" i="30"/>
  <c r="I80" i="30" s="1"/>
  <c r="H82" i="30"/>
  <c r="I82" i="30" s="1"/>
  <c r="H79" i="30"/>
  <c r="I79" i="30" s="1"/>
  <c r="R43" i="30"/>
  <c r="U37" i="30"/>
  <c r="U43" i="30" s="1"/>
  <c r="P29" i="30"/>
  <c r="P62" i="30" s="1"/>
  <c r="T63" i="30" s="1"/>
  <c r="T13" i="30"/>
  <c r="O90" i="30"/>
  <c r="T90" i="30" s="1"/>
  <c r="U15" i="30"/>
  <c r="U17" i="30"/>
  <c r="O91" i="30"/>
  <c r="T91" i="30" s="1"/>
  <c r="P20" i="29"/>
  <c r="T20" i="29" s="1"/>
  <c r="U20" i="29" s="1"/>
  <c r="P14" i="29"/>
  <c r="T14" i="29" s="1"/>
  <c r="U14" i="29" s="1"/>
  <c r="P28" i="29"/>
  <c r="T28" i="29" s="1"/>
  <c r="U28" i="29" s="1"/>
  <c r="C92" i="29"/>
  <c r="H89" i="29"/>
  <c r="I92" i="29" s="1"/>
  <c r="H80" i="29"/>
  <c r="I80" i="29" s="1"/>
  <c r="H81" i="29"/>
  <c r="I81" i="29" s="1"/>
  <c r="H79" i="29"/>
  <c r="I79" i="29" s="1"/>
  <c r="H82" i="29"/>
  <c r="I82" i="29" s="1"/>
  <c r="P108" i="29"/>
  <c r="U108" i="29" s="1"/>
  <c r="U109" i="29" s="1"/>
  <c r="U15" i="29"/>
  <c r="U17" i="29"/>
  <c r="U37" i="29"/>
  <c r="U43" i="29" s="1"/>
  <c r="R43" i="29"/>
  <c r="T13" i="29"/>
  <c r="O91" i="28"/>
  <c r="T91" i="28" s="1"/>
  <c r="U17" i="28"/>
  <c r="U15" i="28"/>
  <c r="O90" i="28"/>
  <c r="T90" i="28" s="1"/>
  <c r="T13" i="28"/>
  <c r="P29" i="28"/>
  <c r="P62" i="28" s="1"/>
  <c r="T63" i="28" s="1"/>
  <c r="U37" i="28"/>
  <c r="U43" i="28" s="1"/>
  <c r="R43" i="28"/>
  <c r="U109" i="27"/>
  <c r="U37" i="27"/>
  <c r="U43" i="27" s="1"/>
  <c r="R43" i="27"/>
  <c r="T13" i="27"/>
  <c r="P29" i="27"/>
  <c r="P62" i="27" s="1"/>
  <c r="T63" i="27" s="1"/>
  <c r="O90" i="27"/>
  <c r="T90" i="27" s="1"/>
  <c r="U15" i="27"/>
  <c r="O91" i="27"/>
  <c r="T91" i="27" s="1"/>
  <c r="U17" i="27"/>
  <c r="I114" i="22"/>
  <c r="R43" i="22"/>
  <c r="U37" i="22"/>
  <c r="U43" i="22" s="1"/>
  <c r="T13" i="22"/>
  <c r="P29" i="22"/>
  <c r="P62" i="22" s="1"/>
  <c r="T63" i="22" s="1"/>
  <c r="U15" i="22"/>
  <c r="O90" i="22"/>
  <c r="T90" i="22" s="1"/>
  <c r="U17" i="22"/>
  <c r="O91" i="22"/>
  <c r="T91" i="22" s="1"/>
  <c r="I114" i="24"/>
  <c r="U37" i="24"/>
  <c r="U43" i="24" s="1"/>
  <c r="R43" i="24"/>
  <c r="U17" i="24"/>
  <c r="O91" i="24"/>
  <c r="T91" i="24" s="1"/>
  <c r="O90" i="24"/>
  <c r="T90" i="24" s="1"/>
  <c r="U15" i="24"/>
  <c r="P29" i="24"/>
  <c r="P62" i="24" s="1"/>
  <c r="T63" i="24" s="1"/>
  <c r="T13" i="24"/>
  <c r="I114" i="25"/>
  <c r="U15" i="25"/>
  <c r="O90" i="25"/>
  <c r="T90" i="25" s="1"/>
  <c r="U17" i="25"/>
  <c r="O91" i="25"/>
  <c r="T91" i="25" s="1"/>
  <c r="T13" i="25"/>
  <c r="P29" i="25"/>
  <c r="P62" i="25" s="1"/>
  <c r="T63" i="25" s="1"/>
  <c r="R43" i="25"/>
  <c r="U37" i="25"/>
  <c r="U43" i="25" s="1"/>
  <c r="P29" i="21"/>
  <c r="P62" i="21" s="1"/>
  <c r="T63" i="21" s="1"/>
  <c r="T13" i="21"/>
  <c r="U15" i="21"/>
  <c r="O90" i="21"/>
  <c r="T90" i="21" s="1"/>
  <c r="R43" i="21"/>
  <c r="U37" i="21"/>
  <c r="U43" i="21" s="1"/>
  <c r="U17" i="21"/>
  <c r="O91" i="21"/>
  <c r="T91" i="21" s="1"/>
  <c r="U109" i="21"/>
  <c r="T13" i="20"/>
  <c r="P29" i="20"/>
  <c r="P62" i="20" s="1"/>
  <c r="T63" i="20" s="1"/>
  <c r="U109" i="20"/>
  <c r="O90" i="20"/>
  <c r="T90" i="20" s="1"/>
  <c r="U15" i="20"/>
  <c r="R43" i="20"/>
  <c r="U37" i="20"/>
  <c r="U43" i="20" s="1"/>
  <c r="I114" i="20"/>
  <c r="O91" i="20"/>
  <c r="T91" i="20" s="1"/>
  <c r="U17" i="20"/>
  <c r="I114" i="18"/>
  <c r="U37" i="18"/>
  <c r="U43" i="18" s="1"/>
  <c r="R43" i="18"/>
  <c r="O90" i="18"/>
  <c r="T90" i="18" s="1"/>
  <c r="U15" i="18"/>
  <c r="U109" i="18"/>
  <c r="U17" i="18"/>
  <c r="O91" i="18"/>
  <c r="T91" i="18" s="1"/>
  <c r="T13" i="18"/>
  <c r="P29" i="18"/>
  <c r="P62" i="18" s="1"/>
  <c r="T63" i="18" s="1"/>
  <c r="T73" i="17"/>
  <c r="U73" i="17" s="1"/>
  <c r="T70" i="17"/>
  <c r="U70" i="17" s="1"/>
  <c r="T71" i="17"/>
  <c r="U71" i="17" s="1"/>
  <c r="R45" i="17"/>
  <c r="P65" i="17" s="1"/>
  <c r="T66" i="17" s="1"/>
  <c r="T83" i="17" s="1"/>
  <c r="U68" i="17"/>
  <c r="T84" i="17"/>
  <c r="U84" i="17" s="1"/>
  <c r="T89" i="17"/>
  <c r="U92" i="17" s="1"/>
  <c r="O92" i="17"/>
  <c r="I114" i="16"/>
  <c r="H89" i="60"/>
  <c r="U37" i="16"/>
  <c r="U43" i="16" s="1"/>
  <c r="R43" i="16"/>
  <c r="U15" i="16"/>
  <c r="O90" i="16"/>
  <c r="T90" i="16" s="1"/>
  <c r="U109" i="16"/>
  <c r="U17" i="16"/>
  <c r="O91" i="16"/>
  <c r="T91" i="16" s="1"/>
  <c r="T13" i="16"/>
  <c r="P29" i="16"/>
  <c r="P62" i="16" s="1"/>
  <c r="T63" i="16" s="1"/>
  <c r="U109" i="15"/>
  <c r="U15" i="15"/>
  <c r="O90" i="15"/>
  <c r="T90" i="15" s="1"/>
  <c r="R43" i="15"/>
  <c r="U37" i="15"/>
  <c r="U43" i="15" s="1"/>
  <c r="T13" i="15"/>
  <c r="P29" i="15"/>
  <c r="P62" i="15" s="1"/>
  <c r="T63" i="15" s="1"/>
  <c r="O91" i="15"/>
  <c r="T91" i="15" s="1"/>
  <c r="U17" i="15"/>
  <c r="O91" i="7"/>
  <c r="T91" i="7" s="1"/>
  <c r="U17" i="7"/>
  <c r="I114" i="7"/>
  <c r="U109" i="7"/>
  <c r="R43" i="7"/>
  <c r="U37" i="7"/>
  <c r="U43" i="7" s="1"/>
  <c r="T13" i="7"/>
  <c r="P29" i="7"/>
  <c r="P62" i="7" s="1"/>
  <c r="T63" i="7" s="1"/>
  <c r="O90" i="7"/>
  <c r="T90" i="7" s="1"/>
  <c r="U15" i="7"/>
  <c r="H118" i="21" l="1"/>
  <c r="I72" i="60"/>
  <c r="H118" i="27"/>
  <c r="I71" i="60"/>
  <c r="H118" i="37"/>
  <c r="I118" i="37" s="1"/>
  <c r="H118" i="38"/>
  <c r="I118" i="38" s="1"/>
  <c r="H118" i="32"/>
  <c r="I118" i="32" s="1"/>
  <c r="I130" i="32" s="1"/>
  <c r="I114" i="29"/>
  <c r="U113" i="26"/>
  <c r="I116" i="26" s="1"/>
  <c r="H118" i="26" s="1"/>
  <c r="I118" i="26" s="1"/>
  <c r="H118" i="40"/>
  <c r="I118" i="40" s="1"/>
  <c r="I130" i="40" s="1"/>
  <c r="I114" i="69"/>
  <c r="I70" i="60"/>
  <c r="H118" i="67"/>
  <c r="I118" i="67" s="1"/>
  <c r="I130" i="67" s="1"/>
  <c r="H118" i="78"/>
  <c r="I118" i="78" s="1"/>
  <c r="I130" i="78" s="1"/>
  <c r="I114" i="36"/>
  <c r="H118" i="48"/>
  <c r="I118" i="48" s="1"/>
  <c r="H118" i="50"/>
  <c r="U109" i="58"/>
  <c r="R43" i="69"/>
  <c r="O91" i="29"/>
  <c r="T91" i="29" s="1"/>
  <c r="T70" i="33"/>
  <c r="U70" i="33" s="1"/>
  <c r="P29" i="69"/>
  <c r="P62" i="69" s="1"/>
  <c r="T63" i="69" s="1"/>
  <c r="T68" i="69" s="1"/>
  <c r="P29" i="78"/>
  <c r="P62" i="78" s="1"/>
  <c r="T63" i="78" s="1"/>
  <c r="T71" i="78" s="1"/>
  <c r="U71" i="78" s="1"/>
  <c r="I81" i="60"/>
  <c r="T68" i="39"/>
  <c r="T84" i="39" s="1"/>
  <c r="U84" i="39" s="1"/>
  <c r="U45" i="51"/>
  <c r="T29" i="31"/>
  <c r="U13" i="31"/>
  <c r="U29" i="31" s="1"/>
  <c r="U45" i="31" s="1"/>
  <c r="O89" i="31"/>
  <c r="U45" i="39"/>
  <c r="R45" i="51"/>
  <c r="P65" i="51" s="1"/>
  <c r="T66" i="51" s="1"/>
  <c r="T82" i="51" s="1"/>
  <c r="U82" i="51" s="1"/>
  <c r="O91" i="69"/>
  <c r="T91" i="69" s="1"/>
  <c r="T71" i="31"/>
  <c r="U71" i="31" s="1"/>
  <c r="T73" i="31"/>
  <c r="U73" i="31" s="1"/>
  <c r="T68" i="31"/>
  <c r="T72" i="31"/>
  <c r="U72" i="31" s="1"/>
  <c r="T70" i="31"/>
  <c r="U70" i="31" s="1"/>
  <c r="H118" i="28"/>
  <c r="I118" i="28" s="1"/>
  <c r="I130" i="28" s="1"/>
  <c r="O91" i="78"/>
  <c r="T91" i="78" s="1"/>
  <c r="R45" i="31"/>
  <c r="P65" i="31" s="1"/>
  <c r="T66" i="31" s="1"/>
  <c r="I78" i="60"/>
  <c r="O90" i="78"/>
  <c r="T90" i="78" s="1"/>
  <c r="T70" i="78"/>
  <c r="U70" i="78" s="1"/>
  <c r="O89" i="78"/>
  <c r="U13" i="78"/>
  <c r="U29" i="78" s="1"/>
  <c r="U45" i="78" s="1"/>
  <c r="T29" i="78"/>
  <c r="R45" i="78" s="1"/>
  <c r="P65" i="78" s="1"/>
  <c r="T66" i="78" s="1"/>
  <c r="I120" i="77"/>
  <c r="I124" i="77" s="1"/>
  <c r="I128" i="77" s="1"/>
  <c r="I130" i="77"/>
  <c r="O92" i="77"/>
  <c r="T89" i="77"/>
  <c r="U92" i="77" s="1"/>
  <c r="U68" i="77"/>
  <c r="T84" i="77"/>
  <c r="U84" i="77" s="1"/>
  <c r="T83" i="77"/>
  <c r="T79" i="77"/>
  <c r="U79" i="77" s="1"/>
  <c r="T81" i="77"/>
  <c r="U81" i="77" s="1"/>
  <c r="T82" i="77"/>
  <c r="U82" i="77" s="1"/>
  <c r="T80" i="77"/>
  <c r="U80" i="77" s="1"/>
  <c r="H118" i="68"/>
  <c r="I118" i="68" s="1"/>
  <c r="O89" i="68"/>
  <c r="U13" i="68"/>
  <c r="U29" i="68" s="1"/>
  <c r="U45" i="68" s="1"/>
  <c r="T29" i="68"/>
  <c r="R45" i="68" s="1"/>
  <c r="P65" i="68" s="1"/>
  <c r="T66" i="68" s="1"/>
  <c r="T72" i="68"/>
  <c r="U72" i="68" s="1"/>
  <c r="T71" i="68"/>
  <c r="U71" i="68" s="1"/>
  <c r="T68" i="68"/>
  <c r="T73" i="68"/>
  <c r="U73" i="68" s="1"/>
  <c r="T70" i="68"/>
  <c r="U70" i="68" s="1"/>
  <c r="T29" i="71"/>
  <c r="R45" i="71" s="1"/>
  <c r="P65" i="71" s="1"/>
  <c r="T66" i="71" s="1"/>
  <c r="U13" i="71"/>
  <c r="U29" i="71" s="1"/>
  <c r="U45" i="71" s="1"/>
  <c r="O89" i="71"/>
  <c r="T72" i="71"/>
  <c r="U72" i="71" s="1"/>
  <c r="T73" i="71"/>
  <c r="U73" i="71" s="1"/>
  <c r="T68" i="71"/>
  <c r="T71" i="71"/>
  <c r="U71" i="71" s="1"/>
  <c r="T70" i="71"/>
  <c r="U70" i="71" s="1"/>
  <c r="T82" i="70"/>
  <c r="U82" i="70" s="1"/>
  <c r="T83" i="70"/>
  <c r="T80" i="70"/>
  <c r="U80" i="70" s="1"/>
  <c r="T81" i="70"/>
  <c r="U81" i="70" s="1"/>
  <c r="T79" i="70"/>
  <c r="U79" i="70" s="1"/>
  <c r="T84" i="70"/>
  <c r="U84" i="70" s="1"/>
  <c r="U68" i="70"/>
  <c r="I118" i="70"/>
  <c r="I130" i="70" s="1"/>
  <c r="O92" i="70"/>
  <c r="T89" i="70"/>
  <c r="U92" i="70" s="1"/>
  <c r="U37" i="69"/>
  <c r="U43" i="69" s="1"/>
  <c r="O90" i="69"/>
  <c r="T90" i="69" s="1"/>
  <c r="I29" i="60"/>
  <c r="I31" i="60" s="1"/>
  <c r="I45" i="60" s="1"/>
  <c r="T13" i="69"/>
  <c r="T29" i="69"/>
  <c r="O89" i="69"/>
  <c r="U13" i="69"/>
  <c r="U29" i="69" s="1"/>
  <c r="R45" i="69"/>
  <c r="P65" i="69" s="1"/>
  <c r="T66" i="69" s="1"/>
  <c r="T29" i="67"/>
  <c r="R45" i="67" s="1"/>
  <c r="P65" i="67" s="1"/>
  <c r="T66" i="67" s="1"/>
  <c r="U13" i="67"/>
  <c r="U29" i="67" s="1"/>
  <c r="U45" i="67" s="1"/>
  <c r="O89" i="67"/>
  <c r="T72" i="67"/>
  <c r="U72" i="67" s="1"/>
  <c r="T70" i="67"/>
  <c r="U70" i="67" s="1"/>
  <c r="T68" i="67"/>
  <c r="T71" i="67"/>
  <c r="U71" i="67" s="1"/>
  <c r="T73" i="67"/>
  <c r="U73" i="67" s="1"/>
  <c r="H118" i="66"/>
  <c r="I118" i="66" s="1"/>
  <c r="I130" i="66" s="1"/>
  <c r="T29" i="66"/>
  <c r="R45" i="66" s="1"/>
  <c r="P65" i="66" s="1"/>
  <c r="T66" i="66" s="1"/>
  <c r="U13" i="66"/>
  <c r="U29" i="66" s="1"/>
  <c r="U45" i="66" s="1"/>
  <c r="O89" i="66"/>
  <c r="T68" i="66"/>
  <c r="T70" i="66"/>
  <c r="U70" i="66" s="1"/>
  <c r="T73" i="66"/>
  <c r="U73" i="66" s="1"/>
  <c r="T71" i="66"/>
  <c r="U71" i="66" s="1"/>
  <c r="T72" i="66"/>
  <c r="U72" i="66" s="1"/>
  <c r="I79" i="60"/>
  <c r="O91" i="58"/>
  <c r="T91" i="58" s="1"/>
  <c r="U17" i="58"/>
  <c r="U15" i="58"/>
  <c r="O90" i="58"/>
  <c r="T90" i="58" s="1"/>
  <c r="R43" i="58"/>
  <c r="U37" i="58"/>
  <c r="U43" i="58" s="1"/>
  <c r="I114" i="58"/>
  <c r="P29" i="58"/>
  <c r="P62" i="58" s="1"/>
  <c r="T63" i="58" s="1"/>
  <c r="T13" i="58"/>
  <c r="T79" i="57"/>
  <c r="U79" i="57" s="1"/>
  <c r="T80" i="57"/>
  <c r="U80" i="57" s="1"/>
  <c r="T83" i="57"/>
  <c r="T82" i="57"/>
  <c r="U82" i="57" s="1"/>
  <c r="T81" i="57"/>
  <c r="U81" i="57" s="1"/>
  <c r="I118" i="57"/>
  <c r="O92" i="57"/>
  <c r="T89" i="57"/>
  <c r="U92" i="57" s="1"/>
  <c r="U68" i="57"/>
  <c r="T84" i="57"/>
  <c r="U84" i="57" s="1"/>
  <c r="T71" i="56"/>
  <c r="U71" i="56" s="1"/>
  <c r="T72" i="56"/>
  <c r="U72" i="56" s="1"/>
  <c r="T73" i="56"/>
  <c r="U73" i="56" s="1"/>
  <c r="T68" i="56"/>
  <c r="T70" i="56"/>
  <c r="U70" i="56" s="1"/>
  <c r="O89" i="56"/>
  <c r="T29" i="56"/>
  <c r="R45" i="56" s="1"/>
  <c r="P65" i="56" s="1"/>
  <c r="T66" i="56" s="1"/>
  <c r="U13" i="56"/>
  <c r="U29" i="56" s="1"/>
  <c r="U45" i="56" s="1"/>
  <c r="H118" i="56"/>
  <c r="H118" i="55"/>
  <c r="I118" i="55" s="1"/>
  <c r="U113" i="55"/>
  <c r="I116" i="55" s="1"/>
  <c r="T68" i="76"/>
  <c r="T70" i="76"/>
  <c r="U70" i="76" s="1"/>
  <c r="T72" i="76"/>
  <c r="U72" i="76" s="1"/>
  <c r="T71" i="76"/>
  <c r="U71" i="76" s="1"/>
  <c r="T73" i="76"/>
  <c r="U73" i="76" s="1"/>
  <c r="U13" i="76"/>
  <c r="U29" i="76" s="1"/>
  <c r="U45" i="76" s="1"/>
  <c r="T29" i="76"/>
  <c r="R45" i="76" s="1"/>
  <c r="P65" i="76" s="1"/>
  <c r="T66" i="76" s="1"/>
  <c r="O89" i="76"/>
  <c r="I118" i="76"/>
  <c r="H118" i="75"/>
  <c r="T84" i="75"/>
  <c r="U84" i="75" s="1"/>
  <c r="U68" i="75"/>
  <c r="O92" i="75"/>
  <c r="T89" i="75"/>
  <c r="U92" i="75" s="1"/>
  <c r="T79" i="75"/>
  <c r="U79" i="75" s="1"/>
  <c r="T81" i="75"/>
  <c r="U81" i="75" s="1"/>
  <c r="T80" i="75"/>
  <c r="U80" i="75" s="1"/>
  <c r="T82" i="75"/>
  <c r="U82" i="75" s="1"/>
  <c r="T83" i="75"/>
  <c r="I118" i="52"/>
  <c r="I130" i="52" s="1"/>
  <c r="T68" i="52"/>
  <c r="T71" i="52"/>
  <c r="U71" i="52" s="1"/>
  <c r="T72" i="52"/>
  <c r="U72" i="52" s="1"/>
  <c r="T70" i="52"/>
  <c r="U70" i="52" s="1"/>
  <c r="T73" i="52"/>
  <c r="U73" i="52" s="1"/>
  <c r="O89" i="52"/>
  <c r="T29" i="52"/>
  <c r="R45" i="52" s="1"/>
  <c r="P65" i="52" s="1"/>
  <c r="T66" i="52" s="1"/>
  <c r="U13" i="52"/>
  <c r="U29" i="52" s="1"/>
  <c r="U45" i="52" s="1"/>
  <c r="E319" i="64"/>
  <c r="G319" i="64" s="1"/>
  <c r="T89" i="51"/>
  <c r="U92" i="51" s="1"/>
  <c r="O92" i="51"/>
  <c r="T84" i="51"/>
  <c r="U84" i="51" s="1"/>
  <c r="U68" i="51"/>
  <c r="T79" i="51"/>
  <c r="U79" i="51" s="1"/>
  <c r="T83" i="51"/>
  <c r="T29" i="50"/>
  <c r="U13" i="50"/>
  <c r="U29" i="50" s="1"/>
  <c r="U45" i="50" s="1"/>
  <c r="O89" i="50"/>
  <c r="R45" i="50"/>
  <c r="P65" i="50" s="1"/>
  <c r="T66" i="50" s="1"/>
  <c r="T72" i="50"/>
  <c r="U72" i="50" s="1"/>
  <c r="T68" i="50"/>
  <c r="T71" i="50"/>
  <c r="U71" i="50" s="1"/>
  <c r="T70" i="50"/>
  <c r="U70" i="50" s="1"/>
  <c r="T73" i="50"/>
  <c r="U73" i="50" s="1"/>
  <c r="I118" i="50"/>
  <c r="I130" i="50" s="1"/>
  <c r="U13" i="48"/>
  <c r="U29" i="48" s="1"/>
  <c r="U45" i="48" s="1"/>
  <c r="T29" i="48"/>
  <c r="O89" i="48"/>
  <c r="T73" i="48"/>
  <c r="U73" i="48" s="1"/>
  <c r="T70" i="48"/>
  <c r="U70" i="48" s="1"/>
  <c r="T68" i="48"/>
  <c r="T71" i="48"/>
  <c r="U71" i="48" s="1"/>
  <c r="T72" i="48"/>
  <c r="U72" i="48" s="1"/>
  <c r="R45" i="48"/>
  <c r="P65" i="48" s="1"/>
  <c r="T66" i="48" s="1"/>
  <c r="I118" i="47"/>
  <c r="T80" i="47"/>
  <c r="U80" i="47" s="1"/>
  <c r="T79" i="47"/>
  <c r="U79" i="47" s="1"/>
  <c r="T83" i="47"/>
  <c r="T81" i="47"/>
  <c r="U81" i="47" s="1"/>
  <c r="T82" i="47"/>
  <c r="U82" i="47" s="1"/>
  <c r="O92" i="47"/>
  <c r="T89" i="47"/>
  <c r="U92" i="47" s="1"/>
  <c r="T84" i="47"/>
  <c r="U84" i="47" s="1"/>
  <c r="U68" i="47"/>
  <c r="T70" i="45"/>
  <c r="U70" i="45" s="1"/>
  <c r="T71" i="45"/>
  <c r="U71" i="45" s="1"/>
  <c r="T73" i="45"/>
  <c r="U73" i="45" s="1"/>
  <c r="T68" i="45"/>
  <c r="T72" i="45"/>
  <c r="U72" i="45" s="1"/>
  <c r="U13" i="45"/>
  <c r="U29" i="45" s="1"/>
  <c r="U45" i="45" s="1"/>
  <c r="O89" i="45"/>
  <c r="T29" i="45"/>
  <c r="R45" i="45" s="1"/>
  <c r="P65" i="45" s="1"/>
  <c r="T66" i="45" s="1"/>
  <c r="I118" i="45"/>
  <c r="I130" i="45" s="1"/>
  <c r="T29" i="44"/>
  <c r="R45" i="44" s="1"/>
  <c r="P65" i="44" s="1"/>
  <c r="T66" i="44" s="1"/>
  <c r="O89" i="44"/>
  <c r="U13" i="44"/>
  <c r="U29" i="44" s="1"/>
  <c r="U45" i="44" s="1"/>
  <c r="T71" i="44"/>
  <c r="U71" i="44" s="1"/>
  <c r="T68" i="44"/>
  <c r="T73" i="44"/>
  <c r="U73" i="44" s="1"/>
  <c r="T70" i="44"/>
  <c r="U70" i="44" s="1"/>
  <c r="T72" i="44"/>
  <c r="U72" i="44" s="1"/>
  <c r="I118" i="44"/>
  <c r="I130" i="44" s="1"/>
  <c r="H118" i="43"/>
  <c r="I118" i="43" s="1"/>
  <c r="I130" i="43" s="1"/>
  <c r="T70" i="43"/>
  <c r="U70" i="43" s="1"/>
  <c r="T71" i="43"/>
  <c r="U71" i="43" s="1"/>
  <c r="T72" i="43"/>
  <c r="U72" i="43" s="1"/>
  <c r="T73" i="43"/>
  <c r="U73" i="43" s="1"/>
  <c r="T68" i="43"/>
  <c r="T29" i="43"/>
  <c r="R45" i="43" s="1"/>
  <c r="P65" i="43" s="1"/>
  <c r="T66" i="43" s="1"/>
  <c r="O89" i="43"/>
  <c r="U13" i="43"/>
  <c r="U29" i="43" s="1"/>
  <c r="U45" i="43" s="1"/>
  <c r="H118" i="42"/>
  <c r="I118" i="42" s="1"/>
  <c r="O89" i="42"/>
  <c r="T29" i="42"/>
  <c r="R45" i="42" s="1"/>
  <c r="P65" i="42" s="1"/>
  <c r="T66" i="42" s="1"/>
  <c r="U13" i="42"/>
  <c r="U29" i="42" s="1"/>
  <c r="U45" i="42" s="1"/>
  <c r="T71" i="42"/>
  <c r="U71" i="42" s="1"/>
  <c r="T72" i="42"/>
  <c r="U72" i="42" s="1"/>
  <c r="T70" i="42"/>
  <c r="U70" i="42" s="1"/>
  <c r="T73" i="42"/>
  <c r="U73" i="42" s="1"/>
  <c r="T68" i="42"/>
  <c r="T73" i="40"/>
  <c r="U73" i="40" s="1"/>
  <c r="T68" i="40"/>
  <c r="T70" i="40"/>
  <c r="U70" i="40" s="1"/>
  <c r="T72" i="40"/>
  <c r="U72" i="40" s="1"/>
  <c r="T71" i="40"/>
  <c r="U71" i="40" s="1"/>
  <c r="O89" i="40"/>
  <c r="T29" i="40"/>
  <c r="R45" i="40" s="1"/>
  <c r="P65" i="40" s="1"/>
  <c r="T66" i="40" s="1"/>
  <c r="U13" i="40"/>
  <c r="U29" i="40" s="1"/>
  <c r="U45" i="40" s="1"/>
  <c r="T70" i="39"/>
  <c r="U70" i="39" s="1"/>
  <c r="T71" i="39"/>
  <c r="U71" i="39" s="1"/>
  <c r="T73" i="39"/>
  <c r="U73" i="39" s="1"/>
  <c r="I120" i="39"/>
  <c r="I124" i="39" s="1"/>
  <c r="I128" i="39" s="1"/>
  <c r="T79" i="39"/>
  <c r="U79" i="39" s="1"/>
  <c r="T81" i="39"/>
  <c r="U81" i="39" s="1"/>
  <c r="T82" i="39"/>
  <c r="U82" i="39" s="1"/>
  <c r="T80" i="39"/>
  <c r="U80" i="39" s="1"/>
  <c r="T83" i="39"/>
  <c r="U68" i="39"/>
  <c r="T89" i="39"/>
  <c r="U92" i="39" s="1"/>
  <c r="O92" i="39"/>
  <c r="I130" i="39"/>
  <c r="U13" i="38"/>
  <c r="U29" i="38" s="1"/>
  <c r="U45" i="38" s="1"/>
  <c r="O89" i="38"/>
  <c r="T29" i="38"/>
  <c r="R45" i="38" s="1"/>
  <c r="P65" i="38" s="1"/>
  <c r="T66" i="38" s="1"/>
  <c r="T72" i="38"/>
  <c r="U72" i="38" s="1"/>
  <c r="T68" i="38"/>
  <c r="T70" i="38"/>
  <c r="U70" i="38" s="1"/>
  <c r="T73" i="38"/>
  <c r="U73" i="38" s="1"/>
  <c r="T71" i="38"/>
  <c r="U71" i="38" s="1"/>
  <c r="U45" i="37"/>
  <c r="O89" i="37"/>
  <c r="U13" i="37"/>
  <c r="U29" i="37" s="1"/>
  <c r="T29" i="37"/>
  <c r="R45" i="37" s="1"/>
  <c r="P65" i="37" s="1"/>
  <c r="T66" i="37" s="1"/>
  <c r="T68" i="37"/>
  <c r="T71" i="37"/>
  <c r="U71" i="37" s="1"/>
  <c r="T73" i="37"/>
  <c r="U73" i="37" s="1"/>
  <c r="T70" i="37"/>
  <c r="U70" i="37" s="1"/>
  <c r="T72" i="37"/>
  <c r="U72" i="37" s="1"/>
  <c r="I73" i="60"/>
  <c r="I77" i="60"/>
  <c r="U109" i="36"/>
  <c r="U15" i="36"/>
  <c r="O90" i="36"/>
  <c r="T90" i="36" s="1"/>
  <c r="I84" i="60"/>
  <c r="I80" i="60"/>
  <c r="O91" i="36"/>
  <c r="T91" i="36" s="1"/>
  <c r="U17" i="36"/>
  <c r="T13" i="36"/>
  <c r="P29" i="36"/>
  <c r="P62" i="36" s="1"/>
  <c r="T63" i="36" s="1"/>
  <c r="I82" i="60"/>
  <c r="U37" i="36"/>
  <c r="U43" i="36" s="1"/>
  <c r="R43" i="36"/>
  <c r="O91" i="23"/>
  <c r="T91" i="23" s="1"/>
  <c r="U17" i="23"/>
  <c r="U15" i="23"/>
  <c r="O90" i="23"/>
  <c r="T90" i="23" s="1"/>
  <c r="I92" i="23"/>
  <c r="I114" i="23" s="1"/>
  <c r="H91" i="60"/>
  <c r="T13" i="23"/>
  <c r="P29" i="23"/>
  <c r="P62" i="23" s="1"/>
  <c r="T63" i="23" s="1"/>
  <c r="U109" i="23"/>
  <c r="U37" i="23"/>
  <c r="U43" i="23" s="1"/>
  <c r="R43" i="23"/>
  <c r="T71" i="35"/>
  <c r="U71" i="35" s="1"/>
  <c r="T70" i="35"/>
  <c r="U70" i="35" s="1"/>
  <c r="T72" i="35"/>
  <c r="U72" i="35" s="1"/>
  <c r="T68" i="35"/>
  <c r="T73" i="35"/>
  <c r="U73" i="35" s="1"/>
  <c r="T29" i="35"/>
  <c r="R45" i="35" s="1"/>
  <c r="P65" i="35" s="1"/>
  <c r="T66" i="35" s="1"/>
  <c r="U13" i="35"/>
  <c r="U29" i="35" s="1"/>
  <c r="U45" i="35" s="1"/>
  <c r="O89" i="35"/>
  <c r="I118" i="35"/>
  <c r="U113" i="34"/>
  <c r="I116" i="34" s="1"/>
  <c r="H70" i="60"/>
  <c r="I120" i="34"/>
  <c r="I124" i="34" s="1"/>
  <c r="I128" i="34" s="1"/>
  <c r="H78" i="60"/>
  <c r="H84" i="60"/>
  <c r="H73" i="60"/>
  <c r="T79" i="33"/>
  <c r="U79" i="33" s="1"/>
  <c r="T83" i="33"/>
  <c r="T82" i="33"/>
  <c r="U82" i="33" s="1"/>
  <c r="T80" i="33"/>
  <c r="U80" i="33" s="1"/>
  <c r="T81" i="33"/>
  <c r="U81" i="33" s="1"/>
  <c r="H72" i="60"/>
  <c r="T89" i="33"/>
  <c r="U92" i="33" s="1"/>
  <c r="O92" i="33"/>
  <c r="U68" i="33"/>
  <c r="T84" i="33"/>
  <c r="U84" i="33" s="1"/>
  <c r="H71" i="60"/>
  <c r="I118" i="33"/>
  <c r="H77" i="60"/>
  <c r="T80" i="32"/>
  <c r="U80" i="32" s="1"/>
  <c r="T82" i="32"/>
  <c r="U82" i="32" s="1"/>
  <c r="T79" i="32"/>
  <c r="U79" i="32" s="1"/>
  <c r="T83" i="32"/>
  <c r="T81" i="32"/>
  <c r="U81" i="32" s="1"/>
  <c r="O92" i="32"/>
  <c r="T89" i="32"/>
  <c r="U92" i="32" s="1"/>
  <c r="T84" i="32"/>
  <c r="U84" i="32" s="1"/>
  <c r="U68" i="32"/>
  <c r="I92" i="30"/>
  <c r="I114" i="30" s="1"/>
  <c r="H90" i="60"/>
  <c r="U13" i="30"/>
  <c r="U29" i="30" s="1"/>
  <c r="U45" i="30" s="1"/>
  <c r="T29" i="30"/>
  <c r="R45" i="30" s="1"/>
  <c r="P65" i="30" s="1"/>
  <c r="T66" i="30" s="1"/>
  <c r="O89" i="30"/>
  <c r="T68" i="30"/>
  <c r="T70" i="30"/>
  <c r="U70" i="30" s="1"/>
  <c r="T73" i="30"/>
  <c r="U73" i="30" s="1"/>
  <c r="T71" i="30"/>
  <c r="U71" i="30" s="1"/>
  <c r="T72" i="30"/>
  <c r="U72" i="30" s="1"/>
  <c r="H118" i="29"/>
  <c r="I118" i="29" s="1"/>
  <c r="P29" i="29"/>
  <c r="P62" i="29" s="1"/>
  <c r="T63" i="29" s="1"/>
  <c r="T68" i="29" s="1"/>
  <c r="O90" i="29"/>
  <c r="T90" i="29" s="1"/>
  <c r="T29" i="29"/>
  <c r="R45" i="29" s="1"/>
  <c r="P65" i="29" s="1"/>
  <c r="T66" i="29" s="1"/>
  <c r="O89" i="29"/>
  <c r="U13" i="29"/>
  <c r="U29" i="29" s="1"/>
  <c r="U45" i="29" s="1"/>
  <c r="U13" i="28"/>
  <c r="U29" i="28" s="1"/>
  <c r="U45" i="28" s="1"/>
  <c r="T29" i="28"/>
  <c r="R45" i="28" s="1"/>
  <c r="P65" i="28" s="1"/>
  <c r="T66" i="28" s="1"/>
  <c r="O89" i="28"/>
  <c r="T71" i="28"/>
  <c r="U71" i="28" s="1"/>
  <c r="T72" i="28"/>
  <c r="U72" i="28" s="1"/>
  <c r="T73" i="28"/>
  <c r="U73" i="28" s="1"/>
  <c r="T68" i="28"/>
  <c r="T70" i="28"/>
  <c r="U70" i="28" s="1"/>
  <c r="O89" i="27"/>
  <c r="U13" i="27"/>
  <c r="U29" i="27" s="1"/>
  <c r="U45" i="27" s="1"/>
  <c r="T29" i="27"/>
  <c r="R45" i="27" s="1"/>
  <c r="P65" i="27" s="1"/>
  <c r="T66" i="27" s="1"/>
  <c r="T70" i="27"/>
  <c r="U70" i="27" s="1"/>
  <c r="T73" i="27"/>
  <c r="U73" i="27" s="1"/>
  <c r="T72" i="27"/>
  <c r="U72" i="27" s="1"/>
  <c r="T71" i="27"/>
  <c r="U71" i="27" s="1"/>
  <c r="T68" i="27"/>
  <c r="I118" i="27"/>
  <c r="T68" i="22"/>
  <c r="T73" i="22"/>
  <c r="U73" i="22" s="1"/>
  <c r="T72" i="22"/>
  <c r="U72" i="22" s="1"/>
  <c r="T70" i="22"/>
  <c r="U70" i="22" s="1"/>
  <c r="T71" i="22"/>
  <c r="U71" i="22" s="1"/>
  <c r="U13" i="22"/>
  <c r="U29" i="22" s="1"/>
  <c r="U45" i="22" s="1"/>
  <c r="O89" i="22"/>
  <c r="T29" i="22"/>
  <c r="R45" i="22" s="1"/>
  <c r="P65" i="22" s="1"/>
  <c r="T66" i="22" s="1"/>
  <c r="T29" i="24"/>
  <c r="R45" i="24" s="1"/>
  <c r="P65" i="24" s="1"/>
  <c r="T66" i="24" s="1"/>
  <c r="O89" i="24"/>
  <c r="U13" i="24"/>
  <c r="U29" i="24" s="1"/>
  <c r="U45" i="24" s="1"/>
  <c r="T70" i="24"/>
  <c r="U70" i="24" s="1"/>
  <c r="T72" i="24"/>
  <c r="U72" i="24" s="1"/>
  <c r="T71" i="24"/>
  <c r="U71" i="24" s="1"/>
  <c r="T68" i="24"/>
  <c r="T73" i="24"/>
  <c r="U73" i="24" s="1"/>
  <c r="H118" i="25"/>
  <c r="I118" i="25" s="1"/>
  <c r="I130" i="25" s="1"/>
  <c r="R45" i="25"/>
  <c r="P65" i="25" s="1"/>
  <c r="T66" i="25" s="1"/>
  <c r="T70" i="25"/>
  <c r="U70" i="25" s="1"/>
  <c r="T73" i="25"/>
  <c r="U73" i="25" s="1"/>
  <c r="T71" i="25"/>
  <c r="U71" i="25" s="1"/>
  <c r="T68" i="25"/>
  <c r="T72" i="25"/>
  <c r="U72" i="25" s="1"/>
  <c r="U13" i="25"/>
  <c r="U29" i="25" s="1"/>
  <c r="U45" i="25" s="1"/>
  <c r="O89" i="25"/>
  <c r="T29" i="25"/>
  <c r="U13" i="21"/>
  <c r="U29" i="21" s="1"/>
  <c r="U45" i="21" s="1"/>
  <c r="O89" i="21"/>
  <c r="T29" i="21"/>
  <c r="R45" i="21" s="1"/>
  <c r="P65" i="21" s="1"/>
  <c r="T66" i="21" s="1"/>
  <c r="T70" i="21"/>
  <c r="U70" i="21" s="1"/>
  <c r="T73" i="21"/>
  <c r="U73" i="21" s="1"/>
  <c r="T68" i="21"/>
  <c r="T71" i="21"/>
  <c r="U71" i="21" s="1"/>
  <c r="T72" i="21"/>
  <c r="U72" i="21" s="1"/>
  <c r="I118" i="21"/>
  <c r="O89" i="20"/>
  <c r="U13" i="20"/>
  <c r="U29" i="20" s="1"/>
  <c r="U45" i="20" s="1"/>
  <c r="T29" i="20"/>
  <c r="R45" i="20" s="1"/>
  <c r="P65" i="20" s="1"/>
  <c r="T66" i="20" s="1"/>
  <c r="T70" i="20"/>
  <c r="U70" i="20" s="1"/>
  <c r="T73" i="20"/>
  <c r="U73" i="20" s="1"/>
  <c r="T71" i="20"/>
  <c r="U71" i="20" s="1"/>
  <c r="T72" i="20"/>
  <c r="U72" i="20" s="1"/>
  <c r="T68" i="20"/>
  <c r="T71" i="18"/>
  <c r="U71" i="18" s="1"/>
  <c r="T73" i="18"/>
  <c r="U73" i="18" s="1"/>
  <c r="T70" i="18"/>
  <c r="U70" i="18" s="1"/>
  <c r="T68" i="18"/>
  <c r="T72" i="18"/>
  <c r="U72" i="18" s="1"/>
  <c r="O89" i="18"/>
  <c r="U13" i="18"/>
  <c r="U29" i="18" s="1"/>
  <c r="U45" i="18" s="1"/>
  <c r="T29" i="18"/>
  <c r="R45" i="18" s="1"/>
  <c r="P65" i="18" s="1"/>
  <c r="T66" i="18" s="1"/>
  <c r="T79" i="17"/>
  <c r="U79" i="17" s="1"/>
  <c r="T81" i="17"/>
  <c r="U81" i="17" s="1"/>
  <c r="T82" i="17"/>
  <c r="U82" i="17" s="1"/>
  <c r="T80" i="17"/>
  <c r="U80" i="17" s="1"/>
  <c r="H118" i="16"/>
  <c r="I118" i="16" s="1"/>
  <c r="I130" i="16" s="1"/>
  <c r="T71" i="16"/>
  <c r="U71" i="16" s="1"/>
  <c r="T68" i="16"/>
  <c r="T70" i="16"/>
  <c r="U70" i="16" s="1"/>
  <c r="T73" i="16"/>
  <c r="U73" i="16" s="1"/>
  <c r="T72" i="16"/>
  <c r="U72" i="16" s="1"/>
  <c r="O89" i="16"/>
  <c r="T29" i="16"/>
  <c r="R45" i="16" s="1"/>
  <c r="P65" i="16" s="1"/>
  <c r="T66" i="16" s="1"/>
  <c r="U13" i="16"/>
  <c r="U29" i="16" s="1"/>
  <c r="U45" i="16" s="1"/>
  <c r="I120" i="15"/>
  <c r="I124" i="15" s="1"/>
  <c r="I128" i="15" s="1"/>
  <c r="I130" i="15"/>
  <c r="T73" i="15"/>
  <c r="U73" i="15" s="1"/>
  <c r="T68" i="15"/>
  <c r="T72" i="15"/>
  <c r="U72" i="15" s="1"/>
  <c r="T71" i="15"/>
  <c r="U71" i="15" s="1"/>
  <c r="T70" i="15"/>
  <c r="U70" i="15" s="1"/>
  <c r="U13" i="15"/>
  <c r="U29" i="15" s="1"/>
  <c r="U45" i="15" s="1"/>
  <c r="O89" i="15"/>
  <c r="T29" i="15"/>
  <c r="R45" i="15" s="1"/>
  <c r="P65" i="15" s="1"/>
  <c r="T66" i="15" s="1"/>
  <c r="T71" i="7"/>
  <c r="U71" i="7" s="1"/>
  <c r="T68" i="7"/>
  <c r="T73" i="7"/>
  <c r="U73" i="7" s="1"/>
  <c r="T70" i="7"/>
  <c r="U70" i="7" s="1"/>
  <c r="T72" i="7"/>
  <c r="U72" i="7" s="1"/>
  <c r="O89" i="7"/>
  <c r="U13" i="7"/>
  <c r="U29" i="7" s="1"/>
  <c r="U45" i="7" s="1"/>
  <c r="T29" i="7"/>
  <c r="R45" i="7" s="1"/>
  <c r="P65" i="7" s="1"/>
  <c r="T66" i="7" s="1"/>
  <c r="H118" i="7"/>
  <c r="H118" i="36" l="1"/>
  <c r="I118" i="36" s="1"/>
  <c r="I120" i="32"/>
  <c r="I124" i="32" s="1"/>
  <c r="I128" i="32" s="1"/>
  <c r="I120" i="26"/>
  <c r="I124" i="26" s="1"/>
  <c r="I128" i="26" s="1"/>
  <c r="I130" i="26"/>
  <c r="H118" i="69"/>
  <c r="I118" i="69" s="1"/>
  <c r="T72" i="78"/>
  <c r="U72" i="78" s="1"/>
  <c r="T68" i="78"/>
  <c r="U68" i="78" s="1"/>
  <c r="T73" i="78"/>
  <c r="U73" i="78" s="1"/>
  <c r="T73" i="29"/>
  <c r="U73" i="29" s="1"/>
  <c r="T81" i="51"/>
  <c r="U81" i="51" s="1"/>
  <c r="T80" i="51"/>
  <c r="U80" i="51" s="1"/>
  <c r="T73" i="69"/>
  <c r="U73" i="69" s="1"/>
  <c r="T72" i="69"/>
  <c r="U72" i="69" s="1"/>
  <c r="T81" i="31"/>
  <c r="U81" i="31" s="1"/>
  <c r="T82" i="31"/>
  <c r="U82" i="31" s="1"/>
  <c r="T83" i="31"/>
  <c r="T79" i="31"/>
  <c r="U79" i="31" s="1"/>
  <c r="T80" i="31"/>
  <c r="U80" i="31" s="1"/>
  <c r="O92" i="31"/>
  <c r="T89" i="31"/>
  <c r="U92" i="31" s="1"/>
  <c r="T70" i="69"/>
  <c r="U70" i="69" s="1"/>
  <c r="T71" i="69"/>
  <c r="U71" i="69" s="1"/>
  <c r="U113" i="51"/>
  <c r="I116" i="51" s="1"/>
  <c r="U45" i="69"/>
  <c r="U113" i="17"/>
  <c r="I116" i="17" s="1"/>
  <c r="H118" i="17" s="1"/>
  <c r="I118" i="17" s="1"/>
  <c r="T70" i="29"/>
  <c r="U70" i="29" s="1"/>
  <c r="T84" i="31"/>
  <c r="U84" i="31" s="1"/>
  <c r="U68" i="31"/>
  <c r="I120" i="78"/>
  <c r="I124" i="78" s="1"/>
  <c r="I128" i="78" s="1"/>
  <c r="O92" i="78"/>
  <c r="T89" i="78"/>
  <c r="U92" i="78" s="1"/>
  <c r="T84" i="78"/>
  <c r="U84" i="78" s="1"/>
  <c r="T80" i="78"/>
  <c r="U80" i="78" s="1"/>
  <c r="T82" i="78"/>
  <c r="U82" i="78" s="1"/>
  <c r="T79" i="78"/>
  <c r="U79" i="78" s="1"/>
  <c r="T83" i="78"/>
  <c r="T81" i="78"/>
  <c r="U81" i="78" s="1"/>
  <c r="U113" i="77"/>
  <c r="I116" i="77" s="1"/>
  <c r="E445" i="64"/>
  <c r="G445" i="64" s="1"/>
  <c r="T80" i="68"/>
  <c r="U80" i="68" s="1"/>
  <c r="T83" i="68"/>
  <c r="T82" i="68"/>
  <c r="U82" i="68" s="1"/>
  <c r="T79" i="68"/>
  <c r="U79" i="68" s="1"/>
  <c r="T81" i="68"/>
  <c r="U81" i="68" s="1"/>
  <c r="O92" i="68"/>
  <c r="T89" i="68"/>
  <c r="U92" i="68" s="1"/>
  <c r="I120" i="68"/>
  <c r="I124" i="68" s="1"/>
  <c r="I128" i="68" s="1"/>
  <c r="T84" i="68"/>
  <c r="U84" i="68" s="1"/>
  <c r="U68" i="68"/>
  <c r="I130" i="68"/>
  <c r="T82" i="71"/>
  <c r="U82" i="71" s="1"/>
  <c r="T83" i="71"/>
  <c r="T81" i="71"/>
  <c r="U81" i="71" s="1"/>
  <c r="T80" i="71"/>
  <c r="U80" i="71" s="1"/>
  <c r="T79" i="71"/>
  <c r="U79" i="71" s="1"/>
  <c r="T84" i="71"/>
  <c r="U84" i="71" s="1"/>
  <c r="U68" i="71"/>
  <c r="O92" i="71"/>
  <c r="T89" i="71"/>
  <c r="U92" i="71" s="1"/>
  <c r="U113" i="70"/>
  <c r="I116" i="70" s="1"/>
  <c r="I120" i="70"/>
  <c r="I124" i="70" s="1"/>
  <c r="I128" i="70" s="1"/>
  <c r="T80" i="69"/>
  <c r="U80" i="69" s="1"/>
  <c r="T81" i="69"/>
  <c r="U81" i="69" s="1"/>
  <c r="T79" i="69"/>
  <c r="U79" i="69" s="1"/>
  <c r="T83" i="69"/>
  <c r="T82" i="69"/>
  <c r="U82" i="69" s="1"/>
  <c r="U68" i="69"/>
  <c r="T84" i="69"/>
  <c r="U84" i="69" s="1"/>
  <c r="T89" i="69"/>
  <c r="U92" i="69" s="1"/>
  <c r="O92" i="69"/>
  <c r="T81" i="67"/>
  <c r="U81" i="67" s="1"/>
  <c r="T80" i="67"/>
  <c r="U80" i="67" s="1"/>
  <c r="T82" i="67"/>
  <c r="U82" i="67" s="1"/>
  <c r="T79" i="67"/>
  <c r="U79" i="67" s="1"/>
  <c r="T83" i="67"/>
  <c r="I120" i="67"/>
  <c r="I124" i="67" s="1"/>
  <c r="I128" i="67" s="1"/>
  <c r="T84" i="67"/>
  <c r="U84" i="67" s="1"/>
  <c r="U68" i="67"/>
  <c r="O92" i="67"/>
  <c r="T89" i="67"/>
  <c r="U92" i="67" s="1"/>
  <c r="T81" i="66"/>
  <c r="U81" i="66" s="1"/>
  <c r="T79" i="66"/>
  <c r="U79" i="66" s="1"/>
  <c r="T83" i="66"/>
  <c r="T82" i="66"/>
  <c r="U82" i="66" s="1"/>
  <c r="T80" i="66"/>
  <c r="U80" i="66" s="1"/>
  <c r="T84" i="66"/>
  <c r="U84" i="66" s="1"/>
  <c r="U68" i="66"/>
  <c r="T89" i="66"/>
  <c r="U92" i="66" s="1"/>
  <c r="O92" i="66"/>
  <c r="I120" i="66"/>
  <c r="I124" i="66" s="1"/>
  <c r="I128" i="66" s="1"/>
  <c r="U13" i="58"/>
  <c r="U29" i="58" s="1"/>
  <c r="U45" i="58" s="1"/>
  <c r="T29" i="58"/>
  <c r="R45" i="58" s="1"/>
  <c r="P65" i="58" s="1"/>
  <c r="T66" i="58" s="1"/>
  <c r="O89" i="58"/>
  <c r="T73" i="58"/>
  <c r="U73" i="58" s="1"/>
  <c r="T71" i="58"/>
  <c r="U71" i="58" s="1"/>
  <c r="T68" i="58"/>
  <c r="T70" i="58"/>
  <c r="U70" i="58" s="1"/>
  <c r="T72" i="58"/>
  <c r="U72" i="58" s="1"/>
  <c r="H118" i="58"/>
  <c r="I118" i="58" s="1"/>
  <c r="U113" i="57"/>
  <c r="I116" i="57" s="1"/>
  <c r="I120" i="57"/>
  <c r="I124" i="57" s="1"/>
  <c r="I128" i="57" s="1"/>
  <c r="I130" i="57"/>
  <c r="I118" i="56"/>
  <c r="T89" i="56"/>
  <c r="U92" i="56" s="1"/>
  <c r="O92" i="56"/>
  <c r="T84" i="56"/>
  <c r="U84" i="56" s="1"/>
  <c r="U68" i="56"/>
  <c r="T82" i="56"/>
  <c r="U82" i="56" s="1"/>
  <c r="T79" i="56"/>
  <c r="U79" i="56" s="1"/>
  <c r="T83" i="56"/>
  <c r="T80" i="56"/>
  <c r="U80" i="56" s="1"/>
  <c r="T81" i="56"/>
  <c r="U81" i="56" s="1"/>
  <c r="I120" i="55"/>
  <c r="I124" i="55" s="1"/>
  <c r="I128" i="55" s="1"/>
  <c r="I130" i="55"/>
  <c r="T83" i="76"/>
  <c r="T79" i="76"/>
  <c r="U79" i="76" s="1"/>
  <c r="T80" i="76"/>
  <c r="U80" i="76" s="1"/>
  <c r="T82" i="76"/>
  <c r="U82" i="76" s="1"/>
  <c r="T81" i="76"/>
  <c r="U81" i="76" s="1"/>
  <c r="I120" i="76"/>
  <c r="I124" i="76" s="1"/>
  <c r="I128" i="76" s="1"/>
  <c r="I130" i="76"/>
  <c r="T89" i="76"/>
  <c r="U92" i="76" s="1"/>
  <c r="O92" i="76"/>
  <c r="U68" i="76"/>
  <c r="T84" i="76"/>
  <c r="U84" i="76" s="1"/>
  <c r="U113" i="75"/>
  <c r="I116" i="75" s="1"/>
  <c r="I118" i="75"/>
  <c r="I130" i="75" s="1"/>
  <c r="I120" i="52"/>
  <c r="I124" i="52" s="1"/>
  <c r="I128" i="52" s="1"/>
  <c r="T89" i="52"/>
  <c r="U92" i="52" s="1"/>
  <c r="O92" i="52"/>
  <c r="U68" i="52"/>
  <c r="T84" i="52"/>
  <c r="U84" i="52" s="1"/>
  <c r="T83" i="52"/>
  <c r="T82" i="52"/>
  <c r="U82" i="52" s="1"/>
  <c r="T80" i="52"/>
  <c r="U80" i="52" s="1"/>
  <c r="T81" i="52"/>
  <c r="U81" i="52" s="1"/>
  <c r="T79" i="52"/>
  <c r="U79" i="52" s="1"/>
  <c r="T84" i="50"/>
  <c r="U84" i="50" s="1"/>
  <c r="U68" i="50"/>
  <c r="T81" i="50"/>
  <c r="U81" i="50" s="1"/>
  <c r="T82" i="50"/>
  <c r="U82" i="50" s="1"/>
  <c r="T83" i="50"/>
  <c r="T80" i="50"/>
  <c r="U80" i="50" s="1"/>
  <c r="T79" i="50"/>
  <c r="U79" i="50" s="1"/>
  <c r="O92" i="50"/>
  <c r="T89" i="50"/>
  <c r="U92" i="50" s="1"/>
  <c r="I120" i="50"/>
  <c r="I124" i="50" s="1"/>
  <c r="I128" i="50" s="1"/>
  <c r="T79" i="48"/>
  <c r="U79" i="48" s="1"/>
  <c r="T81" i="48"/>
  <c r="U81" i="48" s="1"/>
  <c r="T82" i="48"/>
  <c r="U82" i="48" s="1"/>
  <c r="T83" i="48"/>
  <c r="T80" i="48"/>
  <c r="U80" i="48" s="1"/>
  <c r="T84" i="48"/>
  <c r="U84" i="48" s="1"/>
  <c r="U68" i="48"/>
  <c r="I120" i="48"/>
  <c r="I124" i="48" s="1"/>
  <c r="I128" i="48" s="1"/>
  <c r="I130" i="48"/>
  <c r="T89" i="48"/>
  <c r="U92" i="48" s="1"/>
  <c r="O92" i="48"/>
  <c r="U113" i="47"/>
  <c r="I116" i="47" s="1"/>
  <c r="I120" i="47"/>
  <c r="I124" i="47" s="1"/>
  <c r="I128" i="47" s="1"/>
  <c r="I130" i="47"/>
  <c r="T82" i="45"/>
  <c r="U82" i="45" s="1"/>
  <c r="T83" i="45"/>
  <c r="T79" i="45"/>
  <c r="U79" i="45" s="1"/>
  <c r="T80" i="45"/>
  <c r="U80" i="45" s="1"/>
  <c r="T81" i="45"/>
  <c r="U81" i="45" s="1"/>
  <c r="O92" i="45"/>
  <c r="T89" i="45"/>
  <c r="U92" i="45" s="1"/>
  <c r="T84" i="45"/>
  <c r="U84" i="45" s="1"/>
  <c r="U68" i="45"/>
  <c r="I120" i="45"/>
  <c r="I124" i="45" s="1"/>
  <c r="I128" i="45" s="1"/>
  <c r="T79" i="44"/>
  <c r="U79" i="44" s="1"/>
  <c r="T83" i="44"/>
  <c r="T80" i="44"/>
  <c r="U80" i="44" s="1"/>
  <c r="T82" i="44"/>
  <c r="U82" i="44" s="1"/>
  <c r="T81" i="44"/>
  <c r="U81" i="44" s="1"/>
  <c r="T84" i="44"/>
  <c r="U84" i="44" s="1"/>
  <c r="U68" i="44"/>
  <c r="T89" i="44"/>
  <c r="U92" i="44" s="1"/>
  <c r="O92" i="44"/>
  <c r="I120" i="44"/>
  <c r="I124" i="44" s="1"/>
  <c r="I128" i="44" s="1"/>
  <c r="T80" i="43"/>
  <c r="U80" i="43" s="1"/>
  <c r="T81" i="43"/>
  <c r="U81" i="43" s="1"/>
  <c r="T82" i="43"/>
  <c r="U82" i="43" s="1"/>
  <c r="T83" i="43"/>
  <c r="T79" i="43"/>
  <c r="U79" i="43" s="1"/>
  <c r="T89" i="43"/>
  <c r="U92" i="43" s="1"/>
  <c r="O92" i="43"/>
  <c r="U68" i="43"/>
  <c r="T84" i="43"/>
  <c r="U84" i="43" s="1"/>
  <c r="I120" i="43"/>
  <c r="I124" i="43" s="1"/>
  <c r="I128" i="43" s="1"/>
  <c r="O92" i="42"/>
  <c r="T89" i="42"/>
  <c r="U92" i="42" s="1"/>
  <c r="I120" i="42"/>
  <c r="I124" i="42" s="1"/>
  <c r="I128" i="42" s="1"/>
  <c r="I130" i="42"/>
  <c r="T80" i="42"/>
  <c r="U80" i="42" s="1"/>
  <c r="T83" i="42"/>
  <c r="T82" i="42"/>
  <c r="U82" i="42" s="1"/>
  <c r="T81" i="42"/>
  <c r="U81" i="42" s="1"/>
  <c r="T79" i="42"/>
  <c r="U79" i="42" s="1"/>
  <c r="T84" i="42"/>
  <c r="U84" i="42" s="1"/>
  <c r="U68" i="42"/>
  <c r="T79" i="40"/>
  <c r="U79" i="40" s="1"/>
  <c r="T81" i="40"/>
  <c r="U81" i="40" s="1"/>
  <c r="T82" i="40"/>
  <c r="U82" i="40" s="1"/>
  <c r="T80" i="40"/>
  <c r="U80" i="40" s="1"/>
  <c r="T83" i="40"/>
  <c r="U68" i="40"/>
  <c r="T84" i="40"/>
  <c r="U84" i="40" s="1"/>
  <c r="T89" i="40"/>
  <c r="U92" i="40" s="1"/>
  <c r="O92" i="40"/>
  <c r="I120" i="40"/>
  <c r="I124" i="40" s="1"/>
  <c r="I128" i="40" s="1"/>
  <c r="E237" i="64"/>
  <c r="G237" i="64" s="1"/>
  <c r="U113" i="39"/>
  <c r="I116" i="39" s="1"/>
  <c r="T79" i="38"/>
  <c r="U79" i="38" s="1"/>
  <c r="T83" i="38"/>
  <c r="T82" i="38"/>
  <c r="U82" i="38" s="1"/>
  <c r="T81" i="38"/>
  <c r="U81" i="38" s="1"/>
  <c r="T80" i="38"/>
  <c r="U80" i="38" s="1"/>
  <c r="I120" i="38"/>
  <c r="I124" i="38" s="1"/>
  <c r="I128" i="38" s="1"/>
  <c r="I130" i="38"/>
  <c r="T84" i="38"/>
  <c r="U84" i="38" s="1"/>
  <c r="U68" i="38"/>
  <c r="T89" i="38"/>
  <c r="U92" i="38" s="1"/>
  <c r="O92" i="38"/>
  <c r="T82" i="37"/>
  <c r="U82" i="37" s="1"/>
  <c r="T83" i="37"/>
  <c r="T81" i="37"/>
  <c r="U81" i="37" s="1"/>
  <c r="T80" i="37"/>
  <c r="U80" i="37" s="1"/>
  <c r="T79" i="37"/>
  <c r="U79" i="37" s="1"/>
  <c r="T84" i="37"/>
  <c r="U84" i="37" s="1"/>
  <c r="U68" i="37"/>
  <c r="T89" i="37"/>
  <c r="U92" i="37" s="1"/>
  <c r="O92" i="37"/>
  <c r="I120" i="37"/>
  <c r="I124" i="37" s="1"/>
  <c r="I128" i="37" s="1"/>
  <c r="I130" i="37"/>
  <c r="T72" i="36"/>
  <c r="U72" i="36" s="1"/>
  <c r="T70" i="36"/>
  <c r="U70" i="36" s="1"/>
  <c r="T68" i="36"/>
  <c r="T71" i="36"/>
  <c r="U71" i="36" s="1"/>
  <c r="T73" i="36"/>
  <c r="U73" i="36" s="1"/>
  <c r="U13" i="36"/>
  <c r="U29" i="36" s="1"/>
  <c r="T29" i="36"/>
  <c r="R45" i="36" s="1"/>
  <c r="P65" i="36" s="1"/>
  <c r="T66" i="36" s="1"/>
  <c r="O89" i="36"/>
  <c r="U45" i="36"/>
  <c r="T29" i="23"/>
  <c r="R45" i="23" s="1"/>
  <c r="P65" i="23" s="1"/>
  <c r="T66" i="23" s="1"/>
  <c r="O89" i="23"/>
  <c r="U13" i="23"/>
  <c r="U29" i="23" s="1"/>
  <c r="U45" i="23" s="1"/>
  <c r="T68" i="23"/>
  <c r="T73" i="23"/>
  <c r="U73" i="23" s="1"/>
  <c r="T72" i="23"/>
  <c r="U72" i="23" s="1"/>
  <c r="T70" i="23"/>
  <c r="U70" i="23" s="1"/>
  <c r="T71" i="23"/>
  <c r="U71" i="23" s="1"/>
  <c r="I120" i="35"/>
  <c r="I124" i="35" s="1"/>
  <c r="I128" i="35" s="1"/>
  <c r="I130" i="35"/>
  <c r="T83" i="35"/>
  <c r="T79" i="35"/>
  <c r="U79" i="35" s="1"/>
  <c r="T82" i="35"/>
  <c r="U82" i="35" s="1"/>
  <c r="T81" i="35"/>
  <c r="U81" i="35" s="1"/>
  <c r="T80" i="35"/>
  <c r="U80" i="35" s="1"/>
  <c r="T84" i="35"/>
  <c r="U84" i="35" s="1"/>
  <c r="U68" i="35"/>
  <c r="T89" i="35"/>
  <c r="U92" i="35" s="1"/>
  <c r="O92" i="35"/>
  <c r="E184" i="64"/>
  <c r="G184" i="64" s="1"/>
  <c r="U113" i="33"/>
  <c r="I116" i="33" s="1"/>
  <c r="I120" i="33"/>
  <c r="I124" i="33" s="1"/>
  <c r="I128" i="33" s="1"/>
  <c r="I130" i="33"/>
  <c r="U113" i="32"/>
  <c r="I116" i="32" s="1"/>
  <c r="H118" i="30"/>
  <c r="I92" i="60"/>
  <c r="J92" i="60" s="1"/>
  <c r="T83" i="30"/>
  <c r="T80" i="30"/>
  <c r="U80" i="30" s="1"/>
  <c r="T79" i="30"/>
  <c r="U79" i="30" s="1"/>
  <c r="T81" i="30"/>
  <c r="U81" i="30" s="1"/>
  <c r="T82" i="30"/>
  <c r="U82" i="30" s="1"/>
  <c r="T84" i="30"/>
  <c r="U84" i="30" s="1"/>
  <c r="U68" i="30"/>
  <c r="O92" i="30"/>
  <c r="T89" i="30"/>
  <c r="U92" i="30" s="1"/>
  <c r="T72" i="29"/>
  <c r="U72" i="29" s="1"/>
  <c r="T71" i="29"/>
  <c r="U71" i="29" s="1"/>
  <c r="T84" i="29"/>
  <c r="U84" i="29" s="1"/>
  <c r="U68" i="29"/>
  <c r="I120" i="29"/>
  <c r="I124" i="29" s="1"/>
  <c r="I128" i="29" s="1"/>
  <c r="I130" i="29"/>
  <c r="O92" i="29"/>
  <c r="T89" i="29"/>
  <c r="U92" i="29" s="1"/>
  <c r="T79" i="29"/>
  <c r="U79" i="29" s="1"/>
  <c r="T80" i="29"/>
  <c r="U80" i="29" s="1"/>
  <c r="T82" i="29"/>
  <c r="U82" i="29" s="1"/>
  <c r="T81" i="29"/>
  <c r="U81" i="29" s="1"/>
  <c r="T83" i="29"/>
  <c r="T80" i="28"/>
  <c r="U80" i="28" s="1"/>
  <c r="T81" i="28"/>
  <c r="U81" i="28" s="1"/>
  <c r="T79" i="28"/>
  <c r="U79" i="28" s="1"/>
  <c r="T82" i="28"/>
  <c r="U82" i="28" s="1"/>
  <c r="T83" i="28"/>
  <c r="O92" i="28"/>
  <c r="T89" i="28"/>
  <c r="U92" i="28" s="1"/>
  <c r="T84" i="28"/>
  <c r="U84" i="28" s="1"/>
  <c r="U68" i="28"/>
  <c r="I120" i="28"/>
  <c r="I124" i="28" s="1"/>
  <c r="I128" i="28" s="1"/>
  <c r="I120" i="27"/>
  <c r="I124" i="27" s="1"/>
  <c r="I128" i="27" s="1"/>
  <c r="I130" i="27"/>
  <c r="T79" i="27"/>
  <c r="U79" i="27" s="1"/>
  <c r="T81" i="27"/>
  <c r="U81" i="27" s="1"/>
  <c r="T80" i="27"/>
  <c r="U80" i="27" s="1"/>
  <c r="T83" i="27"/>
  <c r="T82" i="27"/>
  <c r="U82" i="27" s="1"/>
  <c r="T89" i="27"/>
  <c r="U92" i="27" s="1"/>
  <c r="O92" i="27"/>
  <c r="T84" i="27"/>
  <c r="U84" i="27" s="1"/>
  <c r="U68" i="27"/>
  <c r="T82" i="22"/>
  <c r="U82" i="22" s="1"/>
  <c r="T80" i="22"/>
  <c r="U80" i="22" s="1"/>
  <c r="T81" i="22"/>
  <c r="U81" i="22" s="1"/>
  <c r="T79" i="22"/>
  <c r="U79" i="22" s="1"/>
  <c r="T83" i="22"/>
  <c r="U68" i="22"/>
  <c r="T84" i="22"/>
  <c r="U84" i="22" s="1"/>
  <c r="T89" i="22"/>
  <c r="U92" i="22" s="1"/>
  <c r="O92" i="22"/>
  <c r="T81" i="24"/>
  <c r="U81" i="24" s="1"/>
  <c r="T80" i="24"/>
  <c r="U80" i="24" s="1"/>
  <c r="T82" i="24"/>
  <c r="U82" i="24" s="1"/>
  <c r="T79" i="24"/>
  <c r="U79" i="24" s="1"/>
  <c r="T83" i="24"/>
  <c r="O92" i="24"/>
  <c r="T89" i="24"/>
  <c r="U92" i="24" s="1"/>
  <c r="U68" i="24"/>
  <c r="T84" i="24"/>
  <c r="U84" i="24" s="1"/>
  <c r="T82" i="25"/>
  <c r="U82" i="25" s="1"/>
  <c r="T80" i="25"/>
  <c r="U80" i="25" s="1"/>
  <c r="T79" i="25"/>
  <c r="U79" i="25" s="1"/>
  <c r="T81" i="25"/>
  <c r="U81" i="25" s="1"/>
  <c r="T83" i="25"/>
  <c r="I120" i="25"/>
  <c r="I124" i="25" s="1"/>
  <c r="I128" i="25" s="1"/>
  <c r="U68" i="25"/>
  <c r="T84" i="25"/>
  <c r="U84" i="25" s="1"/>
  <c r="T89" i="25"/>
  <c r="U92" i="25" s="1"/>
  <c r="O92" i="25"/>
  <c r="T80" i="21"/>
  <c r="U80" i="21" s="1"/>
  <c r="T81" i="21"/>
  <c r="U81" i="21" s="1"/>
  <c r="T83" i="21"/>
  <c r="T79" i="21"/>
  <c r="U79" i="21" s="1"/>
  <c r="T82" i="21"/>
  <c r="U82" i="21" s="1"/>
  <c r="U68" i="21"/>
  <c r="T84" i="21"/>
  <c r="U84" i="21" s="1"/>
  <c r="I120" i="21"/>
  <c r="I124" i="21" s="1"/>
  <c r="I128" i="21" s="1"/>
  <c r="I130" i="21"/>
  <c r="T89" i="21"/>
  <c r="U92" i="21" s="1"/>
  <c r="O92" i="21"/>
  <c r="T84" i="20"/>
  <c r="U84" i="20" s="1"/>
  <c r="U68" i="20"/>
  <c r="T79" i="20"/>
  <c r="U79" i="20" s="1"/>
  <c r="T83" i="20"/>
  <c r="T82" i="20"/>
  <c r="U82" i="20" s="1"/>
  <c r="T80" i="20"/>
  <c r="U80" i="20" s="1"/>
  <c r="T81" i="20"/>
  <c r="U81" i="20" s="1"/>
  <c r="T89" i="20"/>
  <c r="U92" i="20" s="1"/>
  <c r="O92" i="20"/>
  <c r="T79" i="18"/>
  <c r="U79" i="18" s="1"/>
  <c r="T81" i="18"/>
  <c r="U81" i="18" s="1"/>
  <c r="T83" i="18"/>
  <c r="T82" i="18"/>
  <c r="U82" i="18" s="1"/>
  <c r="T80" i="18"/>
  <c r="U80" i="18" s="1"/>
  <c r="O92" i="18"/>
  <c r="T89" i="18"/>
  <c r="U92" i="18" s="1"/>
  <c r="T84" i="18"/>
  <c r="U84" i="18" s="1"/>
  <c r="U68" i="18"/>
  <c r="T79" i="16"/>
  <c r="U79" i="16" s="1"/>
  <c r="T80" i="16"/>
  <c r="U80" i="16" s="1"/>
  <c r="T83" i="16"/>
  <c r="T81" i="16"/>
  <c r="U81" i="16" s="1"/>
  <c r="T82" i="16"/>
  <c r="U82" i="16" s="1"/>
  <c r="I120" i="16"/>
  <c r="I124" i="16" s="1"/>
  <c r="I128" i="16" s="1"/>
  <c r="T84" i="16"/>
  <c r="U84" i="16" s="1"/>
  <c r="U68" i="16"/>
  <c r="T89" i="16"/>
  <c r="U92" i="16" s="1"/>
  <c r="O92" i="16"/>
  <c r="T79" i="15"/>
  <c r="U79" i="15" s="1"/>
  <c r="T83" i="15"/>
  <c r="T80" i="15"/>
  <c r="U80" i="15" s="1"/>
  <c r="T81" i="15"/>
  <c r="U81" i="15" s="1"/>
  <c r="T82" i="15"/>
  <c r="U82" i="15" s="1"/>
  <c r="E15" i="64"/>
  <c r="G15" i="64" s="1"/>
  <c r="O92" i="15"/>
  <c r="T89" i="15"/>
  <c r="U92" i="15" s="1"/>
  <c r="T84" i="15"/>
  <c r="U84" i="15" s="1"/>
  <c r="U68" i="15"/>
  <c r="T81" i="7"/>
  <c r="U81" i="7" s="1"/>
  <c r="T82" i="7"/>
  <c r="U82" i="7" s="1"/>
  <c r="T79" i="7"/>
  <c r="U79" i="7" s="1"/>
  <c r="T80" i="7"/>
  <c r="U80" i="7" s="1"/>
  <c r="T83" i="7"/>
  <c r="T89" i="7"/>
  <c r="U92" i="7" s="1"/>
  <c r="O92" i="7"/>
  <c r="I118" i="7"/>
  <c r="I130" i="7" s="1"/>
  <c r="U68" i="7"/>
  <c r="T84" i="7"/>
  <c r="U84" i="7" s="1"/>
  <c r="I130" i="69" l="1"/>
  <c r="I130" i="36"/>
  <c r="I120" i="36"/>
  <c r="I124" i="36" s="1"/>
  <c r="I128" i="36" s="1"/>
  <c r="E165" i="64"/>
  <c r="G165" i="64" s="1"/>
  <c r="I120" i="69"/>
  <c r="I124" i="69" s="1"/>
  <c r="I128" i="69" s="1"/>
  <c r="E409" i="64" s="1"/>
  <c r="G409" i="64" s="1"/>
  <c r="E115" i="64"/>
  <c r="G115" i="64" s="1"/>
  <c r="U113" i="31"/>
  <c r="I116" i="31" s="1"/>
  <c r="H118" i="31" s="1"/>
  <c r="I118" i="31" s="1"/>
  <c r="I118" i="30"/>
  <c r="I130" i="30" s="1"/>
  <c r="U113" i="25"/>
  <c r="I116" i="25" s="1"/>
  <c r="U113" i="50"/>
  <c r="I116" i="50" s="1"/>
  <c r="U113" i="40"/>
  <c r="I116" i="40" s="1"/>
  <c r="E455" i="64"/>
  <c r="G455" i="64" s="1"/>
  <c r="U113" i="78"/>
  <c r="I116" i="78" s="1"/>
  <c r="E437" i="64"/>
  <c r="G437" i="64" s="1"/>
  <c r="U113" i="68"/>
  <c r="I116" i="68" s="1"/>
  <c r="U113" i="71"/>
  <c r="I116" i="71" s="1"/>
  <c r="H118" i="71" s="1"/>
  <c r="E419" i="64"/>
  <c r="G419" i="64" s="1"/>
  <c r="U113" i="69"/>
  <c r="I116" i="69" s="1"/>
  <c r="U113" i="67"/>
  <c r="I116" i="67" s="1"/>
  <c r="E400" i="64"/>
  <c r="G400" i="64" s="1"/>
  <c r="E393" i="64"/>
  <c r="G393" i="64" s="1"/>
  <c r="U113" i="66"/>
  <c r="I116" i="66" s="1"/>
  <c r="T89" i="58"/>
  <c r="U92" i="58" s="1"/>
  <c r="O92" i="58"/>
  <c r="T79" i="58"/>
  <c r="U79" i="58" s="1"/>
  <c r="T83" i="58"/>
  <c r="T81" i="58"/>
  <c r="U81" i="58" s="1"/>
  <c r="T82" i="58"/>
  <c r="U82" i="58" s="1"/>
  <c r="T80" i="58"/>
  <c r="U80" i="58" s="1"/>
  <c r="I130" i="58"/>
  <c r="I120" i="58"/>
  <c r="I124" i="58" s="1"/>
  <c r="I128" i="58" s="1"/>
  <c r="U68" i="58"/>
  <c r="T84" i="58"/>
  <c r="U84" i="58" s="1"/>
  <c r="E375" i="64"/>
  <c r="G375" i="64" s="1"/>
  <c r="I120" i="56"/>
  <c r="I124" i="56" s="1"/>
  <c r="I128" i="56" s="1"/>
  <c r="U113" i="56"/>
  <c r="I116" i="56" s="1"/>
  <c r="I130" i="56"/>
  <c r="E357" i="64"/>
  <c r="G357" i="64" s="1"/>
  <c r="U113" i="76"/>
  <c r="I116" i="76" s="1"/>
  <c r="E347" i="64"/>
  <c r="G347" i="64" s="1"/>
  <c r="I120" i="75"/>
  <c r="I124" i="75" s="1"/>
  <c r="I128" i="75" s="1"/>
  <c r="E328" i="64"/>
  <c r="G328" i="64" s="1"/>
  <c r="U113" i="52"/>
  <c r="I116" i="52" s="1"/>
  <c r="E311" i="64"/>
  <c r="G311" i="64" s="1"/>
  <c r="E301" i="64"/>
  <c r="G301" i="64" s="1"/>
  <c r="U113" i="48"/>
  <c r="I116" i="48" s="1"/>
  <c r="E292" i="64"/>
  <c r="G292" i="64" s="1"/>
  <c r="E284" i="64"/>
  <c r="G284" i="64" s="1"/>
  <c r="U113" i="45"/>
  <c r="I116" i="45" s="1"/>
  <c r="E276" i="64"/>
  <c r="G276" i="64" s="1"/>
  <c r="U113" i="44"/>
  <c r="I116" i="44" s="1"/>
  <c r="E266" i="64"/>
  <c r="G266" i="64" s="1"/>
  <c r="U113" i="43"/>
  <c r="I116" i="43" s="1"/>
  <c r="U113" i="42"/>
  <c r="I116" i="42" s="1"/>
  <c r="E256" i="64"/>
  <c r="G256" i="64" s="1"/>
  <c r="E247" i="64"/>
  <c r="G247" i="64" s="1"/>
  <c r="U113" i="38"/>
  <c r="I116" i="38" s="1"/>
  <c r="E226" i="64"/>
  <c r="G226" i="64" s="1"/>
  <c r="U113" i="37"/>
  <c r="I116" i="37" s="1"/>
  <c r="E218" i="64"/>
  <c r="G218" i="64" s="1"/>
  <c r="T84" i="36"/>
  <c r="U84" i="36" s="1"/>
  <c r="U68" i="36"/>
  <c r="O92" i="36"/>
  <c r="T89" i="36"/>
  <c r="U92" i="36" s="1"/>
  <c r="T83" i="36"/>
  <c r="T81" i="36"/>
  <c r="U81" i="36" s="1"/>
  <c r="T79" i="36"/>
  <c r="U79" i="36" s="1"/>
  <c r="T80" i="36"/>
  <c r="U80" i="36" s="1"/>
  <c r="T82" i="36"/>
  <c r="U82" i="36" s="1"/>
  <c r="T82" i="23"/>
  <c r="U82" i="23" s="1"/>
  <c r="T79" i="23"/>
  <c r="U79" i="23" s="1"/>
  <c r="T81" i="23"/>
  <c r="U81" i="23" s="1"/>
  <c r="T83" i="23"/>
  <c r="T80" i="23"/>
  <c r="U80" i="23" s="1"/>
  <c r="U68" i="23"/>
  <c r="T84" i="23"/>
  <c r="U84" i="23" s="1"/>
  <c r="T89" i="23"/>
  <c r="U92" i="23" s="1"/>
  <c r="O92" i="23"/>
  <c r="E192" i="64"/>
  <c r="G192" i="64" s="1"/>
  <c r="U113" i="35"/>
  <c r="I116" i="35" s="1"/>
  <c r="E175" i="64"/>
  <c r="G175" i="64" s="1"/>
  <c r="I114" i="60"/>
  <c r="U113" i="30"/>
  <c r="I116" i="30" s="1"/>
  <c r="E140" i="64"/>
  <c r="G140" i="64" s="1"/>
  <c r="U113" i="29"/>
  <c r="I116" i="29" s="1"/>
  <c r="E131" i="64"/>
  <c r="G131" i="64" s="1"/>
  <c r="U113" i="28"/>
  <c r="I116" i="28" s="1"/>
  <c r="E122" i="64"/>
  <c r="G122" i="64" s="1"/>
  <c r="U113" i="27"/>
  <c r="I116" i="27" s="1"/>
  <c r="U113" i="22"/>
  <c r="I116" i="22" s="1"/>
  <c r="H118" i="22" s="1"/>
  <c r="U113" i="24"/>
  <c r="I116" i="24" s="1"/>
  <c r="H118" i="24" s="1"/>
  <c r="E89" i="64"/>
  <c r="G89" i="64" s="1"/>
  <c r="U113" i="21"/>
  <c r="I116" i="21" s="1"/>
  <c r="E79" i="64"/>
  <c r="G79" i="64" s="1"/>
  <c r="U113" i="20"/>
  <c r="I116" i="20" s="1"/>
  <c r="H118" i="20" s="1"/>
  <c r="U113" i="18"/>
  <c r="I116" i="18" s="1"/>
  <c r="H118" i="18" s="1"/>
  <c r="I120" i="17"/>
  <c r="I124" i="17" s="1"/>
  <c r="I128" i="17" s="1"/>
  <c r="I130" i="17"/>
  <c r="U113" i="16"/>
  <c r="I116" i="16" s="1"/>
  <c r="E37" i="64"/>
  <c r="G37" i="64" s="1"/>
  <c r="U113" i="15"/>
  <c r="I116" i="15" s="1"/>
  <c r="I120" i="7"/>
  <c r="I124" i="7" s="1"/>
  <c r="I128" i="7" s="1"/>
  <c r="K128" i="7" s="1"/>
  <c r="U113" i="7"/>
  <c r="I116" i="7" s="1"/>
  <c r="E207" i="64" l="1"/>
  <c r="G207" i="64" s="1"/>
  <c r="U113" i="36"/>
  <c r="I116" i="36" s="1"/>
  <c r="I120" i="30"/>
  <c r="I124" i="30" s="1"/>
  <c r="I128" i="30" s="1"/>
  <c r="I120" i="31"/>
  <c r="I124" i="31" s="1"/>
  <c r="I128" i="31" s="1"/>
  <c r="I130" i="31"/>
  <c r="I118" i="71"/>
  <c r="E384" i="64"/>
  <c r="G384" i="64" s="1"/>
  <c r="U113" i="58"/>
  <c r="I116" i="58" s="1"/>
  <c r="E368" i="64"/>
  <c r="G368" i="64" s="1"/>
  <c r="E337" i="64"/>
  <c r="G337" i="64" s="1"/>
  <c r="U113" i="23"/>
  <c r="I116" i="23" s="1"/>
  <c r="H118" i="23" s="1"/>
  <c r="H118" i="60"/>
  <c r="J114" i="60"/>
  <c r="I118" i="22"/>
  <c r="I118" i="24"/>
  <c r="I130" i="24" s="1"/>
  <c r="I118" i="20"/>
  <c r="I130" i="20" s="1"/>
  <c r="I118" i="18"/>
  <c r="E52" i="64"/>
  <c r="G52" i="64" s="1"/>
  <c r="E5" i="64"/>
  <c r="E148" i="64" l="1"/>
  <c r="G148" i="64" s="1"/>
  <c r="E156" i="64"/>
  <c r="G156" i="64" s="1"/>
  <c r="I120" i="71"/>
  <c r="I124" i="71" s="1"/>
  <c r="I128" i="71" s="1"/>
  <c r="I130" i="71"/>
  <c r="I118" i="23"/>
  <c r="I118" i="60" s="1"/>
  <c r="I116" i="60"/>
  <c r="I120" i="22"/>
  <c r="I124" i="22" s="1"/>
  <c r="I128" i="22" s="1"/>
  <c r="I130" i="22"/>
  <c r="I120" i="24"/>
  <c r="I124" i="24" s="1"/>
  <c r="I128" i="24" s="1"/>
  <c r="I120" i="20"/>
  <c r="I124" i="20" s="1"/>
  <c r="I128" i="20" s="1"/>
  <c r="I120" i="18"/>
  <c r="I124" i="18" s="1"/>
  <c r="I128" i="18" s="1"/>
  <c r="I130" i="18"/>
  <c r="G5" i="64"/>
  <c r="E428" i="64" l="1"/>
  <c r="G428" i="64" s="1"/>
  <c r="I120" i="23"/>
  <c r="I124" i="23" s="1"/>
  <c r="I128" i="23" s="1"/>
  <c r="I128" i="60" s="1"/>
  <c r="J128" i="60" s="1"/>
  <c r="I130" i="23"/>
  <c r="E107" i="64"/>
  <c r="G107" i="64" s="1"/>
  <c r="E98" i="64"/>
  <c r="G98" i="64" s="1"/>
  <c r="E71" i="64"/>
  <c r="G71" i="64" s="1"/>
  <c r="I120" i="60"/>
  <c r="E59" i="64"/>
  <c r="E199" i="64" l="1"/>
  <c r="G199" i="64" s="1"/>
  <c r="G59" i="64"/>
  <c r="I124" i="60"/>
  <c r="J120" i="60"/>
  <c r="E474" i="64"/>
  <c r="E467" i="64" l="1"/>
  <c r="G467" i="64"/>
  <c r="E496" i="64"/>
  <c r="G474" i="64"/>
  <c r="G496" i="64" s="1"/>
  <c r="G468" i="64" l="1"/>
  <c r="G497" i="64"/>
  <c r="E497" i="64"/>
</calcChain>
</file>

<file path=xl/comments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56
 - 58</t>
        </r>
      </text>
    </comment>
  </commentList>
</comments>
</file>

<file path=xl/comments4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5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9.xml><?xml version="1.0" encoding="utf-8"?>
<comments xmlns="http://schemas.openxmlformats.org/spreadsheetml/2006/main">
  <authors>
    <author>RSO</author>
  </authors>
  <commentList>
    <comment ref="J14" authorId="0" shapeId="0">
      <text>
        <r>
          <rPr>
            <sz val="9"/>
            <color indexed="81"/>
            <rFont val="Tahoma"/>
            <family val="2"/>
          </rPr>
          <t>Check that Program 111 = lines 50-52</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sharedStrings.xml><?xml version="1.0" encoding="utf-8"?>
<sst xmlns="http://schemas.openxmlformats.org/spreadsheetml/2006/main" count="18235" uniqueCount="479">
  <si>
    <t xml:space="preserve">School District: </t>
  </si>
  <si>
    <t>Program</t>
  </si>
  <si>
    <t>FTE</t>
  </si>
  <si>
    <t>(b)</t>
  </si>
  <si>
    <t>(c)</t>
  </si>
  <si>
    <t>Totals</t>
  </si>
  <si>
    <t>x</t>
  </si>
  <si>
    <t>NOTES:</t>
  </si>
  <si>
    <t>Total</t>
  </si>
  <si>
    <t>Palm Beach</t>
  </si>
  <si>
    <t>Base Student Allocation</t>
  </si>
  <si>
    <t xml:space="preserve">District Cost Differential: </t>
  </si>
  <si>
    <t>Revenues flow to districts from state sources and from county tax collectors on various distribution schedules.</t>
  </si>
  <si>
    <t>=</t>
  </si>
  <si>
    <t>4-8</t>
  </si>
  <si>
    <t>9-12</t>
  </si>
  <si>
    <t>Total FTE with ESE Services</t>
  </si>
  <si>
    <t>(Insert district number in cell A1, enter, then strike F9. Your district data then pulls from Calculation Detail Sheets)</t>
  </si>
  <si>
    <t>Total Class Size Reduction Funds</t>
  </si>
  <si>
    <t xml:space="preserve">to obtain school's UFTE share.  </t>
  </si>
  <si>
    <t xml:space="preserve">to obtain school's WFTE share. </t>
  </si>
  <si>
    <t>PK-3</t>
  </si>
  <si>
    <t>PK - 3</t>
  </si>
  <si>
    <t xml:space="preserve"> Revenue Estimate Worksheet for___________Charter School </t>
  </si>
  <si>
    <t>Number of FTE</t>
  </si>
  <si>
    <t>Grade Level</t>
  </si>
  <si>
    <t>Matrix Level</t>
  </si>
  <si>
    <t>Guarantee Per Student</t>
  </si>
  <si>
    <t>Additional Funding from the ESE Guaranteed Allocation. Enter the FTE from 111,112, &amp; 113 by grade and matrix level.  Students who do not have a matrix level should be considered 251.  This total should equal all FTE from programs 111, 112 &amp; 113 above.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</si>
  <si>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</si>
  <si>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</si>
  <si>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</si>
  <si>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</si>
  <si>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</si>
  <si>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</si>
  <si>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</si>
  <si>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</si>
  <si>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</si>
  <si>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</si>
  <si>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</si>
  <si>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</si>
  <si>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</si>
  <si>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</si>
  <si>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 xml:space="preserve">ESE Applications Allocation: </t>
  </si>
  <si>
    <t>Charter schools should contact their school district sponsor regarding eligibility and distribution of ESE Application funds.</t>
  </si>
  <si>
    <t>(f)</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</si>
  <si>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</si>
  <si>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</si>
  <si>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</si>
  <si>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</si>
  <si>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</si>
  <si>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</si>
  <si>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</si>
  <si>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</si>
  <si>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</si>
  <si>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</si>
  <si>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</si>
  <si>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</si>
  <si>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</si>
  <si>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</si>
  <si>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</si>
  <si>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</si>
  <si>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(b) District allocations multiplied by percentage from item 3A.</t>
  </si>
  <si>
    <t>(c) District allocations multiplied by percentage from item 3B.</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</si>
  <si>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</si>
  <si>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</si>
  <si>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</si>
  <si>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</si>
  <si>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</si>
  <si>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</si>
  <si>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</si>
  <si>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</si>
  <si>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</si>
  <si>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</si>
  <si>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</si>
  <si>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</si>
  <si>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</si>
  <si>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</si>
  <si>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Total ESE Guarantee</t>
  </si>
  <si>
    <t>by district's total UFTE:</t>
  </si>
  <si>
    <t>by district's total WFTE:</t>
  </si>
  <si>
    <t>in Section 1, cell E38 above:</t>
  </si>
  <si>
    <t>Enter All Adjusted ESE Riders</t>
  </si>
  <si>
    <t>8.   Instructional Materials Allocation (UFTE share)</t>
  </si>
  <si>
    <t>7.   Safe Schools Allocation (UFTE share)</t>
  </si>
  <si>
    <t>6.   Digital Classrooms Allocation (UFTE share)</t>
  </si>
  <si>
    <t>5.   Discretionary Millage Compression Allocation (UFTE share)</t>
  </si>
  <si>
    <t>4.   Supplemental Academic Instruction (UFTE share)</t>
  </si>
  <si>
    <t>1.   2015-16 FEFP State and Local Funding</t>
  </si>
  <si>
    <t>2.   ESE Guaranteed Allocation:</t>
  </si>
  <si>
    <t xml:space="preserve">3A. Divide school's Unweighted FTE (UFTE) total computed </t>
  </si>
  <si>
    <t xml:space="preserve">3B. Divide school's Weighted FTE (WFTE) total computed </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</si>
  <si>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</si>
  <si>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</si>
  <si>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</si>
  <si>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</si>
  <si>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</si>
  <si>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</si>
  <si>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</si>
  <si>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</si>
  <si>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Additional Funding from the ESE Guaranteed Allocation. Enter the FTE from 111,112 and 113 by grade and matrix level.  Students who do not have a matrix level should be considered 251.  This total should equal all FTE from programs 111, 112 and 113 above.</t>
  </si>
  <si>
    <t>Dual Enrollment Instructional Materials Allocation</t>
  </si>
  <si>
    <t>(g)</t>
  </si>
  <si>
    <t>Charter schools should contact their school district sponsor regarding eligibility and distribution of ESE Applications funds.</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</si>
  <si>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</si>
  <si>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</si>
  <si>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</si>
  <si>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</si>
  <si>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</si>
  <si>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</si>
  <si>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</si>
  <si>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</si>
  <si>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</si>
  <si>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</si>
  <si>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</si>
  <si>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</si>
  <si>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</si>
  <si>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</si>
  <si>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</si>
  <si>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</si>
  <si>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Dual Enrollment Instructional Materials Allocation (See footnote e</t>
    </r>
    <r>
      <rPr>
        <b/>
        <i/>
        <sz val="12"/>
        <rFont val="Calibri"/>
        <family val="2"/>
      </rPr>
      <t xml:space="preserve"> </t>
    </r>
    <r>
      <rPr>
        <b/>
        <sz val="12"/>
        <rFont val="Calibri"/>
        <family val="2"/>
      </rPr>
      <t xml:space="preserve">below) </t>
    </r>
  </si>
  <si>
    <r>
      <rPr>
        <b/>
        <sz val="12"/>
        <rFont val="Calibri"/>
        <family val="2"/>
      </rPr>
      <t xml:space="preserve">X             </t>
    </r>
    <r>
      <rPr>
        <b/>
        <u/>
        <sz val="12"/>
        <rFont val="Calibri"/>
        <family val="2"/>
      </rPr>
      <t>DCD</t>
    </r>
    <r>
      <rPr>
        <b/>
        <sz val="12"/>
        <rFont val="Calibri"/>
        <family val="2"/>
      </rPr>
      <t xml:space="preserve">            X</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</si>
  <si>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</si>
  <si>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</si>
  <si>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</si>
  <si>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</si>
  <si>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</si>
  <si>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</si>
  <si>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</si>
  <si>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</si>
  <si>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</si>
  <si>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</si>
  <si>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Grade</t>
  </si>
  <si>
    <t>Level</t>
  </si>
  <si>
    <t>Matrix</t>
  </si>
  <si>
    <t>Guarantee</t>
  </si>
  <si>
    <t>Per Student</t>
  </si>
  <si>
    <t xml:space="preserve">    ÷                    District's Total UFTE</t>
  </si>
  <si>
    <t>3A.   Divide school's Unweighted FTE (UFTE) total computed in Section 1, cell E28 above by the district's total UFTE to obtain school's</t>
  </si>
  <si>
    <t>3B.   Divide school's Weighted FTE (WFTE) total computed in Section 1, cell E41 above by the district's total WFTE to obtain school's</t>
  </si>
  <si>
    <t xml:space="preserve">          UFTE share.                Charter School UFTE: </t>
  </si>
  <si>
    <t xml:space="preserve">          WFTE share.              Charter School WFTE: </t>
  </si>
  <si>
    <t xml:space="preserve">    ÷                    District's Total WFTE</t>
  </si>
  <si>
    <t xml:space="preserve">        .748 Mills (UFTE share)</t>
  </si>
  <si>
    <t>ESE Applications Allocation</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</si>
  <si>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</si>
  <si>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</si>
  <si>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</si>
  <si>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</si>
  <si>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</si>
  <si>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</si>
  <si>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</si>
  <si>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r>
      <rPr>
        <b/>
        <sz val="12"/>
        <rFont val="Calibri"/>
        <family val="2"/>
      </rPr>
      <t xml:space="preserve">  X   </t>
    </r>
    <r>
      <rPr>
        <b/>
        <u/>
        <sz val="12"/>
        <rFont val="Calibri"/>
        <family val="2"/>
      </rPr>
      <t>DCD</t>
    </r>
    <r>
      <rPr>
        <b/>
        <sz val="12"/>
        <rFont val="Calibri"/>
        <family val="2"/>
      </rPr>
      <t xml:space="preserve">   X</t>
    </r>
  </si>
  <si>
    <t>Average</t>
  </si>
  <si>
    <t>Impact Aide</t>
  </si>
  <si>
    <t>Exempt Property</t>
  </si>
  <si>
    <t>Revenue Estimate Worksheet: Academy for Positive Learning - 0664</t>
  </si>
  <si>
    <t>Revenue Estimate Worksheet: South Tech Charter Academy - 1571</t>
  </si>
  <si>
    <t>Revenue Estimate Worksheet: Ed Venture Charter School - 2521</t>
  </si>
  <si>
    <t>Revenue Estimate Worksheet: Potentials Charter School - 2531</t>
  </si>
  <si>
    <t>Revenue Estimate Worksheet: Palm Beach Maritime Academy (K-8) - 2801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</si>
  <si>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</si>
  <si>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</si>
  <si>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</si>
  <si>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</si>
  <si>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</si>
  <si>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Bright Futures Academy - 3385</t>
  </si>
  <si>
    <t>Revenue Estimate Worksheet: Toussaint L'ouverture High School for Arts &amp; Social Justice - 3386</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</si>
  <si>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</si>
  <si>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</si>
  <si>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</si>
  <si>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</si>
  <si>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</si>
  <si>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</si>
  <si>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</si>
  <si>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</si>
  <si>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</si>
  <si>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Palm Beach Maritime Academy (High School) - 3924</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</si>
  <si>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</si>
  <si>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</si>
  <si>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</si>
  <si>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</si>
  <si>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</si>
  <si>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</si>
  <si>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</si>
  <si>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</si>
  <si>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</si>
  <si>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</si>
  <si>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</si>
  <si>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</si>
  <si>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</si>
  <si>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</si>
  <si>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</si>
  <si>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</si>
  <si>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</si>
  <si>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</si>
  <si>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</si>
  <si>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</si>
  <si>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</si>
  <si>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</si>
  <si>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</si>
  <si>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</si>
  <si>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</si>
  <si>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</si>
  <si>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</si>
  <si>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</si>
  <si>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</si>
  <si>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</si>
  <si>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 xml:space="preserve">          UFTE share.          Charter School UFTE: </t>
  </si>
  <si>
    <t>School #</t>
  </si>
  <si>
    <t>Description</t>
  </si>
  <si>
    <t>0664</t>
  </si>
  <si>
    <t>1461</t>
  </si>
  <si>
    <t>1571</t>
  </si>
  <si>
    <t>2521</t>
  </si>
  <si>
    <t>2531</t>
  </si>
  <si>
    <t>2791</t>
  </si>
  <si>
    <t>2801</t>
  </si>
  <si>
    <t>2911</t>
  </si>
  <si>
    <t>2941</t>
  </si>
  <si>
    <t>3083</t>
  </si>
  <si>
    <t>3345</t>
  </si>
  <si>
    <t>3381</t>
  </si>
  <si>
    <t>3382</t>
  </si>
  <si>
    <t>3385</t>
  </si>
  <si>
    <t>3386</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</si>
  <si>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</si>
  <si>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</si>
  <si>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</si>
  <si>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</si>
  <si>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</si>
  <si>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</si>
  <si>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</si>
  <si>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</si>
  <si>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</si>
  <si>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</si>
  <si>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</si>
  <si>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</si>
  <si>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</si>
  <si>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</si>
  <si>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</si>
  <si>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</si>
  <si>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</si>
  <si>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</si>
  <si>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</si>
  <si>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Academy for Positive Learning</t>
  </si>
  <si>
    <t>Believers Academy</t>
  </si>
  <si>
    <t>Inlet Grove Community High School</t>
  </si>
  <si>
    <t>Ben Gamla Charter School</t>
  </si>
  <si>
    <t>South Tech Charter Academy</t>
  </si>
  <si>
    <t>Ed Venture</t>
  </si>
  <si>
    <t>Bright Futures Academy</t>
  </si>
  <si>
    <t>Potentials Charter School</t>
  </si>
  <si>
    <t>Palm Beach Maritime Academy</t>
  </si>
  <si>
    <t>Everglades Preparatory Academy</t>
  </si>
  <si>
    <t>Western Academy Charter School</t>
  </si>
  <si>
    <t>Palm Beach School for Autism</t>
  </si>
  <si>
    <t>4020</t>
  </si>
  <si>
    <t>Franklin Academy B</t>
  </si>
  <si>
    <t>Gulfstream Goodwill Transition to Life Academy</t>
  </si>
  <si>
    <t>4061</t>
  </si>
  <si>
    <t>Imagine Schools - Chancellor Campus</t>
  </si>
  <si>
    <t>Gardens School of Technology Arts</t>
  </si>
  <si>
    <t xml:space="preserve">Glades Academy </t>
  </si>
  <si>
    <t>G-Star School of the Arts for Motion Pictures and Television</t>
  </si>
  <si>
    <t>Toussaint L'Ouverture High School for Arts &amp; Social Justice</t>
  </si>
  <si>
    <t>Seagull Academy for Independent Living</t>
  </si>
  <si>
    <t>Montessori Academy of Early Enrichment</t>
  </si>
  <si>
    <t>Quantum High School</t>
  </si>
  <si>
    <t>Somerset Academy Boca</t>
  </si>
  <si>
    <t>Worthington High School</t>
  </si>
  <si>
    <t>3924</t>
  </si>
  <si>
    <t>Palm Beach Maritime Academy HS</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</si>
  <si>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</si>
  <si>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</si>
  <si>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</si>
  <si>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</si>
  <si>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</si>
  <si>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</si>
  <si>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</si>
  <si>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</si>
  <si>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</si>
  <si>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</si>
  <si>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</si>
  <si>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</si>
  <si>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</si>
  <si>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</si>
  <si>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</si>
  <si>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</si>
  <si>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</si>
  <si>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Toussaint L'Ouverture High School</t>
  </si>
  <si>
    <t xml:space="preserve">G-Star School of the Arts </t>
  </si>
  <si>
    <t>Gulfstream Goodwill Life Academy</t>
  </si>
  <si>
    <t>South Tech Preparatory Academy (MS)</t>
  </si>
  <si>
    <t>School Police</t>
  </si>
  <si>
    <t>AT&amp;T</t>
  </si>
  <si>
    <t>Avaya</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</si>
  <si>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</si>
  <si>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</si>
  <si>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</si>
  <si>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</si>
  <si>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</si>
  <si>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WPB-xxxxxx</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</si>
  <si>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</si>
  <si>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</si>
  <si>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</si>
  <si>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</si>
  <si>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</si>
  <si>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</si>
  <si>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</si>
  <si>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</si>
  <si>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</si>
  <si>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</si>
  <si>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</si>
  <si>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</si>
  <si>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</si>
  <si>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</si>
  <si>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</si>
  <si>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</si>
  <si>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</si>
  <si>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</si>
  <si>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The Learning Center at The Els Center of Excellence</t>
  </si>
  <si>
    <t>Revenue Estimate Worksheet: The Learning Center at The Els Center of Excellence - 2791</t>
  </si>
  <si>
    <t>Class Size Cat.</t>
  </si>
  <si>
    <t>Based on the 2015-16 FEFP 4th Calculation</t>
  </si>
  <si>
    <t>3A.   Divide school's Unweighted FTE (UFTE) total computed in Section 1, cell E29 above by the district's total UFTE to obtain school's</t>
  </si>
  <si>
    <t>3B.   Divide school's Weighted FTE (WFTE) total computed in Section 1, cell H29 above by the district's total WFTE to obtain school's</t>
  </si>
  <si>
    <t>in Section 1, cell P29 above:</t>
  </si>
  <si>
    <t>(a) Additional FTE includes FTE earned through Advanced Placement, International Baccalaureate, Advanced International Certificate of Education, Industry Certified Career</t>
  </si>
  <si>
    <t xml:space="preserve">graduation under the dual enrollment program as provided in s. 1011.62(l)(i), F.S.  </t>
  </si>
  <si>
    <t>(g) Numbers entered here will be multiplied by the district level transportation funding per rider. "All Adjusted Fundable Riders" should include both basic and ESE Riders.</t>
  </si>
  <si>
    <t>"All Adjusted ESE Riders" should include only ESE Riders.</t>
  </si>
  <si>
    <t xml:space="preserve">(h) The Federally Connected Student Supplement provides additional funding for students on federal lands that receive Section 8003 impact aide pursuant to s. 1011.62(13), F.S. </t>
  </si>
  <si>
    <t xml:space="preserve">before September 1 of each year whose full-time or job-share responsibility is the classroom instruction of students in prekindergarten through grade 12, including </t>
  </si>
  <si>
    <t>full-time media specialists and certified school counselors serving students in prekindergarten through grade 12, who are funded through the FEFP.</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</si>
  <si>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</si>
  <si>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</si>
  <si>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</si>
  <si>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</si>
  <si>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</si>
  <si>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</si>
  <si>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</si>
  <si>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</si>
  <si>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</si>
  <si>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</si>
  <si>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Oct 2016</t>
  </si>
  <si>
    <t>Feb 2017</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</si>
  <si>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</si>
  <si>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</si>
  <si>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</si>
  <si>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</si>
  <si>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</si>
  <si>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</si>
  <si>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</si>
  <si>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Revenue Estimate Worksheet: Gulfstream Goodwill Transition to Life Academy - 3345</t>
  </si>
  <si>
    <t>PY Final FEFP</t>
  </si>
  <si>
    <t>PY Dig C/R A/R</t>
  </si>
  <si>
    <t>PY Digital C/R</t>
  </si>
  <si>
    <t>Y</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</si>
  <si>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</si>
  <si>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</si>
  <si>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</si>
  <si>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</si>
  <si>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</si>
  <si>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</si>
  <si>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(i) Teacher Classroom Supply Assistance Program allocation pursuant to s. 1012.71, F.S., for certified teachers employed by a public school district or public charter school</t>
  </si>
  <si>
    <t xml:space="preserve">(j) Funding based on student eligibility and meals provided, if participating in the National School Lunch Program. </t>
  </si>
  <si>
    <t>(k) Consistent with s. 1002.33(20)(a), F.S., for charter schools with a population of 75% or more ESE students, the administrative fee shall be calculated based on</t>
  </si>
  <si>
    <t>PY Class Size Cat.</t>
  </si>
  <si>
    <t>MS Course Recovery</t>
  </si>
  <si>
    <t>Feb 2018</t>
  </si>
  <si>
    <t>K-12 Initiative Grant</t>
  </si>
  <si>
    <t>(b)(d)</t>
  </si>
  <si>
    <t>(e)</t>
  </si>
  <si>
    <t>19.  Federally Connected Student Supplement</t>
  </si>
  <si>
    <t>(i)</t>
  </si>
  <si>
    <t>(d) The Digital Classroom Allocation is provided pursuant to s. 1011.62(12), F.S.</t>
  </si>
  <si>
    <t xml:space="preserve">Education (CAPE), Early High School Graduation and the small district ESE Supplement, pursuant to s. 1011.62(1)(l-p), F.S. </t>
  </si>
  <si>
    <t>(e) School districts are required to pay for instructional materials used for the instruction of public high school students who are earning credit toward high school</t>
  </si>
  <si>
    <t>funding for which charter students may be eligible.  To calculate the administrative fee to be withheld for schools with more than 250 students, divide the school</t>
  </si>
  <si>
    <t xml:space="preserve">population into 250. Multiply that fraction times the funds available, then times 5%.  </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</si>
  <si>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</si>
  <si>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</si>
  <si>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19.  Federally Connected Student Supplement (g)</t>
  </si>
  <si>
    <t>2018-19</t>
  </si>
  <si>
    <t>Revenue Estimate Worksheet: Sports Leadership &amp; Management (SLAM) MHS (Boca) - 4103</t>
  </si>
  <si>
    <t>Sports Leadership Arts Management (SLAM) - Boca</t>
  </si>
  <si>
    <t>9.    Mental Health Assistance Allocation (UFTE share)</t>
  </si>
  <si>
    <t>10.  Total Funds Compression Allocation (UFTE share)</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</si>
  <si>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</si>
  <si>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</si>
  <si>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</si>
  <si>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</si>
  <si>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</si>
  <si>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</si>
  <si>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</si>
  <si>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</si>
  <si>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</si>
  <si>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</si>
  <si>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 (RLA)</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</si>
  <si>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</si>
  <si>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</si>
  <si>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</si>
  <si>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</si>
  <si>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</si>
  <si>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</si>
  <si>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</si>
  <si>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</si>
  <si>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</si>
  <si>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</si>
  <si>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</si>
  <si>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</si>
  <si>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</si>
  <si>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</si>
  <si>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11.  Sparsity Supplement (WFTE share)</t>
  </si>
  <si>
    <t>12.  Reading Allocation (WFTE share)</t>
  </si>
  <si>
    <t>(k)</t>
  </si>
  <si>
    <t>Somerset Academy Wellington</t>
  </si>
  <si>
    <t>Revenue Estimate Worksheet: Somerset Academy Wellington - 4031</t>
  </si>
  <si>
    <t>13.  Discretionary Local Effort (WFTE share)</t>
  </si>
  <si>
    <t>14.  Proration to Funds Available (WFTE share)</t>
  </si>
  <si>
    <t>PY Safe Schl Alloc</t>
  </si>
  <si>
    <t>WPB-229862</t>
  </si>
  <si>
    <t>WPB-229839</t>
  </si>
  <si>
    <t>SWA Fees</t>
  </si>
  <si>
    <t>15.  Teacher Salary Increase (WFTE share)</t>
  </si>
  <si>
    <t>FL AG - FY20</t>
  </si>
  <si>
    <t>FY21 TSIA</t>
  </si>
  <si>
    <t>2021-22</t>
  </si>
  <si>
    <t>(f) This allocation will be frozen as of the 2021-22 FEFP Second Calculation and will not be recalculated throughout the year. Charter school allocations should be</t>
  </si>
  <si>
    <t xml:space="preserve">distributed on weighted FTE (or base funding as is done in the FEFP) and should not be recalculated with fluctuations in student enrollment later in the year. </t>
  </si>
  <si>
    <t>WPB-240538</t>
  </si>
  <si>
    <r>
      <t>WPB-</t>
    </r>
    <r>
      <rPr>
        <sz val="10"/>
        <rFont val="Calibri"/>
        <family val="2"/>
      </rPr>
      <t>240321</t>
    </r>
  </si>
  <si>
    <t>WPB-241198</t>
  </si>
  <si>
    <t>WPB-241201</t>
  </si>
  <si>
    <t>Oct 2021</t>
  </si>
  <si>
    <t>Feb 2022</t>
  </si>
  <si>
    <t>WPB-242548</t>
  </si>
  <si>
    <t>WPB-242343</t>
  </si>
  <si>
    <t>FY21 CSTAG Training</t>
  </si>
  <si>
    <t>TSIA deducted 07/21</t>
  </si>
  <si>
    <t>Unused FY21 TSIA Funds</t>
  </si>
  <si>
    <t>Unused FY21 TSIA add'l adj</t>
  </si>
  <si>
    <t>-</t>
  </si>
  <si>
    <t>Palms West Charter School</t>
  </si>
  <si>
    <t>1.   2021-22 FEFP State and Local Funding</t>
  </si>
  <si>
    <t>WPB-244546</t>
  </si>
  <si>
    <t>WPB-245543</t>
  </si>
  <si>
    <t>WPB-245095</t>
  </si>
  <si>
    <t>SCHOOL CLOSED 03/11/22</t>
  </si>
  <si>
    <t>WPB-247889</t>
  </si>
  <si>
    <t>WPB-248853</t>
  </si>
  <si>
    <t>WPB-248085</t>
  </si>
  <si>
    <t>WPB-248086</t>
  </si>
  <si>
    <t>WPB-248087</t>
  </si>
  <si>
    <t>Ends June 2022</t>
  </si>
  <si>
    <t>Ends May 2022</t>
  </si>
  <si>
    <t>16.  Additional Student Reserve Allocation</t>
  </si>
  <si>
    <t>17.  Class Size Reduction Funds:</t>
  </si>
  <si>
    <t>18.  Student Transportation</t>
  </si>
  <si>
    <t>20.  Florida Teachers Classroom Supply Assistance Program</t>
  </si>
  <si>
    <t>21.  Food Service Allocation</t>
  </si>
  <si>
    <t>22.  Funding for the purpose of calculating the administrative fee for ESE charter schools.</t>
  </si>
  <si>
    <t>17.  Class size Reduction Funds:</t>
  </si>
  <si>
    <t>WPB-249234</t>
  </si>
  <si>
    <t>WPB-249895</t>
  </si>
  <si>
    <t>WPB-249896</t>
  </si>
  <si>
    <t>WPB-249660</t>
  </si>
  <si>
    <t>WPB-249250</t>
  </si>
  <si>
    <t>TSIA deducted 02/22</t>
  </si>
  <si>
    <t>Total Estimated Revenue - 8.5 months - School closed 03/11/22 - Operated 9 of 18 workdays in March 2022</t>
  </si>
  <si>
    <t>Based on the FLDOE 2021-22 FEFP Final Calculation</t>
  </si>
  <si>
    <t>FY 2021-2022 Final Payment</t>
  </si>
  <si>
    <r>
      <rPr>
        <b/>
        <sz val="10"/>
        <color indexed="12"/>
        <rFont val="Calibri"/>
        <family val="2"/>
      </rPr>
      <t xml:space="preserve">Final 2022 - </t>
    </r>
    <r>
      <rPr>
        <b/>
        <sz val="10"/>
        <rFont val="Calibri"/>
        <family val="2"/>
      </rPr>
      <t xml:space="preserve">FY </t>
    </r>
    <r>
      <rPr>
        <b/>
        <sz val="10"/>
        <color indexed="12"/>
        <rFont val="Calibri"/>
        <family val="2"/>
      </rPr>
      <t xml:space="preserve">2022 </t>
    </r>
    <r>
      <rPr>
        <b/>
        <sz val="10"/>
        <rFont val="Calibri"/>
        <family val="2"/>
      </rPr>
      <t>Charter School FTE Payment</t>
    </r>
  </si>
  <si>
    <t>FTE FINAL 22</t>
  </si>
  <si>
    <t xml:space="preserve">FY 2022 final FTE payment amount per Consolidated tab  </t>
  </si>
  <si>
    <t>Charter School Fiscal Oversight web page.</t>
  </si>
  <si>
    <r>
      <rPr>
        <b/>
        <sz val="10"/>
        <rFont val="Calibri"/>
        <family val="2"/>
      </rPr>
      <t>• FDOE 2021-22 Final Survey</t>
    </r>
  </si>
  <si>
    <t>1. The following file supporting the Final FY22 FEFP payment calculation has been uploaded to the District's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</si>
</sst>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s>
  <fonts count="43" x14ac:knownFonts="1">
    <font>
      <sz val="10"/>
      <name val="Arial"/>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sz val="9"/>
      <color indexed="81"/>
      <name val="Tahoma"/>
      <family val="2"/>
    </font>
    <font>
      <b/>
      <sz val="10"/>
      <name val="Calibri"/>
      <family val="2"/>
    </font>
    <font>
      <b/>
      <sz val="8"/>
      <name val="Arial"/>
      <family val="2"/>
    </font>
    <font>
      <b/>
      <sz val="10"/>
      <color indexed="12"/>
      <name val="Calibri"/>
      <family val="2"/>
    </font>
    <font>
      <sz val="10"/>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indexed="8"/>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sz val="10"/>
      <color rgb="FFFFFF00"/>
      <name val="Calibri"/>
      <family val="2"/>
      <scheme val="minor"/>
    </font>
    <font>
      <b/>
      <u/>
      <sz val="1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2">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s>
  <cellStyleXfs count="11">
    <xf numFmtId="0" fontId="0" fillId="0" borderId="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4" fontId="12"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2" fillId="0" borderId="0"/>
    <xf numFmtId="9" fontId="12" fillId="0" borderId="0" applyFont="0" applyFill="0" applyBorder="0" applyAlignment="0" applyProtection="0"/>
  </cellStyleXfs>
  <cellXfs count="890">
    <xf numFmtId="0" fontId="0" fillId="0" borderId="0" xfId="0"/>
    <xf numFmtId="0" fontId="13" fillId="0" borderId="0" xfId="0" quotePrefix="1" applyFont="1" applyAlignment="1">
      <alignment horizontal="left"/>
    </xf>
    <xf numFmtId="0" fontId="13" fillId="0" borderId="0" xfId="0" applyFont="1" applyAlignment="1"/>
    <xf numFmtId="0" fontId="14" fillId="0" borderId="0" xfId="0" applyFont="1" applyAlignment="1"/>
    <xf numFmtId="4" fontId="15" fillId="0" borderId="0" xfId="0" applyNumberFormat="1" applyFont="1" applyAlignment="1"/>
    <xf numFmtId="4" fontId="15" fillId="2" borderId="0" xfId="0" applyNumberFormat="1" applyFont="1" applyFill="1" applyAlignment="1"/>
    <xf numFmtId="4" fontId="15" fillId="2" borderId="0" xfId="0" applyNumberFormat="1" applyFont="1" applyFill="1" applyAlignment="1">
      <alignment horizontal="left"/>
    </xf>
    <xf numFmtId="0" fontId="16" fillId="0" borderId="0" xfId="0" applyFont="1" applyAlignment="1">
      <alignment horizontal="center"/>
    </xf>
    <xf numFmtId="7" fontId="17" fillId="0" borderId="0" xfId="0" applyNumberFormat="1" applyFont="1" applyBorder="1" applyAlignment="1">
      <alignment horizontal="center"/>
    </xf>
    <xf numFmtId="168" fontId="14" fillId="0" borderId="0" xfId="0" applyNumberFormat="1" applyFont="1" applyBorder="1" applyAlignment="1">
      <alignment wrapText="1"/>
    </xf>
    <xf numFmtId="4" fontId="14" fillId="0" borderId="0" xfId="0" applyNumberFormat="1" applyFont="1" applyBorder="1" applyAlignment="1">
      <alignment horizontal="center" wrapText="1"/>
    </xf>
    <xf numFmtId="164" fontId="14" fillId="0" borderId="0" xfId="6" applyFont="1" applyBorder="1" applyAlignment="1">
      <alignment horizontal="center" wrapText="1"/>
    </xf>
    <xf numFmtId="0" fontId="16" fillId="2" borderId="0" xfId="0" applyFont="1" applyFill="1" applyAlignment="1">
      <alignment horizontal="center"/>
    </xf>
    <xf numFmtId="7" fontId="17" fillId="2" borderId="0" xfId="0" applyNumberFormat="1" applyFont="1" applyFill="1" applyBorder="1" applyAlignment="1">
      <alignment horizontal="center"/>
    </xf>
    <xf numFmtId="168" fontId="14" fillId="2" borderId="0" xfId="0" applyNumberFormat="1" applyFont="1" applyFill="1" applyBorder="1" applyAlignment="1">
      <alignment wrapText="1"/>
    </xf>
    <xf numFmtId="4" fontId="14" fillId="2" borderId="0" xfId="0" applyNumberFormat="1" applyFont="1" applyFill="1" applyBorder="1" applyAlignment="1">
      <alignment horizontal="center" wrapText="1"/>
    </xf>
    <xf numFmtId="164" fontId="14" fillId="2" borderId="0" xfId="6" applyFont="1" applyFill="1" applyBorder="1" applyAlignment="1">
      <alignment horizontal="center" wrapText="1"/>
    </xf>
    <xf numFmtId="4" fontId="14" fillId="0" borderId="1" xfId="0" applyNumberFormat="1" applyFont="1" applyBorder="1" applyAlignment="1">
      <alignment horizontal="center" wrapText="1"/>
    </xf>
    <xf numFmtId="164" fontId="14" fillId="0" borderId="1" xfId="6" applyFont="1" applyBorder="1" applyAlignment="1">
      <alignment horizontal="center" wrapText="1"/>
    </xf>
    <xf numFmtId="4" fontId="14" fillId="2" borderId="1" xfId="0" applyNumberFormat="1" applyFont="1" applyFill="1" applyBorder="1" applyAlignment="1">
      <alignment horizontal="center" wrapText="1"/>
    </xf>
    <xf numFmtId="164" fontId="18" fillId="2" borderId="1" xfId="6" applyFont="1" applyFill="1" applyBorder="1" applyAlignment="1">
      <alignment horizontal="center" wrapText="1"/>
    </xf>
    <xf numFmtId="4" fontId="14" fillId="0" borderId="1" xfId="0" quotePrefix="1" applyNumberFormat="1" applyFont="1" applyBorder="1" applyAlignment="1">
      <alignment horizontal="center"/>
    </xf>
    <xf numFmtId="164" fontId="14" fillId="0" borderId="1" xfId="6" quotePrefix="1" applyFont="1" applyBorder="1" applyAlignment="1">
      <alignment horizontal="center"/>
    </xf>
    <xf numFmtId="4" fontId="14" fillId="2" borderId="1" xfId="0" quotePrefix="1" applyNumberFormat="1" applyFont="1" applyFill="1" applyBorder="1" applyAlignment="1">
      <alignment horizontal="center"/>
    </xf>
    <xf numFmtId="164" fontId="14" fillId="2" borderId="1" xfId="6" quotePrefix="1" applyFont="1" applyFill="1" applyBorder="1" applyAlignment="1">
      <alignment horizontal="center"/>
    </xf>
    <xf numFmtId="170" fontId="14" fillId="0" borderId="0" xfId="6" applyNumberFormat="1" applyFont="1" applyBorder="1" applyAlignment="1">
      <alignment horizontal="center"/>
    </xf>
    <xf numFmtId="170" fontId="14" fillId="2" borderId="0" xfId="6" applyNumberFormat="1" applyFont="1" applyFill="1" applyBorder="1" applyAlignment="1">
      <alignment horizontal="center"/>
    </xf>
    <xf numFmtId="0" fontId="14" fillId="0" borderId="0" xfId="0" applyFont="1" applyBorder="1" applyAlignment="1">
      <alignment horizontal="right"/>
    </xf>
    <xf numFmtId="2" fontId="14" fillId="0" borderId="0" xfId="0" applyNumberFormat="1" applyFont="1" applyBorder="1" applyAlignment="1">
      <alignment horizontal="center"/>
    </xf>
    <xf numFmtId="0" fontId="14" fillId="2" borderId="0" xfId="0" applyFont="1" applyFill="1" applyBorder="1" applyAlignment="1">
      <alignment horizontal="right"/>
    </xf>
    <xf numFmtId="2" fontId="19" fillId="2" borderId="0" xfId="0" applyNumberFormat="1" applyFont="1" applyFill="1" applyBorder="1" applyAlignment="1">
      <alignment horizontal="center"/>
    </xf>
    <xf numFmtId="2" fontId="14" fillId="2" borderId="0" xfId="0" applyNumberFormat="1" applyFont="1" applyFill="1" applyBorder="1" applyAlignment="1">
      <alignment horizontal="center"/>
    </xf>
    <xf numFmtId="164" fontId="18" fillId="0" borderId="1" xfId="6" applyFont="1" applyBorder="1" applyAlignment="1">
      <alignment horizontal="center" wrapText="1"/>
    </xf>
    <xf numFmtId="169" fontId="14" fillId="0" borderId="0" xfId="0" applyNumberFormat="1" applyFont="1" applyFill="1" applyBorder="1" applyAlignment="1">
      <alignment horizontal="right"/>
    </xf>
    <xf numFmtId="0" fontId="14" fillId="2" borderId="0" xfId="0" applyFont="1" applyFill="1" applyBorder="1" applyAlignment="1">
      <alignment horizontal="right"/>
    </xf>
    <xf numFmtId="169" fontId="14" fillId="2" borderId="0" xfId="0" applyNumberFormat="1" applyFont="1" applyFill="1" applyBorder="1" applyAlignment="1">
      <alignment horizontal="right"/>
    </xf>
    <xf numFmtId="169" fontId="19" fillId="0" borderId="0" xfId="0" applyNumberFormat="1" applyFont="1" applyFill="1" applyBorder="1" applyAlignment="1">
      <alignment horizontal="right"/>
    </xf>
    <xf numFmtId="169" fontId="19" fillId="2" borderId="0" xfId="0" applyNumberFormat="1" applyFont="1" applyFill="1" applyBorder="1" applyAlignment="1">
      <alignment horizontal="right"/>
    </xf>
    <xf numFmtId="0" fontId="14" fillId="0" borderId="1" xfId="0" applyFont="1" applyBorder="1" applyAlignment="1"/>
    <xf numFmtId="0" fontId="14" fillId="2" borderId="1" xfId="0" applyFont="1" applyFill="1" applyBorder="1" applyAlignment="1"/>
    <xf numFmtId="0" fontId="14" fillId="0" borderId="0" xfId="0" applyFont="1" applyBorder="1" applyAlignment="1">
      <alignment horizontal="center"/>
    </xf>
    <xf numFmtId="0" fontId="14" fillId="0" borderId="0" xfId="0" applyFont="1" applyAlignment="1">
      <alignment horizontal="center"/>
    </xf>
    <xf numFmtId="0" fontId="14" fillId="2" borderId="0" xfId="0" applyFont="1" applyFill="1" applyBorder="1" applyAlignment="1">
      <alignment horizontal="center"/>
    </xf>
    <xf numFmtId="0" fontId="14" fillId="2" borderId="0" xfId="0" applyFont="1" applyFill="1" applyAlignment="1">
      <alignment horizontal="center"/>
    </xf>
    <xf numFmtId="0" fontId="14" fillId="0" borderId="0" xfId="0" quotePrefix="1" applyFont="1" applyAlignment="1">
      <alignment horizontal="center"/>
    </xf>
    <xf numFmtId="0" fontId="14" fillId="2" borderId="0" xfId="0" quotePrefix="1" applyFont="1" applyFill="1" applyAlignment="1">
      <alignment horizontal="center"/>
    </xf>
    <xf numFmtId="4" fontId="19" fillId="2" borderId="1" xfId="0" applyNumberFormat="1" applyFont="1" applyFill="1" applyBorder="1" applyAlignment="1">
      <alignment horizontal="center"/>
    </xf>
    <xf numFmtId="0" fontId="16" fillId="0" borderId="0" xfId="0" quotePrefix="1" applyFont="1" applyBorder="1" applyAlignment="1">
      <alignment horizontal="center"/>
    </xf>
    <xf numFmtId="0" fontId="16" fillId="0" borderId="1" xfId="0" quotePrefix="1" applyFont="1" applyBorder="1" applyAlignment="1">
      <alignment horizontal="center"/>
    </xf>
    <xf numFmtId="4" fontId="14" fillId="0" borderId="0" xfId="0" quotePrefix="1" applyNumberFormat="1" applyFont="1" applyAlignment="1">
      <alignment horizontal="center"/>
    </xf>
    <xf numFmtId="4" fontId="14" fillId="2" borderId="0" xfId="0" quotePrefix="1" applyNumberFormat="1" applyFont="1" applyFill="1" applyAlignment="1">
      <alignment horizontal="center"/>
    </xf>
    <xf numFmtId="0" fontId="14" fillId="2" borderId="0" xfId="0" applyFont="1" applyFill="1" applyAlignment="1">
      <alignment horizontal="left"/>
    </xf>
    <xf numFmtId="0" fontId="14" fillId="0" borderId="0" xfId="0" applyFont="1" applyAlignment="1">
      <alignment horizontal="center"/>
    </xf>
    <xf numFmtId="0" fontId="14" fillId="0" borderId="0" xfId="0" applyFont="1" applyAlignment="1">
      <alignment horizontal="right"/>
    </xf>
    <xf numFmtId="169" fontId="14" fillId="0" borderId="0" xfId="0" applyNumberFormat="1" applyFont="1" applyBorder="1" applyAlignment="1">
      <alignment horizontal="center"/>
    </xf>
    <xf numFmtId="0" fontId="14" fillId="0" borderId="0" xfId="0" quotePrefix="1" applyFont="1" applyBorder="1" applyAlignment="1">
      <alignment horizontal="center"/>
    </xf>
    <xf numFmtId="0" fontId="14" fillId="2" borderId="0" xfId="0" applyFont="1" applyFill="1" applyAlignment="1">
      <alignment horizontal="right"/>
    </xf>
    <xf numFmtId="169" fontId="14" fillId="2" borderId="0" xfId="0" applyNumberFormat="1" applyFont="1" applyFill="1" applyBorder="1" applyAlignment="1">
      <alignment horizontal="center"/>
    </xf>
    <xf numFmtId="4" fontId="14" fillId="2" borderId="0" xfId="0" applyNumberFormat="1" applyFont="1" applyFill="1" applyAlignment="1">
      <alignment horizontal="center"/>
    </xf>
    <xf numFmtId="0" fontId="14" fillId="2" borderId="0" xfId="0" quotePrefix="1" applyFont="1" applyFill="1" applyBorder="1" applyAlignment="1">
      <alignment horizontal="center"/>
    </xf>
    <xf numFmtId="16" fontId="14" fillId="0" borderId="0" xfId="0" quotePrefix="1" applyNumberFormat="1" applyFont="1" applyAlignment="1">
      <alignment horizontal="right"/>
    </xf>
    <xf numFmtId="0" fontId="14" fillId="0" borderId="0" xfId="0" applyFont="1" applyBorder="1" applyAlignment="1"/>
    <xf numFmtId="16" fontId="14" fillId="2" borderId="0" xfId="0" quotePrefix="1" applyNumberFormat="1" applyFont="1" applyFill="1" applyAlignment="1">
      <alignment horizontal="right"/>
    </xf>
    <xf numFmtId="0" fontId="14" fillId="2" borderId="0" xfId="0" applyFont="1" applyFill="1" applyBorder="1" applyAlignment="1"/>
    <xf numFmtId="0" fontId="14" fillId="0" borderId="0" xfId="0" quotePrefix="1" applyFont="1" applyAlignment="1">
      <alignment horizontal="right"/>
    </xf>
    <xf numFmtId="0" fontId="14" fillId="2" borderId="0" xfId="0" quotePrefix="1" applyFont="1" applyFill="1" applyAlignment="1">
      <alignment horizontal="right"/>
    </xf>
    <xf numFmtId="169" fontId="14" fillId="2" borderId="2" xfId="0" applyNumberFormat="1" applyFont="1" applyFill="1" applyBorder="1" applyAlignment="1">
      <alignment horizontal="center"/>
    </xf>
    <xf numFmtId="165" fontId="14" fillId="0" borderId="0" xfId="4" applyFont="1" applyBorder="1" applyAlignment="1">
      <alignment horizontal="right"/>
    </xf>
    <xf numFmtId="165" fontId="14" fillId="2" borderId="0" xfId="4" applyFont="1" applyFill="1" applyBorder="1" applyAlignment="1">
      <alignment horizontal="right"/>
    </xf>
    <xf numFmtId="169" fontId="14" fillId="2" borderId="3" xfId="0" applyNumberFormat="1" applyFont="1" applyFill="1" applyBorder="1" applyAlignment="1">
      <alignment horizontal="center"/>
    </xf>
    <xf numFmtId="165" fontId="14" fillId="2" borderId="0" xfId="4" applyFont="1" applyFill="1" applyBorder="1" applyAlignment="1">
      <alignment horizontal="right"/>
    </xf>
    <xf numFmtId="4" fontId="14" fillId="0" borderId="0" xfId="0" quotePrefix="1" applyNumberFormat="1" applyFont="1" applyAlignment="1">
      <alignment horizontal="center"/>
    </xf>
    <xf numFmtId="38" fontId="14" fillId="2" borderId="0" xfId="0" quotePrefix="1" applyNumberFormat="1" applyFont="1" applyFill="1" applyAlignment="1"/>
    <xf numFmtId="0" fontId="14" fillId="0" borderId="1" xfId="0" applyFont="1" applyBorder="1" applyAlignment="1">
      <alignment horizontal="center"/>
    </xf>
    <xf numFmtId="0" fontId="14" fillId="2" borderId="1" xfId="0" applyFont="1" applyFill="1" applyBorder="1" applyAlignment="1">
      <alignment horizontal="center"/>
    </xf>
    <xf numFmtId="7" fontId="14" fillId="3" borderId="0" xfId="0" applyNumberFormat="1" applyFont="1" applyFill="1" applyAlignment="1"/>
    <xf numFmtId="7" fontId="14" fillId="2" borderId="0" xfId="0" applyNumberFormat="1" applyFont="1" applyFill="1" applyAlignment="1"/>
    <xf numFmtId="7" fontId="14" fillId="3" borderId="0" xfId="0" applyNumberFormat="1" applyFont="1" applyFill="1" applyBorder="1" applyAlignment="1"/>
    <xf numFmtId="7" fontId="14" fillId="2" borderId="0" xfId="0" applyNumberFormat="1" applyFont="1" applyFill="1" applyBorder="1" applyAlignment="1"/>
    <xf numFmtId="7" fontId="14" fillId="3" borderId="1" xfId="0" applyNumberFormat="1" applyFont="1" applyFill="1" applyBorder="1" applyAlignment="1"/>
    <xf numFmtId="7" fontId="14" fillId="2" borderId="1" xfId="0" applyNumberFormat="1" applyFont="1" applyFill="1" applyBorder="1" applyAlignment="1"/>
    <xf numFmtId="0" fontId="20" fillId="0" borderId="0" xfId="0" applyFont="1" applyAlignment="1"/>
    <xf numFmtId="0" fontId="20" fillId="2" borderId="0" xfId="0" applyFont="1" applyFill="1" applyAlignment="1"/>
    <xf numFmtId="170" fontId="14" fillId="2" borderId="3" xfId="0" applyNumberFormat="1" applyFont="1" applyFill="1" applyBorder="1" applyAlignment="1"/>
    <xf numFmtId="3" fontId="14" fillId="0" borderId="0" xfId="0" quotePrefix="1" applyNumberFormat="1" applyFont="1" applyAlignment="1">
      <alignment horizontal="center"/>
    </xf>
    <xf numFmtId="3" fontId="14" fillId="0" borderId="0" xfId="0" quotePrefix="1" applyNumberFormat="1" applyFont="1" applyAlignment="1">
      <alignment horizontal="center"/>
    </xf>
    <xf numFmtId="0" fontId="14" fillId="0" borderId="0" xfId="0" applyFont="1" applyAlignment="1">
      <alignment horizontal="left"/>
    </xf>
    <xf numFmtId="0" fontId="20" fillId="4" borderId="4" xfId="0" applyFont="1" applyFill="1" applyBorder="1" applyAlignment="1">
      <alignment horizontal="center"/>
    </xf>
    <xf numFmtId="0" fontId="18" fillId="2" borderId="0" xfId="0" applyFont="1" applyFill="1" applyAlignment="1"/>
    <xf numFmtId="0" fontId="20" fillId="0" borderId="0" xfId="0" applyFont="1" applyFill="1" applyBorder="1" applyAlignment="1"/>
    <xf numFmtId="0" fontId="18" fillId="2" borderId="0" xfId="0" quotePrefix="1" applyFont="1" applyFill="1" applyAlignment="1">
      <alignment horizontal="left"/>
    </xf>
    <xf numFmtId="0" fontId="18" fillId="0" borderId="0" xfId="0" applyFont="1" applyAlignment="1">
      <alignment horizontal="left"/>
    </xf>
    <xf numFmtId="0" fontId="18" fillId="0" borderId="0" xfId="0" applyFont="1" applyAlignment="1">
      <alignment horizontal="left"/>
    </xf>
    <xf numFmtId="171" fontId="14" fillId="0" borderId="0" xfId="0" applyNumberFormat="1" applyFont="1" applyAlignment="1">
      <alignment horizontal="left"/>
    </xf>
    <xf numFmtId="169" fontId="16" fillId="0" borderId="0" xfId="0" applyNumberFormat="1" applyFont="1" applyFill="1" applyAlignment="1"/>
    <xf numFmtId="0" fontId="14" fillId="0" borderId="0" xfId="0" applyFont="1" applyAlignment="1">
      <alignment vertical="center"/>
    </xf>
    <xf numFmtId="170" fontId="14" fillId="0" borderId="0" xfId="0" applyNumberFormat="1" applyFont="1" applyAlignment="1">
      <alignment vertical="center"/>
    </xf>
    <xf numFmtId="171" fontId="14" fillId="0" borderId="0" xfId="0" applyNumberFormat="1" applyFont="1" applyAlignment="1">
      <alignment horizontal="left" vertical="center"/>
    </xf>
    <xf numFmtId="0" fontId="16" fillId="0" borderId="0" xfId="0" applyFont="1" applyAlignment="1">
      <alignment vertical="center"/>
    </xf>
    <xf numFmtId="172" fontId="14" fillId="0" borderId="0" xfId="0" applyNumberFormat="1" applyFont="1" applyBorder="1" applyAlignment="1"/>
    <xf numFmtId="0" fontId="14" fillId="0" borderId="0" xfId="0" quotePrefix="1" applyFont="1" applyAlignment="1">
      <alignment horizontal="left"/>
    </xf>
    <xf numFmtId="0" fontId="21" fillId="0" borderId="3" xfId="0" applyFont="1" applyBorder="1" applyAlignment="1"/>
    <xf numFmtId="4" fontId="14" fillId="2" borderId="0" xfId="0" applyNumberFormat="1" applyFont="1" applyFill="1" applyAlignment="1">
      <alignment horizontal="left"/>
    </xf>
    <xf numFmtId="0" fontId="16" fillId="0" borderId="0" xfId="0" quotePrefix="1" applyFont="1" applyAlignment="1"/>
    <xf numFmtId="0" fontId="16" fillId="0" borderId="0" xfId="0" quotePrefix="1" applyFont="1" applyAlignment="1">
      <alignment horizontal="right"/>
    </xf>
    <xf numFmtId="49" fontId="16" fillId="0" borderId="0" xfId="0" applyNumberFormat="1" applyFont="1" applyFill="1" applyBorder="1" applyAlignment="1"/>
    <xf numFmtId="49" fontId="16" fillId="0" borderId="0" xfId="0" applyNumberFormat="1" applyFont="1" applyFill="1" applyBorder="1" applyAlignment="1" applyProtection="1">
      <protection locked="0"/>
    </xf>
    <xf numFmtId="7" fontId="20" fillId="0" borderId="0" xfId="0" quotePrefix="1" applyNumberFormat="1" applyFont="1" applyBorder="1" applyAlignment="1">
      <alignment horizontal="center"/>
    </xf>
    <xf numFmtId="7" fontId="20" fillId="0" borderId="0" xfId="0" applyNumberFormat="1" applyFont="1" applyBorder="1" applyAlignment="1">
      <alignment horizontal="center"/>
    </xf>
    <xf numFmtId="0" fontId="20" fillId="0" borderId="1" xfId="0" applyFont="1" applyBorder="1" applyAlignment="1">
      <alignment horizontal="center"/>
    </xf>
    <xf numFmtId="0" fontId="21" fillId="0" borderId="1" xfId="0" quotePrefix="1" applyFont="1" applyBorder="1" applyAlignment="1"/>
    <xf numFmtId="0" fontId="14" fillId="0" borderId="1" xfId="0" quotePrefix="1" applyFont="1" applyBorder="1" applyAlignment="1">
      <alignment horizontal="center"/>
    </xf>
    <xf numFmtId="172" fontId="14" fillId="0" borderId="1" xfId="0" applyNumberFormat="1" applyFont="1" applyBorder="1" applyAlignment="1"/>
    <xf numFmtId="43" fontId="14" fillId="0" borderId="1" xfId="1" applyFont="1" applyBorder="1" applyAlignment="1"/>
    <xf numFmtId="167" fontId="14" fillId="2" borderId="1" xfId="0" applyNumberFormat="1" applyFont="1" applyFill="1" applyBorder="1" applyAlignment="1"/>
    <xf numFmtId="170" fontId="14" fillId="2" borderId="1" xfId="6" applyNumberFormat="1" applyFont="1" applyFill="1" applyBorder="1" applyAlignment="1"/>
    <xf numFmtId="43" fontId="14" fillId="0" borderId="5" xfId="1" applyFont="1" applyBorder="1" applyAlignment="1"/>
    <xf numFmtId="170" fontId="14" fillId="2" borderId="5" xfId="6" applyNumberFormat="1" applyFont="1" applyFill="1" applyBorder="1" applyAlignment="1"/>
    <xf numFmtId="172" fontId="14" fillId="0" borderId="5" xfId="0" applyNumberFormat="1" applyFont="1" applyBorder="1" applyAlignment="1"/>
    <xf numFmtId="169" fontId="14" fillId="2" borderId="5" xfId="0" applyNumberFormat="1" applyFont="1" applyFill="1" applyBorder="1" applyAlignment="1"/>
    <xf numFmtId="43" fontId="14" fillId="0" borderId="0" xfId="1" applyFont="1" applyBorder="1" applyAlignment="1"/>
    <xf numFmtId="169" fontId="14" fillId="2" borderId="0" xfId="0" applyNumberFormat="1" applyFont="1" applyFill="1" applyBorder="1" applyAlignment="1"/>
    <xf numFmtId="170" fontId="14" fillId="2" borderId="0" xfId="6" applyNumberFormat="1" applyFont="1" applyFill="1" applyBorder="1" applyAlignment="1"/>
    <xf numFmtId="0" fontId="14" fillId="0" borderId="0" xfId="0" applyFont="1" applyBorder="1" applyAlignment="1">
      <alignment horizontal="left"/>
    </xf>
    <xf numFmtId="169" fontId="14" fillId="0" borderId="0" xfId="0" applyNumberFormat="1" applyFont="1" applyBorder="1" applyAlignment="1"/>
    <xf numFmtId="2" fontId="20" fillId="0" borderId="1" xfId="0" applyNumberFormat="1" applyFont="1" applyBorder="1" applyAlignment="1"/>
    <xf numFmtId="0" fontId="14" fillId="0" borderId="0" xfId="0" applyFont="1" applyBorder="1" applyAlignment="1">
      <alignment horizontal="left"/>
    </xf>
    <xf numFmtId="0" fontId="14" fillId="0" borderId="0" xfId="0" quotePrefix="1" applyFont="1" applyBorder="1" applyAlignment="1">
      <alignment horizontal="right"/>
    </xf>
    <xf numFmtId="2" fontId="14" fillId="0" borderId="0" xfId="0" applyNumberFormat="1" applyFont="1" applyFill="1" applyBorder="1" applyAlignment="1"/>
    <xf numFmtId="2" fontId="14" fillId="0" borderId="0" xfId="0" quotePrefix="1" applyNumberFormat="1" applyFont="1" applyFill="1" applyBorder="1" applyAlignment="1">
      <alignment horizontal="right"/>
    </xf>
    <xf numFmtId="170" fontId="14" fillId="2" borderId="3" xfId="6" applyNumberFormat="1" applyFont="1" applyFill="1" applyBorder="1" applyAlignment="1"/>
    <xf numFmtId="2" fontId="14" fillId="0" borderId="0" xfId="0" applyNumberFormat="1" applyFont="1" applyFill="1" applyBorder="1" applyAlignment="1">
      <alignment horizontal="center"/>
    </xf>
    <xf numFmtId="169" fontId="14" fillId="0" borderId="0" xfId="0" applyNumberFormat="1" applyFont="1" applyFill="1" applyBorder="1" applyAlignment="1">
      <alignment horizontal="center"/>
    </xf>
    <xf numFmtId="2" fontId="14" fillId="0" borderId="0" xfId="0" quotePrefix="1" applyNumberFormat="1" applyFont="1" applyFill="1" applyBorder="1" applyAlignment="1">
      <alignment horizontal="center"/>
    </xf>
    <xf numFmtId="0" fontId="22" fillId="0" borderId="0" xfId="0" quotePrefix="1" applyFont="1" applyBorder="1" applyAlignment="1">
      <alignment horizontal="center"/>
    </xf>
    <xf numFmtId="0" fontId="22" fillId="0" borderId="1" xfId="0" quotePrefix="1" applyFont="1" applyBorder="1" applyAlignment="1">
      <alignment horizontal="center"/>
    </xf>
    <xf numFmtId="0" fontId="22" fillId="2" borderId="1" xfId="0" applyFont="1" applyFill="1" applyBorder="1" applyAlignment="1">
      <alignment horizontal="center"/>
    </xf>
    <xf numFmtId="43" fontId="23" fillId="4" borderId="1" xfId="1" applyFont="1" applyFill="1" applyBorder="1" applyAlignment="1"/>
    <xf numFmtId="170" fontId="22" fillId="2" borderId="1" xfId="6" applyNumberFormat="1" applyFont="1" applyFill="1" applyBorder="1" applyAlignment="1"/>
    <xf numFmtId="170" fontId="14" fillId="2" borderId="1" xfId="0" applyNumberFormat="1" applyFont="1" applyFill="1" applyBorder="1" applyAlignment="1"/>
    <xf numFmtId="43" fontId="14" fillId="0" borderId="6" xfId="1" applyFont="1" applyBorder="1" applyAlignment="1"/>
    <xf numFmtId="170" fontId="14" fillId="2" borderId="6" xfId="6" applyNumberFormat="1" applyFont="1" applyFill="1" applyBorder="1" applyAlignment="1"/>
    <xf numFmtId="43" fontId="19" fillId="0" borderId="1" xfId="1" applyFont="1" applyBorder="1" applyAlignment="1">
      <alignment horizontal="center"/>
    </xf>
    <xf numFmtId="0" fontId="14" fillId="0" borderId="0" xfId="0" quotePrefix="1" applyFont="1" applyAlignment="1">
      <alignment horizontal="center"/>
    </xf>
    <xf numFmtId="4" fontId="24" fillId="0" borderId="0" xfId="0" applyNumberFormat="1" applyFont="1" applyFill="1" applyBorder="1" applyAlignment="1"/>
    <xf numFmtId="166" fontId="19" fillId="0" borderId="0" xfId="0" applyNumberFormat="1" applyFont="1" applyAlignment="1">
      <alignment horizontal="center"/>
    </xf>
    <xf numFmtId="166" fontId="19" fillId="0" borderId="0" xfId="0" applyNumberFormat="1" applyFont="1" applyAlignment="1"/>
    <xf numFmtId="43" fontId="14" fillId="0" borderId="0" xfId="1" applyFont="1" applyFill="1" applyBorder="1" applyAlignment="1"/>
    <xf numFmtId="0" fontId="14" fillId="0" borderId="1" xfId="0" applyFont="1" applyBorder="1" applyAlignment="1">
      <alignment horizontal="left"/>
    </xf>
    <xf numFmtId="166" fontId="19" fillId="0" borderId="1" xfId="0" applyNumberFormat="1" applyFont="1" applyBorder="1" applyAlignment="1">
      <alignment horizontal="center"/>
    </xf>
    <xf numFmtId="166" fontId="19" fillId="0" borderId="0" xfId="0" applyNumberFormat="1" applyFont="1" applyBorder="1" applyAlignment="1">
      <alignment horizontal="center"/>
    </xf>
    <xf numFmtId="0" fontId="14" fillId="2" borderId="0" xfId="0" applyFont="1" applyFill="1" applyBorder="1" applyAlignment="1">
      <alignment horizontal="left"/>
    </xf>
    <xf numFmtId="0" fontId="14" fillId="2" borderId="1" xfId="0" applyFont="1" applyFill="1" applyBorder="1" applyAlignment="1">
      <alignment horizontal="left"/>
    </xf>
    <xf numFmtId="166" fontId="19" fillId="2" borderId="0" xfId="0" applyNumberFormat="1" applyFont="1" applyFill="1" applyBorder="1" applyAlignment="1">
      <alignment horizontal="left"/>
    </xf>
    <xf numFmtId="166" fontId="19" fillId="2" borderId="1" xfId="0" applyNumberFormat="1" applyFont="1" applyFill="1" applyBorder="1" applyAlignment="1">
      <alignment horizontal="left"/>
    </xf>
    <xf numFmtId="166" fontId="14" fillId="0" borderId="0" xfId="0" applyNumberFormat="1" applyFont="1" applyAlignment="1"/>
    <xf numFmtId="38" fontId="14" fillId="2" borderId="1" xfId="0" applyNumberFormat="1" applyFont="1" applyFill="1" applyBorder="1" applyAlignment="1"/>
    <xf numFmtId="166" fontId="14" fillId="2" borderId="0" xfId="0" applyNumberFormat="1" applyFont="1" applyFill="1" applyAlignment="1"/>
    <xf numFmtId="0" fontId="14" fillId="2" borderId="0" xfId="0" applyFont="1" applyFill="1" applyAlignment="1"/>
    <xf numFmtId="3" fontId="14" fillId="2" borderId="1" xfId="0" applyNumberFormat="1" applyFont="1" applyFill="1" applyBorder="1" applyAlignment="1"/>
    <xf numFmtId="170" fontId="14" fillId="0" borderId="0" xfId="6" applyNumberFormat="1" applyFont="1" applyBorder="1" applyAlignment="1"/>
    <xf numFmtId="41" fontId="14" fillId="0" borderId="0" xfId="1" applyNumberFormat="1" applyFont="1" applyFill="1" applyBorder="1" applyAlignment="1"/>
    <xf numFmtId="3" fontId="14" fillId="2" borderId="0" xfId="0" applyNumberFormat="1" applyFont="1" applyFill="1" applyBorder="1" applyAlignment="1"/>
    <xf numFmtId="0" fontId="24" fillId="0" borderId="0" xfId="0" applyFont="1" applyAlignment="1"/>
    <xf numFmtId="0" fontId="24" fillId="0" borderId="0" xfId="0" quotePrefix="1" applyFont="1" applyAlignment="1">
      <alignment horizontal="left"/>
    </xf>
    <xf numFmtId="4" fontId="14" fillId="0" borderId="1" xfId="0" applyNumberFormat="1" applyFont="1" applyBorder="1" applyAlignment="1">
      <alignment horizontal="center"/>
    </xf>
    <xf numFmtId="4" fontId="14" fillId="0" borderId="0" xfId="0" applyNumberFormat="1" applyFont="1" applyBorder="1" applyAlignment="1"/>
    <xf numFmtId="165" fontId="14" fillId="0" borderId="0" xfId="4" quotePrefix="1" applyFont="1" applyBorder="1" applyAlignment="1">
      <alignment horizontal="right"/>
    </xf>
    <xf numFmtId="165" fontId="14" fillId="0" borderId="0" xfId="4" applyFont="1" applyBorder="1" applyAlignment="1"/>
    <xf numFmtId="165" fontId="14" fillId="0" borderId="7" xfId="4" quotePrefix="1" applyFont="1" applyBorder="1" applyAlignment="1">
      <alignment horizontal="right"/>
    </xf>
    <xf numFmtId="2" fontId="25" fillId="0" borderId="0" xfId="0" applyNumberFormat="1" applyFont="1" applyBorder="1" applyAlignment="1">
      <alignment horizontal="left"/>
    </xf>
    <xf numFmtId="2" fontId="25" fillId="2" borderId="0" xfId="0" applyNumberFormat="1" applyFont="1" applyFill="1" applyBorder="1" applyAlignment="1">
      <alignment horizontal="left"/>
    </xf>
    <xf numFmtId="4" fontId="14" fillId="2" borderId="0" xfId="0" quotePrefix="1" applyNumberFormat="1" applyFont="1" applyFill="1" applyAlignment="1">
      <alignment horizontal="left"/>
    </xf>
    <xf numFmtId="4" fontId="14" fillId="0" borderId="0" xfId="0" applyNumberFormat="1" applyFont="1" applyAlignment="1">
      <alignment horizontal="center"/>
    </xf>
    <xf numFmtId="0" fontId="20" fillId="0" borderId="0" xfId="0" applyFont="1" applyAlignment="1">
      <alignment horizontal="right"/>
    </xf>
    <xf numFmtId="4" fontId="14" fillId="0" borderId="0" xfId="0" applyNumberFormat="1" applyFont="1" applyFill="1" applyAlignment="1">
      <alignment horizontal="left"/>
    </xf>
    <xf numFmtId="38" fontId="14" fillId="0" borderId="0" xfId="0" quotePrefix="1" applyNumberFormat="1" applyFont="1" applyFill="1" applyAlignment="1"/>
    <xf numFmtId="0" fontId="20" fillId="2" borderId="0" xfId="0" applyFont="1" applyFill="1" applyAlignment="1">
      <alignment horizontal="right"/>
    </xf>
    <xf numFmtId="0" fontId="20" fillId="2" borderId="0" xfId="0" applyFont="1" applyFill="1" applyBorder="1" applyAlignment="1">
      <alignment horizontal="center"/>
    </xf>
    <xf numFmtId="170" fontId="14" fillId="2" borderId="8" xfId="0" applyNumberFormat="1" applyFont="1" applyFill="1" applyBorder="1" applyAlignment="1"/>
    <xf numFmtId="43" fontId="14" fillId="0" borderId="8" xfId="1" applyFont="1" applyBorder="1" applyAlignment="1"/>
    <xf numFmtId="170" fontId="14" fillId="0" borderId="0" xfId="0" applyNumberFormat="1" applyFont="1" applyBorder="1" applyAlignment="1"/>
    <xf numFmtId="170" fontId="14" fillId="0" borderId="0" xfId="0" applyNumberFormat="1" applyFont="1" applyAlignment="1"/>
    <xf numFmtId="0" fontId="16" fillId="0" borderId="0" xfId="0" applyFont="1" applyAlignment="1"/>
    <xf numFmtId="43" fontId="14" fillId="4" borderId="1" xfId="1" applyFont="1" applyFill="1" applyBorder="1" applyAlignment="1"/>
    <xf numFmtId="7" fontId="14" fillId="0" borderId="0" xfId="0" applyNumberFormat="1" applyFont="1" applyBorder="1" applyAlignment="1">
      <alignment horizontal="center"/>
    </xf>
    <xf numFmtId="0" fontId="14" fillId="0" borderId="0" xfId="0" quotePrefix="1" applyFont="1" applyBorder="1" applyAlignment="1">
      <alignment horizontal="center"/>
    </xf>
    <xf numFmtId="170" fontId="14" fillId="2" borderId="0" xfId="0" applyNumberFormat="1" applyFont="1" applyFill="1" applyBorder="1" applyAlignment="1"/>
    <xf numFmtId="0" fontId="26" fillId="0" borderId="0" xfId="0" applyFont="1" applyFill="1" applyBorder="1" applyAlignment="1"/>
    <xf numFmtId="0" fontId="23" fillId="0" borderId="0" xfId="0" applyFont="1" applyAlignment="1">
      <alignment horizontal="center"/>
    </xf>
    <xf numFmtId="43" fontId="23" fillId="4" borderId="6" xfId="1" applyFont="1" applyFill="1" applyBorder="1" applyAlignment="1"/>
    <xf numFmtId="43" fontId="14" fillId="4" borderId="6" xfId="1" applyFont="1" applyFill="1" applyBorder="1" applyAlignment="1"/>
    <xf numFmtId="43" fontId="23" fillId="4" borderId="0" xfId="1" applyFont="1" applyFill="1" applyBorder="1" applyAlignment="1"/>
    <xf numFmtId="43" fontId="14" fillId="4" borderId="0" xfId="1" applyFont="1" applyFill="1" applyBorder="1" applyAlignment="1"/>
    <xf numFmtId="172" fontId="14" fillId="0" borderId="6" xfId="0" applyNumberFormat="1" applyFont="1" applyBorder="1" applyAlignment="1"/>
    <xf numFmtId="0" fontId="14" fillId="0" borderId="0" xfId="0" applyFont="1" applyBorder="1" applyAlignment="1">
      <alignment horizontal="left" indent="1"/>
    </xf>
    <xf numFmtId="43" fontId="27" fillId="4" borderId="6" xfId="1" applyFont="1" applyFill="1" applyBorder="1" applyAlignment="1"/>
    <xf numFmtId="4" fontId="20" fillId="0" borderId="6" xfId="0" applyNumberFormat="1" applyFont="1" applyFill="1" applyBorder="1" applyAlignment="1"/>
    <xf numFmtId="43" fontId="27" fillId="4" borderId="1" xfId="1" applyFont="1" applyFill="1" applyBorder="1" applyAlignment="1"/>
    <xf numFmtId="43" fontId="27" fillId="4" borderId="0" xfId="1" applyFont="1" applyFill="1" applyBorder="1" applyAlignment="1"/>
    <xf numFmtId="4" fontId="20" fillId="0" borderId="0" xfId="0" applyNumberFormat="1" applyFont="1" applyFill="1" applyBorder="1" applyAlignment="1"/>
    <xf numFmtId="173" fontId="14" fillId="0" borderId="9" xfId="1" applyNumberFormat="1" applyFont="1" applyBorder="1" applyAlignment="1"/>
    <xf numFmtId="41" fontId="14" fillId="0" borderId="0" xfId="1" applyNumberFormat="1" applyFont="1" applyBorder="1" applyAlignment="1"/>
    <xf numFmtId="170" fontId="14" fillId="0" borderId="0" xfId="6" applyNumberFormat="1" applyFont="1" applyFill="1" applyBorder="1" applyAlignment="1"/>
    <xf numFmtId="43" fontId="14" fillId="0" borderId="1" xfId="1" applyFont="1" applyFill="1" applyBorder="1" applyAlignment="1"/>
    <xf numFmtId="43" fontId="14" fillId="5" borderId="8" xfId="1" applyFont="1" applyFill="1" applyBorder="1" applyAlignment="1"/>
    <xf numFmtId="0" fontId="14" fillId="0" borderId="0" xfId="0" applyFont="1" applyBorder="1" applyAlignment="1">
      <alignment horizontal="left" indent="2"/>
    </xf>
    <xf numFmtId="2" fontId="14" fillId="0" borderId="0" xfId="0" applyNumberFormat="1" applyFont="1" applyBorder="1" applyAlignment="1">
      <alignment horizontal="center"/>
    </xf>
    <xf numFmtId="0" fontId="14" fillId="0" borderId="0" xfId="7" applyFont="1" applyAlignment="1"/>
    <xf numFmtId="0" fontId="28" fillId="0" borderId="0" xfId="9" applyFont="1"/>
    <xf numFmtId="0" fontId="23" fillId="0" borderId="10" xfId="9" applyFont="1" applyBorder="1" applyAlignment="1">
      <alignment horizontal="right"/>
    </xf>
    <xf numFmtId="0" fontId="20" fillId="0" borderId="11" xfId="9" applyFont="1" applyFill="1" applyBorder="1"/>
    <xf numFmtId="0" fontId="16" fillId="0" borderId="0" xfId="0" applyFont="1"/>
    <xf numFmtId="0" fontId="14" fillId="0" borderId="0" xfId="9" applyFont="1" applyAlignment="1"/>
    <xf numFmtId="0" fontId="29" fillId="0" borderId="0" xfId="9" applyFont="1" applyBorder="1" applyAlignment="1"/>
    <xf numFmtId="0" fontId="20" fillId="0" borderId="1" xfId="9" applyFont="1" applyFill="1" applyBorder="1" applyAlignment="1">
      <alignment horizontal="center"/>
    </xf>
    <xf numFmtId="0" fontId="29" fillId="0" borderId="10" xfId="9" applyFont="1" applyBorder="1"/>
    <xf numFmtId="0" fontId="29" fillId="0" borderId="11" xfId="9" applyFont="1" applyBorder="1" applyAlignment="1">
      <alignment horizontal="center"/>
    </xf>
    <xf numFmtId="0" fontId="29" fillId="0" borderId="0" xfId="9" applyFont="1" applyBorder="1"/>
    <xf numFmtId="44" fontId="28" fillId="0" borderId="0" xfId="9" applyNumberFormat="1" applyFont="1"/>
    <xf numFmtId="0" fontId="29" fillId="0" borderId="0" xfId="9" applyFont="1" applyBorder="1" applyAlignment="1">
      <alignment horizontal="right"/>
    </xf>
    <xf numFmtId="0" fontId="29" fillId="0" borderId="0" xfId="9" applyFont="1" applyFill="1" applyBorder="1" applyAlignment="1">
      <alignment horizontal="right"/>
    </xf>
    <xf numFmtId="43" fontId="20" fillId="0" borderId="1" xfId="3" applyFont="1" applyBorder="1"/>
    <xf numFmtId="0" fontId="29" fillId="0" borderId="0" xfId="9" applyFont="1" applyFill="1" applyBorder="1"/>
    <xf numFmtId="9" fontId="16" fillId="0" borderId="1" xfId="10" applyFont="1" applyBorder="1"/>
    <xf numFmtId="43" fontId="16" fillId="0" borderId="1" xfId="3" applyFont="1" applyBorder="1"/>
    <xf numFmtId="0" fontId="29" fillId="0" borderId="0" xfId="9" applyFont="1"/>
    <xf numFmtId="49" fontId="13" fillId="0" borderId="0" xfId="9" quotePrefix="1" applyNumberFormat="1" applyFont="1" applyAlignment="1">
      <alignment horizontal="left"/>
    </xf>
    <xf numFmtId="0" fontId="14" fillId="0" borderId="0" xfId="7" quotePrefix="1" applyFont="1" applyAlignment="1">
      <alignment horizontal="left"/>
    </xf>
    <xf numFmtId="0" fontId="29" fillId="0" borderId="0" xfId="9" quotePrefix="1" applyFont="1" applyBorder="1" applyAlignment="1">
      <alignment horizontal="left"/>
    </xf>
    <xf numFmtId="43" fontId="29" fillId="0" borderId="5" xfId="1" applyFont="1" applyBorder="1"/>
    <xf numFmtId="43" fontId="14" fillId="0" borderId="0" xfId="1" quotePrefix="1" applyFont="1" applyBorder="1" applyAlignment="1"/>
    <xf numFmtId="43" fontId="29" fillId="0" borderId="0" xfId="1" applyFont="1" applyBorder="1"/>
    <xf numFmtId="41" fontId="29" fillId="0" borderId="5" xfId="1" applyNumberFormat="1" applyFont="1" applyBorder="1"/>
    <xf numFmtId="41" fontId="29" fillId="0" borderId="0" xfId="1" applyNumberFormat="1" applyFont="1" applyBorder="1"/>
    <xf numFmtId="0" fontId="28" fillId="0" borderId="0" xfId="9" applyFont="1" applyBorder="1"/>
    <xf numFmtId="41" fontId="29" fillId="0" borderId="1" xfId="1" applyNumberFormat="1" applyFont="1" applyBorder="1"/>
    <xf numFmtId="0" fontId="23" fillId="0" borderId="5" xfId="9" applyFont="1" applyBorder="1" applyAlignment="1">
      <alignment horizontal="right"/>
    </xf>
    <xf numFmtId="0" fontId="29" fillId="0" borderId="5" xfId="9" applyFont="1" applyBorder="1"/>
    <xf numFmtId="43" fontId="20" fillId="0" borderId="0" xfId="3" applyFont="1" applyBorder="1"/>
    <xf numFmtId="43" fontId="28" fillId="0" borderId="0" xfId="1" applyFont="1"/>
    <xf numFmtId="0" fontId="29" fillId="0" borderId="0" xfId="9" quotePrefix="1" applyFont="1" applyBorder="1" applyAlignment="1">
      <alignment horizontal="left" indent="1"/>
    </xf>
    <xf numFmtId="0" fontId="29" fillId="0" borderId="0" xfId="9" quotePrefix="1" applyFont="1" applyFill="1" applyBorder="1" applyAlignment="1">
      <alignment horizontal="left"/>
    </xf>
    <xf numFmtId="0" fontId="28" fillId="0" borderId="0" xfId="9" quotePrefix="1" applyFont="1" applyAlignment="1">
      <alignment horizontal="left"/>
    </xf>
    <xf numFmtId="43" fontId="28" fillId="0" borderId="0" xfId="1" applyFont="1" applyBorder="1"/>
    <xf numFmtId="43" fontId="14" fillId="0" borderId="6" xfId="1" applyFont="1" applyFill="1" applyBorder="1" applyAlignment="1"/>
    <xf numFmtId="0" fontId="14" fillId="0" borderId="0" xfId="0" quotePrefix="1" applyFont="1" applyBorder="1" applyAlignment="1">
      <alignment horizontal="left"/>
    </xf>
    <xf numFmtId="43" fontId="14" fillId="0" borderId="0" xfId="1" applyFont="1" applyAlignment="1"/>
    <xf numFmtId="0" fontId="17" fillId="0" borderId="0" xfId="0" applyFont="1"/>
    <xf numFmtId="0" fontId="17" fillId="0" borderId="0" xfId="0" applyFont="1" applyAlignment="1">
      <alignment horizontal="left"/>
    </xf>
    <xf numFmtId="0" fontId="17" fillId="0" borderId="0" xfId="0" applyFont="1" applyFill="1" applyAlignment="1"/>
    <xf numFmtId="0" fontId="17" fillId="0" borderId="0" xfId="0" applyFont="1" applyAlignment="1"/>
    <xf numFmtId="1" fontId="17" fillId="0" borderId="0" xfId="0" applyNumberFormat="1" applyFont="1" applyFill="1" applyAlignment="1">
      <alignment horizontal="center"/>
    </xf>
    <xf numFmtId="0" fontId="17" fillId="0" borderId="0" xfId="0" applyFont="1" applyAlignment="1">
      <alignment horizontal="center"/>
    </xf>
    <xf numFmtId="1" fontId="18" fillId="0" borderId="4" xfId="0" applyNumberFormat="1" applyFont="1" applyFill="1" applyBorder="1" applyAlignment="1">
      <alignment horizontal="center"/>
    </xf>
    <xf numFmtId="0" fontId="18" fillId="0" borderId="10" xfId="0" applyFont="1" applyFill="1" applyBorder="1" applyAlignment="1">
      <alignment horizontal="center"/>
    </xf>
    <xf numFmtId="0" fontId="18" fillId="0" borderId="0" xfId="0" applyFont="1" applyFill="1" applyBorder="1" applyAlignment="1">
      <alignment horizontal="center"/>
    </xf>
    <xf numFmtId="1" fontId="17" fillId="0" borderId="0" xfId="7" applyNumberFormat="1" applyFont="1" applyFill="1" applyBorder="1" applyAlignment="1">
      <alignment horizontal="center"/>
    </xf>
    <xf numFmtId="0" fontId="17" fillId="0" borderId="0" xfId="0" quotePrefix="1" applyFont="1" applyFill="1" applyBorder="1" applyAlignment="1"/>
    <xf numFmtId="43" fontId="17" fillId="0" borderId="0" xfId="7" applyNumberFormat="1" applyFont="1" applyFill="1" applyBorder="1" applyAlignment="1"/>
    <xf numFmtId="0" fontId="18" fillId="4" borderId="0" xfId="0" applyFont="1" applyFill="1" applyBorder="1" applyAlignment="1">
      <alignment horizontal="center"/>
    </xf>
    <xf numFmtId="1" fontId="17" fillId="4" borderId="0" xfId="7" applyNumberFormat="1" applyFont="1" applyFill="1" applyBorder="1" applyAlignment="1">
      <alignment horizontal="center"/>
    </xf>
    <xf numFmtId="43" fontId="17" fillId="4" borderId="0" xfId="7" applyNumberFormat="1" applyFont="1" applyFill="1" applyBorder="1" applyAlignment="1"/>
    <xf numFmtId="43" fontId="17" fillId="0" borderId="0" xfId="0" applyNumberFormat="1" applyFont="1" applyFill="1" applyAlignment="1"/>
    <xf numFmtId="0" fontId="17" fillId="0" borderId="0" xfId="0" applyFont="1" applyFill="1" applyBorder="1" applyAlignment="1">
      <alignment horizontal="center"/>
    </xf>
    <xf numFmtId="43" fontId="17" fillId="0" borderId="9" xfId="0" applyNumberFormat="1" applyFont="1" applyFill="1" applyBorder="1" applyAlignment="1"/>
    <xf numFmtId="49" fontId="18" fillId="0" borderId="0" xfId="2" quotePrefix="1" applyNumberFormat="1" applyFont="1" applyAlignment="1">
      <alignment horizontal="left"/>
    </xf>
    <xf numFmtId="0" fontId="18" fillId="0" borderId="0" xfId="7" applyFont="1"/>
    <xf numFmtId="49" fontId="18" fillId="0" borderId="0" xfId="7" applyNumberFormat="1" applyFont="1" applyAlignment="1">
      <alignment horizontal="left"/>
    </xf>
    <xf numFmtId="49" fontId="18" fillId="0" borderId="0" xfId="2" applyNumberFormat="1" applyFont="1" applyAlignment="1">
      <alignment horizontal="left"/>
    </xf>
    <xf numFmtId="49" fontId="18" fillId="0" borderId="4" xfId="7" quotePrefix="1" applyNumberFormat="1" applyFont="1" applyBorder="1" applyAlignment="1">
      <alignment horizontal="center"/>
    </xf>
    <xf numFmtId="0" fontId="18" fillId="0" borderId="4" xfId="7" quotePrefix="1" applyFont="1" applyBorder="1" applyAlignment="1">
      <alignment horizontal="center"/>
    </xf>
    <xf numFmtId="49" fontId="30" fillId="0" borderId="0" xfId="7" quotePrefix="1" applyNumberFormat="1" applyFont="1" applyFill="1" applyAlignment="1">
      <alignment horizontal="center" vertical="center"/>
    </xf>
    <xf numFmtId="177" fontId="30" fillId="0" borderId="0" xfId="7" quotePrefix="1" applyNumberFormat="1" applyFont="1" applyFill="1" applyAlignment="1">
      <alignment horizontal="left"/>
    </xf>
    <xf numFmtId="177" fontId="30" fillId="0" borderId="0" xfId="7" applyNumberFormat="1" applyFont="1" applyFill="1"/>
    <xf numFmtId="0" fontId="17" fillId="0" borderId="0" xfId="7" applyFont="1"/>
    <xf numFmtId="49" fontId="30" fillId="0" borderId="0" xfId="7" applyNumberFormat="1" applyFont="1" applyFill="1" applyAlignment="1">
      <alignment horizontal="center" vertical="center"/>
    </xf>
    <xf numFmtId="0" fontId="17" fillId="0" borderId="0" xfId="7" quotePrefix="1" applyFont="1" applyAlignment="1">
      <alignment horizontal="left"/>
    </xf>
    <xf numFmtId="176" fontId="17" fillId="0" borderId="0" xfId="0" applyNumberFormat="1" applyFont="1"/>
    <xf numFmtId="1" fontId="18" fillId="0" borderId="0" xfId="0" quotePrefix="1" applyNumberFormat="1" applyFont="1" applyFill="1" applyAlignment="1"/>
    <xf numFmtId="1" fontId="17" fillId="0" borderId="0" xfId="0" applyNumberFormat="1" applyFont="1" applyFill="1" applyAlignment="1"/>
    <xf numFmtId="1" fontId="17" fillId="0" borderId="0" xfId="7" applyNumberFormat="1" applyFont="1" applyFill="1" applyBorder="1" applyAlignment="1"/>
    <xf numFmtId="1" fontId="17" fillId="4" borderId="0" xfId="7" applyNumberFormat="1" applyFont="1" applyFill="1" applyBorder="1" applyAlignment="1"/>
    <xf numFmtId="1" fontId="18" fillId="0" borderId="10" xfId="0" applyNumberFormat="1" applyFont="1" applyFill="1" applyBorder="1" applyAlignment="1">
      <alignment horizontal="center"/>
    </xf>
    <xf numFmtId="7" fontId="16" fillId="0" borderId="0" xfId="0" applyNumberFormat="1" applyFont="1" applyFill="1" applyBorder="1" applyAlignment="1">
      <alignment horizontal="left"/>
    </xf>
    <xf numFmtId="0" fontId="16" fillId="0" borderId="0" xfId="0" quotePrefix="1" applyFont="1" applyFill="1" applyAlignment="1"/>
    <xf numFmtId="0" fontId="16" fillId="0" borderId="0" xfId="0" quotePrefix="1" applyFont="1" applyFill="1" applyAlignment="1">
      <alignment horizontal="right"/>
    </xf>
    <xf numFmtId="169" fontId="16" fillId="0" borderId="0" xfId="0" applyNumberFormat="1" applyFont="1" applyFill="1" applyAlignment="1">
      <alignment horizontal="center"/>
    </xf>
    <xf numFmtId="0" fontId="16" fillId="0" borderId="0" xfId="0" applyFont="1" applyFill="1" applyAlignment="1"/>
    <xf numFmtId="0" fontId="14" fillId="0" borderId="0" xfId="0" applyFont="1" applyFill="1" applyBorder="1" applyAlignment="1">
      <alignment horizontal="center"/>
    </xf>
    <xf numFmtId="0" fontId="14" fillId="0" borderId="0" xfId="0" applyFont="1" applyFill="1" applyAlignment="1">
      <alignment horizontal="center"/>
    </xf>
    <xf numFmtId="170" fontId="22" fillId="0" borderId="0" xfId="6" applyNumberFormat="1" applyFont="1" applyFill="1" applyBorder="1" applyAlignment="1"/>
    <xf numFmtId="0" fontId="14" fillId="0" borderId="0" xfId="0" quotePrefix="1" applyFont="1" applyFill="1" applyAlignment="1">
      <alignment horizontal="center"/>
    </xf>
    <xf numFmtId="43" fontId="19" fillId="0" borderId="1" xfId="1" applyFont="1" applyFill="1" applyBorder="1" applyAlignment="1">
      <alignment horizontal="center"/>
    </xf>
    <xf numFmtId="4" fontId="14" fillId="0" borderId="1" xfId="0" applyNumberFormat="1" applyFont="1" applyFill="1" applyBorder="1" applyAlignment="1">
      <alignment horizontal="center"/>
    </xf>
    <xf numFmtId="0" fontId="14" fillId="0" borderId="0" xfId="0" applyFont="1" applyFill="1" applyAlignment="1">
      <alignment horizontal="left"/>
    </xf>
    <xf numFmtId="0" fontId="14" fillId="0" borderId="0" xfId="0" applyFont="1" applyFill="1" applyAlignment="1"/>
    <xf numFmtId="0" fontId="16" fillId="0" borderId="0" xfId="0" quotePrefix="1" applyFont="1" applyFill="1" applyBorder="1" applyAlignment="1">
      <alignment horizontal="center"/>
    </xf>
    <xf numFmtId="166" fontId="19" fillId="0" borderId="0" xfId="0" applyNumberFormat="1" applyFont="1" applyFill="1" applyAlignment="1">
      <alignment horizontal="center"/>
    </xf>
    <xf numFmtId="166" fontId="19" fillId="0" borderId="0" xfId="0" applyNumberFormat="1" applyFont="1" applyFill="1" applyAlignment="1"/>
    <xf numFmtId="0" fontId="14" fillId="0" borderId="1" xfId="0" applyFont="1" applyFill="1" applyBorder="1" applyAlignment="1">
      <alignment horizontal="left"/>
    </xf>
    <xf numFmtId="0" fontId="14" fillId="0" borderId="1" xfId="0" applyFont="1" applyFill="1" applyBorder="1" applyAlignment="1"/>
    <xf numFmtId="0" fontId="16" fillId="0" borderId="1" xfId="0" quotePrefix="1" applyFont="1" applyFill="1" applyBorder="1" applyAlignment="1">
      <alignment horizontal="center"/>
    </xf>
    <xf numFmtId="166" fontId="19" fillId="0" borderId="1" xfId="0" applyNumberFormat="1" applyFont="1" applyFill="1" applyBorder="1" applyAlignment="1">
      <alignment horizontal="center"/>
    </xf>
    <xf numFmtId="0" fontId="14" fillId="0" borderId="0" xfId="0" applyFont="1" applyFill="1" applyBorder="1" applyAlignment="1">
      <alignment horizontal="left"/>
    </xf>
    <xf numFmtId="0" fontId="14" fillId="0" borderId="0" xfId="0" applyFont="1" applyFill="1" applyBorder="1" applyAlignment="1"/>
    <xf numFmtId="166" fontId="19" fillId="0" borderId="0" xfId="0" applyNumberFormat="1" applyFont="1" applyFill="1" applyBorder="1" applyAlignment="1">
      <alignment horizontal="center"/>
    </xf>
    <xf numFmtId="4" fontId="14" fillId="0" borderId="0" xfId="0" quotePrefix="1" applyNumberFormat="1" applyFont="1" applyFill="1" applyAlignment="1">
      <alignment horizontal="center"/>
    </xf>
    <xf numFmtId="166" fontId="14" fillId="0" borderId="0" xfId="0" applyNumberFormat="1" applyFont="1" applyFill="1" applyAlignment="1"/>
    <xf numFmtId="4" fontId="14" fillId="0" borderId="0" xfId="0" applyNumberFormat="1" applyFont="1" applyFill="1" applyAlignment="1">
      <alignment horizontal="center"/>
    </xf>
    <xf numFmtId="0" fontId="14" fillId="0" borderId="0" xfId="0" quotePrefix="1" applyFont="1" applyFill="1" applyBorder="1" applyAlignment="1">
      <alignment horizontal="center"/>
    </xf>
    <xf numFmtId="0" fontId="14" fillId="0" borderId="1" xfId="0" applyFont="1" applyFill="1" applyBorder="1" applyAlignment="1">
      <alignment horizontal="center"/>
    </xf>
    <xf numFmtId="7" fontId="14" fillId="0" borderId="0" xfId="0" applyNumberFormat="1" applyFont="1" applyFill="1" applyAlignment="1"/>
    <xf numFmtId="7" fontId="14" fillId="0" borderId="0" xfId="0" applyNumberFormat="1" applyFont="1" applyFill="1" applyBorder="1" applyAlignment="1"/>
    <xf numFmtId="7" fontId="14" fillId="0" borderId="1" xfId="0" applyNumberFormat="1" applyFont="1" applyFill="1" applyBorder="1" applyAlignment="1"/>
    <xf numFmtId="4" fontId="14" fillId="0" borderId="2" xfId="0" applyNumberFormat="1" applyFont="1" applyBorder="1" applyAlignment="1"/>
    <xf numFmtId="4" fontId="15" fillId="0" borderId="2" xfId="0" applyNumberFormat="1" applyFont="1" applyBorder="1" applyAlignment="1">
      <alignment horizontal="left"/>
    </xf>
    <xf numFmtId="4" fontId="15" fillId="0" borderId="2" xfId="0" applyNumberFormat="1" applyFont="1" applyBorder="1" applyAlignment="1"/>
    <xf numFmtId="1" fontId="17" fillId="4" borderId="0" xfId="7" applyNumberFormat="1" applyFont="1" applyFill="1" applyBorder="1" applyAlignment="1">
      <alignment horizontal="left" indent="1"/>
    </xf>
    <xf numFmtId="0" fontId="18" fillId="0" borderId="0" xfId="0" quotePrefix="1" applyFont="1" applyFill="1" applyBorder="1" applyAlignment="1">
      <alignment horizontal="center"/>
    </xf>
    <xf numFmtId="1" fontId="17" fillId="0" borderId="0" xfId="7" applyNumberFormat="1" applyFont="1" applyFill="1" applyBorder="1" applyAlignment="1">
      <alignment horizontal="left" indent="1"/>
    </xf>
    <xf numFmtId="0" fontId="17" fillId="0" borderId="0" xfId="0" quotePrefix="1" applyFont="1" applyFill="1" applyBorder="1" applyAlignment="1">
      <alignment horizontal="left" indent="1"/>
    </xf>
    <xf numFmtId="0" fontId="17" fillId="4" borderId="0" xfId="0" quotePrefix="1" applyFont="1" applyFill="1" applyBorder="1" applyAlignment="1">
      <alignment horizontal="left" indent="1"/>
    </xf>
    <xf numFmtId="0" fontId="18" fillId="0" borderId="4" xfId="0" applyFont="1" applyFill="1" applyBorder="1" applyAlignment="1">
      <alignment horizontal="center"/>
    </xf>
    <xf numFmtId="0" fontId="14" fillId="2" borderId="0" xfId="0" applyFont="1" applyFill="1" applyBorder="1" applyAlignment="1">
      <alignment horizontal="right"/>
    </xf>
    <xf numFmtId="2" fontId="14" fillId="2" borderId="0" xfId="0" applyNumberFormat="1" applyFont="1" applyFill="1" applyBorder="1" applyAlignment="1">
      <alignment horizontal="center"/>
    </xf>
    <xf numFmtId="2" fontId="14" fillId="0" borderId="0" xfId="0" applyNumberFormat="1" applyFont="1" applyBorder="1" applyAlignment="1">
      <alignment horizontal="center"/>
    </xf>
    <xf numFmtId="4" fontId="15" fillId="0" borderId="0" xfId="0" applyNumberFormat="1" applyFont="1" applyAlignment="1">
      <alignment horizontal="left"/>
    </xf>
    <xf numFmtId="4" fontId="14" fillId="2" borderId="0" xfId="0" applyNumberFormat="1" applyFont="1" applyFill="1" applyAlignment="1">
      <alignment horizontal="left"/>
    </xf>
    <xf numFmtId="4" fontId="15" fillId="2" borderId="0" xfId="0" applyNumberFormat="1" applyFont="1" applyFill="1" applyAlignment="1">
      <alignment horizontal="left"/>
    </xf>
    <xf numFmtId="4" fontId="14" fillId="0" borderId="0" xfId="0" applyNumberFormat="1" applyFont="1" applyAlignment="1">
      <alignment horizontal="left"/>
    </xf>
    <xf numFmtId="4" fontId="15" fillId="0" borderId="0" xfId="0" applyNumberFormat="1" applyFont="1" applyBorder="1" applyAlignment="1">
      <alignment horizontal="left"/>
    </xf>
    <xf numFmtId="4" fontId="15" fillId="0" borderId="0" xfId="0" applyNumberFormat="1" applyFont="1" applyBorder="1" applyAlignment="1"/>
    <xf numFmtId="4" fontId="14" fillId="0" borderId="2" xfId="0" applyNumberFormat="1" applyFont="1" applyBorder="1" applyAlignment="1">
      <alignment horizontal="left"/>
    </xf>
    <xf numFmtId="0" fontId="14" fillId="0" borderId="0" xfId="0" applyFont="1" applyFill="1" applyAlignment="1">
      <alignment horizontal="left" indent="3"/>
    </xf>
    <xf numFmtId="0" fontId="14" fillId="0" borderId="0" xfId="0" quotePrefix="1" applyFont="1" applyFill="1" applyAlignment="1">
      <alignment horizontal="left" indent="3"/>
    </xf>
    <xf numFmtId="0" fontId="16" fillId="0" borderId="0" xfId="0" applyFont="1" applyFill="1" applyAlignment="1">
      <alignment horizontal="left" indent="3"/>
    </xf>
    <xf numFmtId="0" fontId="14" fillId="0" borderId="0" xfId="0" applyFont="1" applyAlignment="1">
      <alignment horizontal="left" indent="3"/>
    </xf>
    <xf numFmtId="0" fontId="14" fillId="0" borderId="0" xfId="0" quotePrefix="1" applyFont="1" applyAlignment="1">
      <alignment horizontal="left" indent="3"/>
    </xf>
    <xf numFmtId="43" fontId="14" fillId="0" borderId="0" xfId="0" applyNumberFormat="1" applyFont="1" applyAlignment="1"/>
    <xf numFmtId="0" fontId="18" fillId="0" borderId="0" xfId="0" applyFont="1" applyAlignment="1">
      <alignment horizontal="left"/>
    </xf>
    <xf numFmtId="0" fontId="14" fillId="0" borderId="0" xfId="0" applyFont="1" applyAlignment="1">
      <alignment horizontal="left"/>
    </xf>
    <xf numFmtId="0" fontId="14" fillId="2" borderId="0" xfId="0" applyFont="1" applyFill="1" applyAlignment="1">
      <alignment horizontal="left"/>
    </xf>
    <xf numFmtId="3" fontId="14" fillId="0" borderId="0" xfId="0" quotePrefix="1" applyNumberFormat="1" applyFont="1" applyAlignment="1">
      <alignment horizontal="center"/>
    </xf>
    <xf numFmtId="0" fontId="14" fillId="2" borderId="0" xfId="0" applyFont="1" applyFill="1" applyAlignment="1">
      <alignment horizontal="right"/>
    </xf>
    <xf numFmtId="0" fontId="14" fillId="0" borderId="0" xfId="0" applyFont="1" applyAlignment="1">
      <alignment horizontal="right"/>
    </xf>
    <xf numFmtId="0" fontId="14" fillId="2" borderId="1" xfId="0" applyFont="1" applyFill="1" applyBorder="1" applyAlignment="1">
      <alignment horizontal="left"/>
    </xf>
    <xf numFmtId="0" fontId="14" fillId="2" borderId="1" xfId="0" applyFont="1" applyFill="1" applyBorder="1" applyAlignment="1">
      <alignment horizontal="center"/>
    </xf>
    <xf numFmtId="0" fontId="14" fillId="0" borderId="0" xfId="0" applyFont="1" applyBorder="1" applyAlignment="1">
      <alignment horizontal="center"/>
    </xf>
    <xf numFmtId="0" fontId="14" fillId="2" borderId="0" xfId="0" applyFont="1" applyFill="1" applyBorder="1" applyAlignment="1">
      <alignment horizontal="center"/>
    </xf>
    <xf numFmtId="0" fontId="14" fillId="2" borderId="0" xfId="0" applyFont="1" applyFill="1" applyBorder="1" applyAlignment="1">
      <alignment horizontal="left"/>
    </xf>
    <xf numFmtId="0" fontId="14" fillId="0" borderId="1" xfId="0" applyFont="1" applyBorder="1" applyAlignment="1">
      <alignment horizontal="center"/>
    </xf>
    <xf numFmtId="0" fontId="20" fillId="2" borderId="0" xfId="0" applyFont="1" applyFill="1" applyAlignment="1">
      <alignment horizontal="right"/>
    </xf>
    <xf numFmtId="165" fontId="14" fillId="2" borderId="0" xfId="4" applyFont="1" applyFill="1" applyBorder="1" applyAlignment="1">
      <alignment horizontal="right"/>
    </xf>
    <xf numFmtId="2" fontId="25" fillId="0" borderId="0" xfId="0" applyNumberFormat="1" applyFont="1" applyBorder="1" applyAlignment="1">
      <alignment horizontal="left"/>
    </xf>
    <xf numFmtId="2" fontId="25" fillId="2" borderId="0" xfId="0" applyNumberFormat="1" applyFont="1" applyFill="1" applyBorder="1" applyAlignment="1">
      <alignment horizontal="left"/>
    </xf>
    <xf numFmtId="4" fontId="14" fillId="0" borderId="0" xfId="0" quotePrefix="1" applyNumberFormat="1" applyFont="1" applyAlignment="1">
      <alignment horizontal="center"/>
    </xf>
    <xf numFmtId="4" fontId="14" fillId="2" borderId="0" xfId="0" quotePrefix="1" applyNumberFormat="1" applyFont="1" applyFill="1" applyAlignment="1">
      <alignment horizontal="left"/>
    </xf>
    <xf numFmtId="0" fontId="14" fillId="0" borderId="0" xfId="0" applyFont="1" applyAlignment="1">
      <alignment horizontal="center"/>
    </xf>
    <xf numFmtId="166" fontId="19" fillId="2" borderId="1" xfId="0" applyNumberFormat="1" applyFont="1" applyFill="1" applyBorder="1" applyAlignment="1">
      <alignment horizontal="left"/>
    </xf>
    <xf numFmtId="0" fontId="14" fillId="0" borderId="0" xfId="0" quotePrefix="1" applyFont="1" applyAlignment="1">
      <alignment horizontal="left"/>
    </xf>
    <xf numFmtId="0" fontId="14" fillId="0" borderId="0" xfId="0" applyFont="1" applyBorder="1" applyAlignment="1">
      <alignment horizontal="left"/>
    </xf>
    <xf numFmtId="0" fontId="14" fillId="2" borderId="0" xfId="0" applyFont="1" applyFill="1" applyBorder="1" applyAlignment="1">
      <alignment horizontal="right"/>
    </xf>
    <xf numFmtId="2" fontId="14" fillId="2" borderId="0" xfId="0" applyNumberFormat="1" applyFont="1" applyFill="1" applyBorder="1" applyAlignment="1">
      <alignment horizontal="center"/>
    </xf>
    <xf numFmtId="2" fontId="14" fillId="0" borderId="0" xfId="0" applyNumberFormat="1" applyFont="1" applyFill="1" applyBorder="1" applyAlignment="1">
      <alignment horizontal="center"/>
    </xf>
    <xf numFmtId="0" fontId="14" fillId="0" borderId="1" xfId="0" quotePrefix="1" applyFont="1" applyBorder="1" applyAlignment="1">
      <alignment horizontal="center"/>
    </xf>
    <xf numFmtId="4" fontId="14" fillId="0" borderId="0" xfId="0" applyNumberFormat="1" applyFont="1" applyAlignment="1">
      <alignment horizontal="left"/>
    </xf>
    <xf numFmtId="4" fontId="14" fillId="2" borderId="0" xfId="0" applyNumberFormat="1" applyFont="1" applyFill="1" applyAlignment="1">
      <alignment horizontal="left"/>
    </xf>
    <xf numFmtId="0" fontId="16" fillId="2" borderId="0" xfId="0" applyFont="1" applyFill="1" applyAlignment="1">
      <alignment horizontal="center"/>
    </xf>
    <xf numFmtId="7" fontId="17" fillId="2" borderId="0" xfId="0" applyNumberFormat="1" applyFont="1" applyFill="1" applyBorder="1" applyAlignment="1">
      <alignment horizontal="center"/>
    </xf>
    <xf numFmtId="0" fontId="14" fillId="2" borderId="0" xfId="0" applyFont="1" applyFill="1" applyAlignment="1">
      <alignment horizontal="center"/>
    </xf>
    <xf numFmtId="4" fontId="15" fillId="0" borderId="0" xfId="0" applyNumberFormat="1" applyFont="1" applyAlignment="1">
      <alignment horizontal="left"/>
    </xf>
    <xf numFmtId="4" fontId="15" fillId="2" borderId="0" xfId="0" applyNumberFormat="1" applyFont="1" applyFill="1" applyAlignment="1">
      <alignment horizontal="left"/>
    </xf>
    <xf numFmtId="2" fontId="14" fillId="0" borderId="0" xfId="0" applyNumberFormat="1" applyFont="1" applyBorder="1" applyAlignment="1">
      <alignment horizontal="center"/>
    </xf>
    <xf numFmtId="0" fontId="14" fillId="0" borderId="1" xfId="0" applyFont="1" applyBorder="1" applyAlignment="1">
      <alignment horizontal="left"/>
    </xf>
    <xf numFmtId="0" fontId="14" fillId="0" borderId="0" xfId="0" quotePrefix="1" applyFont="1" applyAlignment="1">
      <alignment horizontal="center"/>
    </xf>
    <xf numFmtId="0" fontId="14" fillId="0" borderId="0" xfId="0" quotePrefix="1" applyFont="1" applyBorder="1" applyAlignment="1">
      <alignment horizontal="center"/>
    </xf>
    <xf numFmtId="1" fontId="31" fillId="0" borderId="0" xfId="0" quotePrefix="1" applyNumberFormat="1" applyFont="1" applyFill="1" applyAlignment="1">
      <alignment horizontal="left"/>
    </xf>
    <xf numFmtId="43" fontId="17" fillId="0" borderId="0" xfId="1" applyFont="1"/>
    <xf numFmtId="43" fontId="18" fillId="0" borderId="0" xfId="1" quotePrefix="1" applyFont="1" applyFill="1" applyBorder="1" applyAlignment="1">
      <alignment horizontal="center"/>
    </xf>
    <xf numFmtId="43" fontId="17" fillId="0" borderId="0" xfId="1" applyFont="1" applyFill="1" applyBorder="1" applyAlignment="1"/>
    <xf numFmtId="0" fontId="17" fillId="0" borderId="0" xfId="0" quotePrefix="1" applyFont="1" applyAlignment="1">
      <alignment horizontal="left"/>
    </xf>
    <xf numFmtId="0" fontId="17" fillId="0" borderId="0" xfId="0" quotePrefix="1" applyFont="1" applyAlignment="1">
      <alignment horizontal="center"/>
    </xf>
    <xf numFmtId="0" fontId="18" fillId="0" borderId="0" xfId="0" quotePrefix="1" applyFont="1" applyFill="1" applyBorder="1" applyAlignment="1">
      <alignment vertical="center"/>
    </xf>
    <xf numFmtId="41" fontId="23" fillId="0" borderId="0" xfId="1" applyNumberFormat="1" applyFont="1" applyFill="1" applyBorder="1"/>
    <xf numFmtId="43" fontId="23" fillId="0" borderId="1" xfId="1" quotePrefix="1" applyFont="1" applyBorder="1" applyAlignment="1"/>
    <xf numFmtId="43" fontId="27" fillId="0" borderId="0" xfId="9" applyNumberFormat="1" applyFont="1"/>
    <xf numFmtId="43" fontId="27" fillId="0" borderId="1" xfId="9" applyNumberFormat="1" applyFont="1" applyBorder="1"/>
    <xf numFmtId="0" fontId="16" fillId="0" borderId="0" xfId="0" quotePrefix="1" applyFont="1" applyAlignment="1">
      <alignment horizontal="left"/>
    </xf>
    <xf numFmtId="43" fontId="23" fillId="0" borderId="1" xfId="1" applyFont="1" applyBorder="1"/>
    <xf numFmtId="16" fontId="14" fillId="0" borderId="0" xfId="0" applyNumberFormat="1" applyFont="1" applyAlignment="1"/>
    <xf numFmtId="0" fontId="18" fillId="0" borderId="0" xfId="0" applyFont="1" applyFill="1" applyBorder="1"/>
    <xf numFmtId="0" fontId="18" fillId="0" borderId="0" xfId="0" quotePrefix="1" applyFont="1" applyFill="1" applyBorder="1" applyAlignment="1">
      <alignment horizontal="left" indent="4"/>
    </xf>
    <xf numFmtId="0" fontId="23" fillId="0" borderId="0" xfId="0" quotePrefix="1" applyFont="1" applyAlignment="1">
      <alignment horizontal="left"/>
    </xf>
    <xf numFmtId="0" fontId="23" fillId="0" borderId="0" xfId="0" applyFont="1" applyAlignment="1"/>
    <xf numFmtId="0" fontId="23" fillId="0" borderId="0" xfId="0" quotePrefix="1" applyFont="1" applyAlignment="1">
      <alignment horizontal="left" indent="4"/>
    </xf>
    <xf numFmtId="0" fontId="14" fillId="4" borderId="4" xfId="0" applyFont="1" applyFill="1" applyBorder="1" applyAlignment="1">
      <alignment horizontal="left"/>
    </xf>
    <xf numFmtId="0" fontId="14" fillId="4" borderId="4" xfId="0" applyFont="1" applyFill="1" applyBorder="1" applyAlignment="1">
      <alignment horizontal="center"/>
    </xf>
    <xf numFmtId="0" fontId="14" fillId="0" borderId="0" xfId="0" quotePrefix="1" applyFont="1" applyAlignment="1">
      <alignment horizontal="left"/>
    </xf>
    <xf numFmtId="0" fontId="20" fillId="0" borderId="0" xfId="0" applyFont="1" applyBorder="1" applyAlignment="1"/>
    <xf numFmtId="0" fontId="23" fillId="0" borderId="0" xfId="0" quotePrefix="1" applyFont="1" applyBorder="1" applyAlignment="1">
      <alignment horizontal="left"/>
    </xf>
    <xf numFmtId="0" fontId="23" fillId="0" borderId="0" xfId="0" quotePrefix="1" applyFont="1" applyBorder="1" applyAlignment="1">
      <alignment horizontal="left" indent="4"/>
    </xf>
    <xf numFmtId="0" fontId="23" fillId="0" borderId="0" xfId="0" applyFont="1" applyBorder="1" applyAlignment="1"/>
    <xf numFmtId="0" fontId="29" fillId="0" borderId="0" xfId="9" quotePrefix="1" applyFont="1" applyBorder="1" applyAlignment="1">
      <alignment horizontal="right"/>
    </xf>
    <xf numFmtId="43" fontId="32" fillId="0" borderId="0" xfId="1" applyFont="1"/>
    <xf numFmtId="0" fontId="32" fillId="0" borderId="0" xfId="0" applyFont="1"/>
    <xf numFmtId="1" fontId="17" fillId="0" borderId="0" xfId="7" quotePrefix="1" applyNumberFormat="1" applyFont="1" applyFill="1" applyBorder="1" applyAlignment="1">
      <alignment horizontal="left"/>
    </xf>
    <xf numFmtId="1" fontId="17" fillId="4" borderId="0" xfId="7" quotePrefix="1" applyNumberFormat="1" applyFont="1" applyFill="1" applyBorder="1" applyAlignment="1">
      <alignment horizontal="left"/>
    </xf>
    <xf numFmtId="1" fontId="17" fillId="0" borderId="0" xfId="2" applyNumberFormat="1" applyFont="1" applyFill="1" applyBorder="1" applyAlignment="1">
      <alignment horizontal="center"/>
    </xf>
    <xf numFmtId="1" fontId="17" fillId="0" borderId="0" xfId="2" applyNumberFormat="1" applyFont="1" applyFill="1" applyBorder="1" applyAlignment="1"/>
    <xf numFmtId="1" fontId="17" fillId="0" borderId="0" xfId="2" quotePrefix="1" applyNumberFormat="1" applyFont="1" applyFill="1" applyBorder="1" applyAlignment="1">
      <alignment horizontal="left"/>
    </xf>
    <xf numFmtId="0" fontId="14" fillId="0" borderId="0" xfId="0" applyFont="1" applyAlignment="1">
      <alignment horizontal="left"/>
    </xf>
    <xf numFmtId="0" fontId="14" fillId="0" borderId="0" xfId="0" quotePrefix="1" applyFont="1" applyAlignment="1">
      <alignment horizontal="left"/>
    </xf>
    <xf numFmtId="0" fontId="18" fillId="0" borderId="0" xfId="0" applyFont="1" applyAlignment="1">
      <alignment horizontal="left"/>
    </xf>
    <xf numFmtId="43" fontId="14" fillId="0" borderId="0" xfId="1" applyFont="1" applyBorder="1" applyAlignment="1">
      <alignment horizontal="center"/>
    </xf>
    <xf numFmtId="37" fontId="14" fillId="0" borderId="1" xfId="1" applyNumberFormat="1" applyFont="1" applyBorder="1" applyAlignment="1"/>
    <xf numFmtId="43" fontId="23" fillId="0" borderId="0" xfId="1" applyFont="1" applyBorder="1"/>
    <xf numFmtId="43" fontId="14" fillId="5" borderId="9" xfId="1" applyFont="1" applyFill="1" applyBorder="1" applyAlignment="1"/>
    <xf numFmtId="43" fontId="17" fillId="0" borderId="0" xfId="0" applyNumberFormat="1" applyFont="1"/>
    <xf numFmtId="43" fontId="17" fillId="0" borderId="9" xfId="0" applyNumberFormat="1" applyFont="1" applyBorder="1"/>
    <xf numFmtId="0" fontId="17" fillId="0" borderId="0" xfId="0" quotePrefix="1" applyFont="1" applyAlignment="1">
      <alignment horizontal="right"/>
    </xf>
    <xf numFmtId="43" fontId="18" fillId="0" borderId="4" xfId="1" quotePrefix="1" applyFont="1" applyFill="1" applyBorder="1" applyAlignment="1">
      <alignment horizontal="center"/>
    </xf>
    <xf numFmtId="0" fontId="32" fillId="0" borderId="0" xfId="0" applyFont="1" applyFill="1"/>
    <xf numFmtId="0" fontId="32" fillId="0" borderId="0" xfId="0" applyFont="1" applyFill="1" applyBorder="1"/>
    <xf numFmtId="43" fontId="23" fillId="0" borderId="1" xfId="1" applyFont="1" applyBorder="1" applyAlignment="1"/>
    <xf numFmtId="37" fontId="23" fillId="0" borderId="1" xfId="1" applyNumberFormat="1" applyFont="1" applyBorder="1" applyAlignment="1"/>
    <xf numFmtId="37" fontId="23" fillId="0" borderId="1" xfId="1" applyNumberFormat="1" applyFont="1" applyBorder="1" applyAlignment="1">
      <alignment horizontal="center"/>
    </xf>
    <xf numFmtId="43" fontId="23" fillId="0" borderId="1" xfId="1" applyFont="1" applyBorder="1" applyAlignment="1">
      <alignment horizontal="center"/>
    </xf>
    <xf numFmtId="37" fontId="23" fillId="0" borderId="0" xfId="1" applyNumberFormat="1" applyFont="1"/>
    <xf numFmtId="41" fontId="23" fillId="0" borderId="0" xfId="1" applyNumberFormat="1" applyFont="1" applyFill="1" applyBorder="1" applyAlignment="1"/>
    <xf numFmtId="49" fontId="17" fillId="0" borderId="0" xfId="0" quotePrefix="1" applyNumberFormat="1" applyFont="1" applyFill="1" applyBorder="1" applyAlignment="1"/>
    <xf numFmtId="49" fontId="17" fillId="0" borderId="0" xfId="0" quotePrefix="1" applyNumberFormat="1" applyFont="1" applyFill="1" applyBorder="1" applyAlignment="1">
      <alignment horizontal="left" indent="1"/>
    </xf>
    <xf numFmtId="49" fontId="17" fillId="4" borderId="0" xfId="0" quotePrefix="1" applyNumberFormat="1" applyFont="1" applyFill="1" applyBorder="1" applyAlignment="1"/>
    <xf numFmtId="49" fontId="17" fillId="4" borderId="0" xfId="0" quotePrefix="1" applyNumberFormat="1" applyFont="1" applyFill="1" applyBorder="1" applyAlignment="1">
      <alignment horizontal="left" indent="1"/>
    </xf>
    <xf numFmtId="49" fontId="17" fillId="4" borderId="0" xfId="7" applyNumberFormat="1" applyFont="1" applyFill="1" applyBorder="1" applyAlignment="1">
      <alignment horizontal="left" indent="1"/>
    </xf>
    <xf numFmtId="49" fontId="17" fillId="0" borderId="0" xfId="0" quotePrefix="1" applyNumberFormat="1" applyFont="1" applyFill="1" applyBorder="1" applyAlignment="1">
      <alignment horizontal="left"/>
    </xf>
    <xf numFmtId="49" fontId="17" fillId="0" borderId="0" xfId="0" applyNumberFormat="1" applyFont="1" applyFill="1" applyAlignment="1"/>
    <xf numFmtId="0" fontId="14" fillId="0" borderId="0" xfId="0" quotePrefix="1" applyFont="1" applyBorder="1" applyAlignment="1">
      <alignment horizontal="left" indent="1"/>
    </xf>
    <xf numFmtId="49" fontId="23" fillId="0" borderId="0" xfId="7" applyNumberFormat="1" applyFont="1" applyAlignment="1"/>
    <xf numFmtId="0" fontId="17" fillId="0" borderId="0" xfId="0" applyFont="1" applyAlignment="1">
      <alignment horizontal="right"/>
    </xf>
    <xf numFmtId="0" fontId="17" fillId="0" borderId="0" xfId="0" applyFont="1" applyFill="1" applyBorder="1"/>
    <xf numFmtId="0" fontId="18" fillId="0" borderId="0" xfId="0" quotePrefix="1" applyFont="1" applyFill="1" applyBorder="1" applyAlignment="1">
      <alignment horizontal="left" vertical="top"/>
    </xf>
    <xf numFmtId="0" fontId="13" fillId="0" borderId="0" xfId="0" quotePrefix="1" applyFont="1" applyAlignment="1"/>
    <xf numFmtId="0" fontId="14" fillId="0" borderId="0" xfId="0" applyFont="1" applyAlignment="1">
      <alignment horizontal="left"/>
    </xf>
    <xf numFmtId="0" fontId="14" fillId="2" borderId="0" xfId="0" applyFont="1" applyFill="1" applyAlignment="1">
      <alignment horizontal="left"/>
    </xf>
    <xf numFmtId="0" fontId="14" fillId="0" borderId="0" xfId="0" applyFont="1" applyBorder="1" applyAlignment="1">
      <alignment horizontal="center"/>
    </xf>
    <xf numFmtId="0" fontId="14" fillId="2" borderId="0" xfId="0" applyFont="1" applyFill="1" applyBorder="1" applyAlignment="1">
      <alignment horizontal="center"/>
    </xf>
    <xf numFmtId="0" fontId="14" fillId="2" borderId="0" xfId="0" applyFont="1" applyFill="1" applyAlignment="1">
      <alignment horizontal="center"/>
    </xf>
    <xf numFmtId="4" fontId="15" fillId="0" borderId="0" xfId="0" applyNumberFormat="1" applyFont="1" applyAlignment="1">
      <alignment horizontal="left"/>
    </xf>
    <xf numFmtId="4" fontId="14" fillId="2" borderId="0" xfId="0" applyNumberFormat="1" applyFont="1" applyFill="1" applyAlignment="1">
      <alignment horizontal="left"/>
    </xf>
    <xf numFmtId="4" fontId="15" fillId="2" borderId="0" xfId="0" applyNumberFormat="1" applyFont="1" applyFill="1" applyAlignment="1">
      <alignment horizontal="left"/>
    </xf>
    <xf numFmtId="4" fontId="14" fillId="0" borderId="0" xfId="0" applyNumberFormat="1" applyFont="1" applyAlignment="1">
      <alignment horizontal="left"/>
    </xf>
    <xf numFmtId="0" fontId="16" fillId="2" borderId="0" xfId="0" applyFont="1" applyFill="1" applyAlignment="1">
      <alignment horizontal="center"/>
    </xf>
    <xf numFmtId="7" fontId="17" fillId="2" borderId="0" xfId="0" applyNumberFormat="1" applyFont="1" applyFill="1" applyBorder="1" applyAlignment="1">
      <alignment horizontal="center"/>
    </xf>
    <xf numFmtId="0" fontId="14" fillId="0" borderId="1" xfId="0" quotePrefix="1" applyFont="1" applyBorder="1" applyAlignment="1">
      <alignment horizontal="center"/>
    </xf>
    <xf numFmtId="0" fontId="14" fillId="0" borderId="0" xfId="0" applyFont="1" applyAlignment="1">
      <alignment horizontal="left"/>
    </xf>
    <xf numFmtId="0" fontId="14" fillId="2" borderId="0" xfId="0" applyFont="1" applyFill="1" applyAlignment="1">
      <alignment horizontal="left"/>
    </xf>
    <xf numFmtId="0" fontId="14" fillId="0" borderId="0" xfId="0" applyFont="1" applyBorder="1" applyAlignment="1">
      <alignment horizontal="left"/>
    </xf>
    <xf numFmtId="0" fontId="14" fillId="2" borderId="1" xfId="0" applyFont="1" applyFill="1" applyBorder="1" applyAlignment="1">
      <alignment horizontal="left"/>
    </xf>
    <xf numFmtId="2" fontId="14" fillId="0" borderId="0" xfId="0" applyNumberFormat="1" applyFont="1" applyFill="1" applyBorder="1" applyAlignment="1">
      <alignment horizontal="center"/>
    </xf>
    <xf numFmtId="2" fontId="14" fillId="2" borderId="0" xfId="0" applyNumberFormat="1" applyFont="1" applyFill="1" applyBorder="1" applyAlignment="1">
      <alignment horizontal="center"/>
    </xf>
    <xf numFmtId="0" fontId="14" fillId="2" borderId="0" xfId="0" applyFont="1" applyFill="1" applyBorder="1" applyAlignment="1">
      <alignment horizontal="center"/>
    </xf>
    <xf numFmtId="0" fontId="14" fillId="2" borderId="0" xfId="0" applyFont="1" applyFill="1" applyBorder="1" applyAlignment="1">
      <alignment horizontal="left"/>
    </xf>
    <xf numFmtId="0" fontId="14" fillId="2" borderId="0" xfId="0" applyFont="1" applyFill="1" applyBorder="1" applyAlignment="1">
      <alignment horizontal="right"/>
    </xf>
    <xf numFmtId="0" fontId="14" fillId="0" borderId="0" xfId="0" applyFont="1" applyAlignment="1">
      <alignment horizontal="right"/>
    </xf>
    <xf numFmtId="0" fontId="14" fillId="2" borderId="0" xfId="0" applyFont="1" applyFill="1" applyAlignment="1">
      <alignment horizontal="right"/>
    </xf>
    <xf numFmtId="0" fontId="14" fillId="0" borderId="1" xfId="0" applyFont="1" applyBorder="1" applyAlignment="1">
      <alignment horizontal="center"/>
    </xf>
    <xf numFmtId="0" fontId="14" fillId="2" borderId="1" xfId="0" applyFont="1" applyFill="1" applyBorder="1" applyAlignment="1">
      <alignment horizontal="center"/>
    </xf>
    <xf numFmtId="0" fontId="14" fillId="0" borderId="0" xfId="0" quotePrefix="1" applyFont="1" applyAlignment="1">
      <alignment horizontal="left"/>
    </xf>
    <xf numFmtId="166" fontId="19" fillId="2" borderId="1" xfId="0" applyNumberFormat="1" applyFont="1" applyFill="1" applyBorder="1" applyAlignment="1">
      <alignment horizontal="left"/>
    </xf>
    <xf numFmtId="0" fontId="14" fillId="0" borderId="0" xfId="0" applyFont="1" applyAlignment="1">
      <alignment horizontal="center"/>
    </xf>
    <xf numFmtId="165" fontId="14" fillId="2" borderId="0" xfId="4" applyFont="1" applyFill="1" applyBorder="1" applyAlignment="1">
      <alignment horizontal="right"/>
    </xf>
    <xf numFmtId="2" fontId="25" fillId="0" borderId="0" xfId="0" applyNumberFormat="1" applyFont="1" applyBorder="1" applyAlignment="1">
      <alignment horizontal="left"/>
    </xf>
    <xf numFmtId="2" fontId="25" fillId="2" borderId="0" xfId="0" applyNumberFormat="1" applyFont="1" applyFill="1" applyBorder="1" applyAlignment="1">
      <alignment horizontal="left"/>
    </xf>
    <xf numFmtId="4" fontId="14" fillId="0" borderId="0" xfId="0" quotePrefix="1" applyNumberFormat="1" applyFont="1" applyAlignment="1">
      <alignment horizontal="center"/>
    </xf>
    <xf numFmtId="4" fontId="14" fillId="2" borderId="0" xfId="0" quotePrefix="1" applyNumberFormat="1" applyFont="1" applyFill="1" applyAlignment="1">
      <alignment horizontal="left"/>
    </xf>
    <xf numFmtId="0" fontId="20" fillId="2" borderId="0" xfId="0" applyFont="1" applyFill="1" applyAlignment="1">
      <alignment horizontal="right"/>
    </xf>
    <xf numFmtId="0" fontId="14" fillId="0" borderId="0" xfId="0" applyFont="1" applyBorder="1" applyAlignment="1">
      <alignment horizontal="center"/>
    </xf>
    <xf numFmtId="3" fontId="14" fillId="0" borderId="0" xfId="0" quotePrefix="1" applyNumberFormat="1" applyFont="1" applyAlignment="1">
      <alignment horizontal="center"/>
    </xf>
    <xf numFmtId="0" fontId="18" fillId="0" borderId="0" xfId="0" applyFont="1" applyAlignment="1">
      <alignment horizontal="left"/>
    </xf>
    <xf numFmtId="0" fontId="14" fillId="0" borderId="0" xfId="0" quotePrefix="1" applyFont="1" applyAlignment="1">
      <alignment horizontal="center"/>
    </xf>
    <xf numFmtId="0" fontId="14" fillId="0" borderId="0" xfId="0" quotePrefix="1" applyFont="1" applyBorder="1" applyAlignment="1">
      <alignment horizontal="center"/>
    </xf>
    <xf numFmtId="2" fontId="14" fillId="0" borderId="0" xfId="0" applyNumberFormat="1" applyFont="1" applyBorder="1" applyAlignment="1">
      <alignment horizontal="center"/>
    </xf>
    <xf numFmtId="0" fontId="14" fillId="0" borderId="1" xfId="0" applyFont="1" applyBorder="1" applyAlignment="1">
      <alignment horizontal="left"/>
    </xf>
    <xf numFmtId="169" fontId="16" fillId="6" borderId="0" xfId="0" applyNumberFormat="1" applyFont="1" applyFill="1" applyAlignment="1">
      <alignment horizontal="center"/>
    </xf>
    <xf numFmtId="170" fontId="22" fillId="6" borderId="0" xfId="6" applyNumberFormat="1" applyFont="1" applyFill="1" applyBorder="1" applyAlignment="1"/>
    <xf numFmtId="4" fontId="23" fillId="6" borderId="1" xfId="0" applyNumberFormat="1" applyFont="1" applyFill="1" applyBorder="1" applyAlignment="1">
      <alignment horizontal="center"/>
    </xf>
    <xf numFmtId="43" fontId="23" fillId="6" borderId="1" xfId="1" applyFont="1" applyFill="1" applyBorder="1" applyAlignment="1"/>
    <xf numFmtId="0" fontId="17" fillId="0" borderId="0" xfId="0" applyFont="1" applyAlignment="1">
      <alignment horizontal="left" indent="3"/>
    </xf>
    <xf numFmtId="41" fontId="23" fillId="6" borderId="0" xfId="1" applyNumberFormat="1" applyFont="1" applyFill="1" applyBorder="1" applyAlignment="1"/>
    <xf numFmtId="175" fontId="23" fillId="6" borderId="0" xfId="0" applyNumberFormat="1" applyFont="1" applyFill="1" applyAlignment="1"/>
    <xf numFmtId="38" fontId="23" fillId="6" borderId="0" xfId="0" quotePrefix="1" applyNumberFormat="1" applyFont="1" applyFill="1" applyAlignment="1"/>
    <xf numFmtId="0" fontId="18" fillId="0" borderId="0" xfId="0" applyFont="1" applyAlignment="1"/>
    <xf numFmtId="0" fontId="18" fillId="0" borderId="0" xfId="0" applyFont="1" applyFill="1" applyAlignment="1"/>
    <xf numFmtId="0" fontId="33" fillId="0" borderId="0" xfId="0" applyFont="1" applyAlignment="1"/>
    <xf numFmtId="0" fontId="23" fillId="3" borderId="0" xfId="0" quotePrefix="1" applyFont="1" applyFill="1" applyAlignment="1">
      <alignment horizontal="left"/>
    </xf>
    <xf numFmtId="0" fontId="23" fillId="3" borderId="0" xfId="0" applyFont="1" applyFill="1"/>
    <xf numFmtId="16" fontId="17" fillId="0" borderId="0" xfId="0" applyNumberFormat="1" applyFont="1"/>
    <xf numFmtId="0" fontId="14" fillId="0" borderId="0" xfId="0" applyFont="1" applyFill="1" applyBorder="1" applyAlignment="1">
      <alignment horizontal="center"/>
    </xf>
    <xf numFmtId="0" fontId="14" fillId="0" borderId="0" xfId="0" applyFont="1" applyFill="1" applyAlignment="1">
      <alignment horizontal="left"/>
    </xf>
    <xf numFmtId="0" fontId="14" fillId="0" borderId="0" xfId="0" applyFont="1" applyAlignment="1">
      <alignment horizontal="left"/>
    </xf>
    <xf numFmtId="0" fontId="18" fillId="0" borderId="0" xfId="0" applyFont="1" applyAlignment="1">
      <alignment horizontal="left"/>
    </xf>
    <xf numFmtId="3" fontId="14" fillId="0" borderId="0" xfId="0" quotePrefix="1" applyNumberFormat="1" applyFont="1" applyAlignment="1">
      <alignment horizontal="center"/>
    </xf>
    <xf numFmtId="0" fontId="14" fillId="2" borderId="0" xfId="0" applyFont="1" applyFill="1" applyAlignment="1">
      <alignment horizontal="right"/>
    </xf>
    <xf numFmtId="0" fontId="14" fillId="0" borderId="0" xfId="0" applyFont="1" applyAlignment="1">
      <alignment horizontal="right"/>
    </xf>
    <xf numFmtId="0" fontId="14" fillId="2" borderId="0" xfId="0" applyFont="1" applyFill="1" applyAlignment="1">
      <alignment horizontal="left"/>
    </xf>
    <xf numFmtId="0" fontId="14" fillId="2" borderId="1" xfId="0" applyFont="1" applyFill="1" applyBorder="1" applyAlignment="1">
      <alignment horizontal="left"/>
    </xf>
    <xf numFmtId="0" fontId="14" fillId="2" borderId="1" xfId="0" applyFont="1" applyFill="1" applyBorder="1" applyAlignment="1">
      <alignment horizontal="center"/>
    </xf>
    <xf numFmtId="0" fontId="14" fillId="0" borderId="0" xfId="0" applyFont="1" applyBorder="1" applyAlignment="1">
      <alignment horizontal="center"/>
    </xf>
    <xf numFmtId="0" fontId="14" fillId="2" borderId="0" xfId="0" applyFont="1" applyFill="1" applyBorder="1" applyAlignment="1">
      <alignment horizontal="center"/>
    </xf>
    <xf numFmtId="0" fontId="14" fillId="2" borderId="0" xfId="0" applyFont="1" applyFill="1" applyBorder="1" applyAlignment="1">
      <alignment horizontal="left"/>
    </xf>
    <xf numFmtId="0" fontId="14" fillId="0" borderId="0" xfId="0" quotePrefix="1" applyFont="1" applyAlignment="1">
      <alignment horizontal="left"/>
    </xf>
    <xf numFmtId="0" fontId="14" fillId="0" borderId="1" xfId="0" applyFont="1" applyBorder="1" applyAlignment="1">
      <alignment horizontal="center"/>
    </xf>
    <xf numFmtId="0" fontId="20" fillId="2" borderId="0" xfId="0" applyFont="1" applyFill="1" applyAlignment="1">
      <alignment horizontal="right"/>
    </xf>
    <xf numFmtId="165" fontId="14" fillId="2" borderId="0" xfId="4" applyFont="1" applyFill="1" applyBorder="1" applyAlignment="1">
      <alignment horizontal="right"/>
    </xf>
    <xf numFmtId="2" fontId="25" fillId="0" borderId="0" xfId="0" applyNumberFormat="1" applyFont="1" applyBorder="1" applyAlignment="1">
      <alignment horizontal="left"/>
    </xf>
    <xf numFmtId="2" fontId="25" fillId="2" borderId="0" xfId="0" applyNumberFormat="1" applyFont="1" applyFill="1" applyBorder="1" applyAlignment="1">
      <alignment horizontal="left"/>
    </xf>
    <xf numFmtId="4" fontId="14" fillId="0" borderId="0" xfId="0" quotePrefix="1" applyNumberFormat="1" applyFont="1" applyAlignment="1">
      <alignment horizontal="center"/>
    </xf>
    <xf numFmtId="4" fontId="14" fillId="2" borderId="0" xfId="0" quotePrefix="1" applyNumberFormat="1" applyFont="1" applyFill="1" applyAlignment="1">
      <alignment horizontal="left"/>
    </xf>
    <xf numFmtId="0" fontId="14" fillId="0" borderId="0" xfId="0" applyFont="1" applyAlignment="1">
      <alignment horizontal="center"/>
    </xf>
    <xf numFmtId="166" fontId="19" fillId="2" borderId="1" xfId="0" applyNumberFormat="1" applyFont="1" applyFill="1" applyBorder="1" applyAlignment="1">
      <alignment horizontal="left"/>
    </xf>
    <xf numFmtId="0" fontId="14" fillId="0" borderId="0" xfId="0" applyFont="1" applyBorder="1" applyAlignment="1">
      <alignment horizontal="left"/>
    </xf>
    <xf numFmtId="0" fontId="14" fillId="2" borderId="0" xfId="0" applyFont="1" applyFill="1" applyBorder="1" applyAlignment="1">
      <alignment horizontal="right"/>
    </xf>
    <xf numFmtId="2" fontId="14" fillId="2" borderId="0" xfId="0" applyNumberFormat="1" applyFont="1" applyFill="1" applyBorder="1" applyAlignment="1">
      <alignment horizontal="center"/>
    </xf>
    <xf numFmtId="2" fontId="14" fillId="0" borderId="0" xfId="0" applyNumberFormat="1" applyFont="1" applyFill="1" applyBorder="1" applyAlignment="1">
      <alignment horizontal="center"/>
    </xf>
    <xf numFmtId="0" fontId="14" fillId="0" borderId="1" xfId="0" quotePrefix="1" applyFont="1" applyBorder="1" applyAlignment="1">
      <alignment horizontal="center"/>
    </xf>
    <xf numFmtId="4" fontId="15" fillId="2" borderId="0" xfId="0" applyNumberFormat="1" applyFont="1" applyFill="1" applyAlignment="1">
      <alignment horizontal="left"/>
    </xf>
    <xf numFmtId="4" fontId="14" fillId="0" borderId="0" xfId="0" applyNumberFormat="1" applyFont="1" applyAlignment="1">
      <alignment horizontal="left"/>
    </xf>
    <xf numFmtId="4" fontId="14" fillId="2" borderId="0" xfId="0" applyNumberFormat="1" applyFont="1" applyFill="1" applyAlignment="1">
      <alignment horizontal="left"/>
    </xf>
    <xf numFmtId="0" fontId="16" fillId="2" borderId="0" xfId="0" applyFont="1" applyFill="1" applyAlignment="1">
      <alignment horizontal="center"/>
    </xf>
    <xf numFmtId="7" fontId="17" fillId="2" borderId="0" xfId="0" applyNumberFormat="1" applyFont="1" applyFill="1" applyBorder="1" applyAlignment="1">
      <alignment horizontal="center"/>
    </xf>
    <xf numFmtId="0" fontId="14" fillId="2" borderId="0" xfId="0" applyFont="1" applyFill="1" applyAlignment="1">
      <alignment horizontal="center"/>
    </xf>
    <xf numFmtId="4" fontId="15" fillId="0" borderId="0" xfId="0" applyNumberFormat="1" applyFont="1" applyAlignment="1">
      <alignment horizontal="left"/>
    </xf>
    <xf numFmtId="0" fontId="14" fillId="0" borderId="0" xfId="0" applyFont="1" applyBorder="1" applyAlignment="1">
      <alignment horizontal="right"/>
    </xf>
    <xf numFmtId="2" fontId="14" fillId="0" borderId="0" xfId="0" applyNumberFormat="1" applyFont="1" applyBorder="1" applyAlignment="1">
      <alignment horizontal="center"/>
    </xf>
    <xf numFmtId="0" fontId="14" fillId="0" borderId="0" xfId="0" quotePrefix="1" applyFont="1" applyAlignment="1">
      <alignment horizontal="center"/>
    </xf>
    <xf numFmtId="0" fontId="14" fillId="0" borderId="0" xfId="0" quotePrefix="1" applyFont="1" applyBorder="1" applyAlignment="1">
      <alignment horizontal="center"/>
    </xf>
    <xf numFmtId="0" fontId="14" fillId="0" borderId="1" xfId="0" applyFont="1" applyBorder="1" applyAlignment="1">
      <alignment horizontal="left"/>
    </xf>
    <xf numFmtId="43" fontId="32" fillId="0" borderId="0" xfId="1" applyFont="1" applyFill="1"/>
    <xf numFmtId="43" fontId="17" fillId="0" borderId="0" xfId="1" applyFont="1" applyFill="1"/>
    <xf numFmtId="0" fontId="17" fillId="0" borderId="0" xfId="0" applyFont="1" applyFill="1"/>
    <xf numFmtId="7" fontId="16" fillId="6" borderId="0" xfId="0" applyNumberFormat="1" applyFont="1" applyFill="1" applyBorder="1" applyAlignment="1">
      <alignment horizontal="left"/>
    </xf>
    <xf numFmtId="4" fontId="14" fillId="6" borderId="1" xfId="0" applyNumberFormat="1" applyFont="1" applyFill="1" applyBorder="1" applyAlignment="1">
      <alignment horizontal="center"/>
    </xf>
    <xf numFmtId="43" fontId="14" fillId="6" borderId="1" xfId="1" applyFont="1" applyFill="1" applyBorder="1" applyAlignment="1"/>
    <xf numFmtId="41" fontId="14" fillId="6" borderId="0" xfId="1" applyNumberFormat="1" applyFont="1" applyFill="1" applyBorder="1" applyAlignment="1"/>
    <xf numFmtId="4" fontId="14" fillId="6" borderId="0" xfId="0" applyNumberFormat="1" applyFont="1" applyFill="1" applyAlignment="1">
      <alignment horizontal="center"/>
    </xf>
    <xf numFmtId="38" fontId="14" fillId="6" borderId="0" xfId="0" quotePrefix="1" applyNumberFormat="1" applyFont="1" applyFill="1" applyAlignment="1"/>
    <xf numFmtId="164" fontId="14" fillId="0" borderId="0" xfId="6" quotePrefix="1" applyFont="1" applyBorder="1" applyAlignment="1">
      <alignment horizontal="center" wrapText="1"/>
    </xf>
    <xf numFmtId="3" fontId="14" fillId="2" borderId="0" xfId="0" quotePrefix="1" applyNumberFormat="1" applyFont="1" applyFill="1" applyAlignment="1"/>
    <xf numFmtId="0" fontId="9" fillId="0" borderId="0" xfId="0" quotePrefix="1" applyFont="1" applyFill="1" applyBorder="1" applyAlignment="1">
      <alignment horizontal="left"/>
    </xf>
    <xf numFmtId="0" fontId="32" fillId="0" borderId="0" xfId="0" quotePrefix="1" applyFont="1" applyFill="1" applyBorder="1" applyAlignment="1">
      <alignment horizontal="left"/>
    </xf>
    <xf numFmtId="0" fontId="34" fillId="0" borderId="0" xfId="0" applyFont="1" applyBorder="1" applyAlignment="1"/>
    <xf numFmtId="0" fontId="14" fillId="7" borderId="0" xfId="0" applyFont="1" applyFill="1" applyAlignment="1"/>
    <xf numFmtId="0" fontId="14" fillId="7" borderId="0" xfId="0" applyFont="1" applyFill="1" applyAlignment="1">
      <alignment horizontal="left"/>
    </xf>
    <xf numFmtId="0" fontId="20" fillId="7" borderId="0" xfId="0" applyFont="1" applyFill="1" applyBorder="1" applyAlignment="1"/>
    <xf numFmtId="43" fontId="14" fillId="7" borderId="0" xfId="1" applyFont="1" applyFill="1" applyBorder="1" applyAlignment="1"/>
    <xf numFmtId="0" fontId="14" fillId="0" borderId="4" xfId="0" applyFont="1" applyBorder="1" applyAlignment="1">
      <alignment horizontal="center"/>
    </xf>
    <xf numFmtId="0" fontId="14" fillId="2" borderId="0" xfId="0" applyFont="1" applyFill="1" applyAlignment="1">
      <alignment horizontal="center"/>
    </xf>
    <xf numFmtId="4" fontId="15" fillId="0" borderId="0" xfId="0" applyNumberFormat="1" applyFont="1" applyAlignment="1">
      <alignment horizontal="left"/>
    </xf>
    <xf numFmtId="4" fontId="14" fillId="2" borderId="0" xfId="0" applyNumberFormat="1" applyFont="1" applyFill="1" applyAlignment="1">
      <alignment horizontal="left"/>
    </xf>
    <xf numFmtId="4" fontId="15" fillId="2" borderId="0" xfId="0" applyNumberFormat="1" applyFont="1" applyFill="1" applyAlignment="1">
      <alignment horizontal="left"/>
    </xf>
    <xf numFmtId="4" fontId="14" fillId="0" borderId="0" xfId="0" applyNumberFormat="1" applyFont="1" applyAlignment="1">
      <alignment horizontal="left"/>
    </xf>
    <xf numFmtId="0" fontId="16" fillId="2" borderId="0" xfId="0" applyFont="1" applyFill="1" applyAlignment="1">
      <alignment horizontal="center"/>
    </xf>
    <xf numFmtId="7" fontId="17" fillId="2" borderId="0" xfId="0" applyNumberFormat="1" applyFont="1" applyFill="1" applyBorder="1" applyAlignment="1">
      <alignment horizontal="center"/>
    </xf>
    <xf numFmtId="0" fontId="14" fillId="0" borderId="1" xfId="0" quotePrefix="1" applyFont="1" applyBorder="1" applyAlignment="1">
      <alignment horizontal="center"/>
    </xf>
    <xf numFmtId="0" fontId="14" fillId="0" borderId="0" xfId="0" applyFont="1" applyAlignment="1">
      <alignment horizontal="left"/>
    </xf>
    <xf numFmtId="0" fontId="14" fillId="2" borderId="0" xfId="0" applyFont="1" applyFill="1" applyAlignment="1">
      <alignment horizontal="left"/>
    </xf>
    <xf numFmtId="0" fontId="14" fillId="0" borderId="0" xfId="0" applyFont="1" applyBorder="1" applyAlignment="1">
      <alignment horizontal="left"/>
    </xf>
    <xf numFmtId="0" fontId="14" fillId="2" borderId="1" xfId="0" applyFont="1" applyFill="1" applyBorder="1" applyAlignment="1">
      <alignment horizontal="left"/>
    </xf>
    <xf numFmtId="2" fontId="14" fillId="0" borderId="0" xfId="0" applyNumberFormat="1" applyFont="1" applyFill="1" applyBorder="1" applyAlignment="1">
      <alignment horizontal="center"/>
    </xf>
    <xf numFmtId="2" fontId="14" fillId="2" borderId="0" xfId="0" applyNumberFormat="1" applyFont="1" applyFill="1" applyBorder="1" applyAlignment="1">
      <alignment horizontal="center"/>
    </xf>
    <xf numFmtId="0" fontId="14" fillId="2" borderId="0" xfId="0" applyFont="1" applyFill="1" applyBorder="1" applyAlignment="1">
      <alignment horizontal="center"/>
    </xf>
    <xf numFmtId="0" fontId="14" fillId="2" borderId="0" xfId="0" applyFont="1" applyFill="1" applyBorder="1" applyAlignment="1">
      <alignment horizontal="left"/>
    </xf>
    <xf numFmtId="0" fontId="14" fillId="2" borderId="0" xfId="0" applyFont="1" applyFill="1" applyBorder="1" applyAlignment="1">
      <alignment horizontal="right"/>
    </xf>
    <xf numFmtId="0" fontId="14" fillId="0" borderId="0" xfId="0" applyFont="1" applyAlignment="1">
      <alignment horizontal="right"/>
    </xf>
    <xf numFmtId="0" fontId="14" fillId="2" borderId="0" xfId="0" applyFont="1" applyFill="1" applyAlignment="1">
      <alignment horizontal="right"/>
    </xf>
    <xf numFmtId="0" fontId="14" fillId="0" borderId="1" xfId="0" applyFont="1" applyBorder="1" applyAlignment="1">
      <alignment horizontal="center"/>
    </xf>
    <xf numFmtId="0" fontId="14" fillId="2" borderId="1" xfId="0" applyFont="1" applyFill="1" applyBorder="1" applyAlignment="1">
      <alignment horizontal="center"/>
    </xf>
    <xf numFmtId="0" fontId="14" fillId="0" borderId="0" xfId="0" quotePrefix="1" applyFont="1" applyAlignment="1">
      <alignment horizontal="left"/>
    </xf>
    <xf numFmtId="166" fontId="19" fillId="2" borderId="1" xfId="0" applyNumberFormat="1" applyFont="1" applyFill="1" applyBorder="1" applyAlignment="1">
      <alignment horizontal="left"/>
    </xf>
    <xf numFmtId="0" fontId="14" fillId="0" borderId="0" xfId="0" applyFont="1" applyAlignment="1">
      <alignment horizontal="center"/>
    </xf>
    <xf numFmtId="165" fontId="14" fillId="2" borderId="0" xfId="4" applyFont="1" applyFill="1" applyBorder="1" applyAlignment="1">
      <alignment horizontal="right"/>
    </xf>
    <xf numFmtId="2" fontId="25" fillId="0" borderId="0" xfId="0" applyNumberFormat="1" applyFont="1" applyBorder="1" applyAlignment="1">
      <alignment horizontal="left"/>
    </xf>
    <xf numFmtId="2" fontId="25" fillId="2" borderId="0" xfId="0" applyNumberFormat="1" applyFont="1" applyFill="1" applyBorder="1" applyAlignment="1">
      <alignment horizontal="left"/>
    </xf>
    <xf numFmtId="4" fontId="14" fillId="0" borderId="0" xfId="0" quotePrefix="1" applyNumberFormat="1" applyFont="1" applyAlignment="1">
      <alignment horizontal="center"/>
    </xf>
    <xf numFmtId="4" fontId="14" fillId="2" borderId="0" xfId="0" quotePrefix="1" applyNumberFormat="1" applyFont="1" applyFill="1" applyAlignment="1">
      <alignment horizontal="left"/>
    </xf>
    <xf numFmtId="0" fontId="20" fillId="2" borderId="0" xfId="0" applyFont="1" applyFill="1" applyAlignment="1">
      <alignment horizontal="right"/>
    </xf>
    <xf numFmtId="0" fontId="14" fillId="0" borderId="0" xfId="0" applyFont="1" applyBorder="1" applyAlignment="1">
      <alignment horizontal="center"/>
    </xf>
    <xf numFmtId="3" fontId="14" fillId="0" borderId="0" xfId="0" quotePrefix="1" applyNumberFormat="1" applyFont="1" applyAlignment="1">
      <alignment horizontal="center"/>
    </xf>
    <xf numFmtId="0" fontId="18" fillId="0" borderId="0" xfId="0" applyFont="1" applyAlignment="1">
      <alignment horizontal="left"/>
    </xf>
    <xf numFmtId="0" fontId="14" fillId="0" borderId="0" xfId="0" quotePrefix="1" applyFont="1" applyAlignment="1">
      <alignment horizontal="center"/>
    </xf>
    <xf numFmtId="0" fontId="14" fillId="0" borderId="0" xfId="0" quotePrefix="1" applyFont="1" applyBorder="1" applyAlignment="1">
      <alignment horizontal="center"/>
    </xf>
    <xf numFmtId="2" fontId="14" fillId="0" borderId="0" xfId="0" applyNumberFormat="1" applyFont="1" applyBorder="1" applyAlignment="1">
      <alignment horizontal="center"/>
    </xf>
    <xf numFmtId="0" fontId="14" fillId="0" borderId="0" xfId="0" applyFont="1" applyBorder="1" applyAlignment="1">
      <alignment horizontal="right"/>
    </xf>
    <xf numFmtId="0" fontId="14" fillId="0" borderId="1" xfId="0" applyFont="1" applyBorder="1" applyAlignment="1">
      <alignment horizontal="left"/>
    </xf>
    <xf numFmtId="1" fontId="17" fillId="0" borderId="0" xfId="7" quotePrefix="1" applyNumberFormat="1" applyFont="1" applyFill="1" applyBorder="1" applyAlignment="1">
      <alignment horizontal="left" indent="1"/>
    </xf>
    <xf numFmtId="49" fontId="17" fillId="0" borderId="0" xfId="7" applyNumberFormat="1" applyFont="1" applyFill="1" applyBorder="1" applyAlignment="1"/>
    <xf numFmtId="0" fontId="17" fillId="0" borderId="0" xfId="0" quotePrefix="1" applyFont="1" applyFill="1" applyBorder="1" applyAlignment="1">
      <alignment horizontal="left"/>
    </xf>
    <xf numFmtId="49" fontId="17" fillId="4" borderId="0" xfId="7" quotePrefix="1" applyNumberFormat="1" applyFont="1" applyFill="1" applyBorder="1" applyAlignment="1">
      <alignment horizontal="left" indent="1"/>
    </xf>
    <xf numFmtId="9" fontId="15" fillId="0" borderId="0" xfId="10" quotePrefix="1" applyFont="1" applyAlignment="1">
      <alignment horizontal="left"/>
    </xf>
    <xf numFmtId="7" fontId="20" fillId="0" borderId="0" xfId="0" quotePrefix="1" applyNumberFormat="1" applyFont="1" applyBorder="1" applyAlignment="1">
      <alignment horizontal="center"/>
    </xf>
    <xf numFmtId="0" fontId="20" fillId="0" borderId="1" xfId="0" applyFont="1" applyBorder="1" applyAlignment="1">
      <alignment horizontal="center"/>
    </xf>
    <xf numFmtId="0" fontId="34" fillId="0" borderId="3" xfId="0" quotePrefix="1" applyFont="1" applyBorder="1" applyAlignment="1">
      <alignment horizontal="center"/>
    </xf>
    <xf numFmtId="0" fontId="35" fillId="0" borderId="0" xfId="0" quotePrefix="1" applyFont="1" applyFill="1" applyBorder="1" applyAlignment="1">
      <alignment horizontal="left"/>
    </xf>
    <xf numFmtId="16" fontId="32" fillId="0" borderId="0" xfId="0" applyNumberFormat="1" applyFont="1" applyFill="1"/>
    <xf numFmtId="0" fontId="36" fillId="0" borderId="0" xfId="0" applyFont="1" applyFill="1" applyBorder="1" applyAlignment="1">
      <alignment horizontal="left" indent="1"/>
    </xf>
    <xf numFmtId="0" fontId="9" fillId="0" borderId="0" xfId="0" quotePrefix="1" applyFont="1" applyFill="1" applyBorder="1" applyAlignment="1">
      <alignment horizontal="left" indent="1"/>
    </xf>
    <xf numFmtId="0" fontId="14" fillId="0" borderId="0" xfId="0" applyFont="1" applyAlignment="1">
      <alignment horizontal="left"/>
    </xf>
    <xf numFmtId="0" fontId="14" fillId="0" borderId="0" xfId="0" applyFont="1" applyBorder="1" applyAlignment="1">
      <alignment horizontal="center"/>
    </xf>
    <xf numFmtId="0" fontId="14" fillId="2" borderId="0" xfId="0" applyFont="1" applyFill="1" applyBorder="1" applyAlignment="1">
      <alignment horizontal="center"/>
    </xf>
    <xf numFmtId="4" fontId="14" fillId="0" borderId="0" xfId="0" quotePrefix="1" applyNumberFormat="1" applyFont="1" applyAlignment="1">
      <alignment horizontal="center"/>
    </xf>
    <xf numFmtId="0" fontId="14" fillId="0" borderId="0" xfId="0" quotePrefix="1" applyFont="1" applyAlignment="1">
      <alignment horizontal="center"/>
    </xf>
    <xf numFmtId="0" fontId="14" fillId="0" borderId="0" xfId="0" applyFont="1" applyFill="1" applyAlignment="1">
      <alignment horizontal="left"/>
    </xf>
    <xf numFmtId="0" fontId="14" fillId="0" borderId="0" xfId="0" quotePrefix="1" applyFont="1" applyFill="1" applyAlignment="1">
      <alignment horizontal="center"/>
    </xf>
    <xf numFmtId="0" fontId="14" fillId="0" borderId="0" xfId="0" applyFont="1" applyFill="1" applyBorder="1" applyAlignment="1">
      <alignment horizontal="center"/>
    </xf>
    <xf numFmtId="0" fontId="18" fillId="0" borderId="0" xfId="0" quotePrefix="1" applyFont="1" applyFill="1" applyAlignment="1" applyProtection="1">
      <alignment horizontal="left"/>
      <protection locked="0"/>
    </xf>
    <xf numFmtId="0" fontId="18" fillId="0" borderId="0" xfId="0" applyFont="1" applyFill="1" applyAlignment="1" applyProtection="1">
      <protection locked="0"/>
    </xf>
    <xf numFmtId="0" fontId="18" fillId="0" borderId="0" xfId="0" quotePrefix="1" applyFont="1" applyFill="1" applyAlignment="1" applyProtection="1">
      <alignment horizontal="left" indent="2"/>
      <protection locked="0"/>
    </xf>
    <xf numFmtId="0" fontId="33" fillId="0" borderId="0" xfId="0" applyFont="1" applyFill="1" applyAlignment="1"/>
    <xf numFmtId="170" fontId="14" fillId="0" borderId="0" xfId="6" quotePrefix="1" applyNumberFormat="1" applyFont="1" applyBorder="1" applyAlignment="1">
      <alignment horizontal="center"/>
    </xf>
    <xf numFmtId="0" fontId="35" fillId="0" borderId="0" xfId="0" quotePrefix="1" applyFont="1" applyFill="1" applyBorder="1" applyAlignment="1">
      <alignment horizontal="left" indent="2"/>
    </xf>
    <xf numFmtId="16" fontId="14" fillId="0" borderId="0" xfId="0" applyNumberFormat="1" applyFont="1" applyAlignment="1">
      <alignment vertical="center"/>
    </xf>
    <xf numFmtId="0" fontId="20" fillId="0" borderId="1" xfId="0" quotePrefix="1" applyFont="1" applyBorder="1" applyAlignment="1">
      <alignment horizontal="center"/>
    </xf>
    <xf numFmtId="164" fontId="23" fillId="0" borderId="0" xfId="6" quotePrefix="1" applyFont="1" applyBorder="1" applyAlignment="1">
      <alignment horizontal="center" wrapText="1"/>
    </xf>
    <xf numFmtId="14" fontId="20" fillId="0" borderId="1" xfId="0" quotePrefix="1" applyNumberFormat="1" applyFont="1" applyBorder="1" applyAlignment="1">
      <alignment horizontal="center"/>
    </xf>
    <xf numFmtId="0" fontId="14" fillId="0" borderId="0" xfId="0" quotePrefix="1" applyFont="1" applyAlignment="1">
      <alignment horizontal="left"/>
    </xf>
    <xf numFmtId="0" fontId="14" fillId="0" borderId="0" xfId="0" applyFont="1" applyAlignment="1">
      <alignment horizontal="left"/>
    </xf>
    <xf numFmtId="0" fontId="18" fillId="0" borderId="0" xfId="0" applyFont="1" applyAlignment="1">
      <alignment horizontal="left"/>
    </xf>
    <xf numFmtId="3" fontId="14" fillId="0" borderId="0" xfId="0" quotePrefix="1" applyNumberFormat="1" applyFont="1" applyAlignment="1">
      <alignment horizontal="center"/>
    </xf>
    <xf numFmtId="0" fontId="14" fillId="2" borderId="0" xfId="0" applyFont="1" applyFill="1" applyAlignment="1">
      <alignment horizontal="right"/>
    </xf>
    <xf numFmtId="0" fontId="14" fillId="0" borderId="0" xfId="0" applyFont="1" applyAlignment="1">
      <alignment horizontal="right"/>
    </xf>
    <xf numFmtId="0" fontId="14" fillId="2" borderId="0" xfId="0" applyFont="1" applyFill="1" applyAlignment="1">
      <alignment horizontal="left"/>
    </xf>
    <xf numFmtId="0" fontId="14" fillId="2" borderId="1" xfId="0" applyFont="1" applyFill="1" applyBorder="1" applyAlignment="1">
      <alignment horizontal="left"/>
    </xf>
    <xf numFmtId="0" fontId="14" fillId="2" borderId="1" xfId="0" applyFont="1" applyFill="1" applyBorder="1" applyAlignment="1">
      <alignment horizontal="center"/>
    </xf>
    <xf numFmtId="0" fontId="14" fillId="0" borderId="0" xfId="0" applyFont="1" applyBorder="1" applyAlignment="1">
      <alignment horizontal="center"/>
    </xf>
    <xf numFmtId="0" fontId="14" fillId="2" borderId="0" xfId="0" applyFont="1" applyFill="1" applyBorder="1" applyAlignment="1">
      <alignment horizontal="center"/>
    </xf>
    <xf numFmtId="0" fontId="14" fillId="2" borderId="0" xfId="0" applyFont="1" applyFill="1" applyBorder="1" applyAlignment="1">
      <alignment horizontal="left"/>
    </xf>
    <xf numFmtId="0" fontId="14" fillId="0" borderId="1" xfId="0" applyFont="1" applyBorder="1" applyAlignment="1">
      <alignment horizontal="center"/>
    </xf>
    <xf numFmtId="0" fontId="20" fillId="2" borderId="0" xfId="0" applyFont="1" applyFill="1" applyAlignment="1">
      <alignment horizontal="right"/>
    </xf>
    <xf numFmtId="165" fontId="14" fillId="2" borderId="0" xfId="4" applyFont="1" applyFill="1" applyBorder="1" applyAlignment="1">
      <alignment horizontal="right"/>
    </xf>
    <xf numFmtId="2" fontId="25" fillId="0" borderId="0" xfId="0" applyNumberFormat="1" applyFont="1" applyBorder="1" applyAlignment="1">
      <alignment horizontal="left"/>
    </xf>
    <xf numFmtId="2" fontId="25" fillId="2" borderId="0" xfId="0" applyNumberFormat="1" applyFont="1" applyFill="1" applyBorder="1" applyAlignment="1">
      <alignment horizontal="left"/>
    </xf>
    <xf numFmtId="4" fontId="14" fillId="0" borderId="0" xfId="0" quotePrefix="1" applyNumberFormat="1" applyFont="1" applyAlignment="1">
      <alignment horizontal="center"/>
    </xf>
    <xf numFmtId="4" fontId="14" fillId="2" borderId="0" xfId="0" quotePrefix="1" applyNumberFormat="1" applyFont="1" applyFill="1" applyAlignment="1">
      <alignment horizontal="left"/>
    </xf>
    <xf numFmtId="0" fontId="14" fillId="0" borderId="0" xfId="0" applyFont="1" applyAlignment="1">
      <alignment horizontal="center"/>
    </xf>
    <xf numFmtId="166" fontId="19" fillId="2" borderId="1" xfId="0" applyNumberFormat="1" applyFont="1" applyFill="1" applyBorder="1" applyAlignment="1">
      <alignment horizontal="left"/>
    </xf>
    <xf numFmtId="0" fontId="14" fillId="0" borderId="0" xfId="0" applyFont="1" applyBorder="1" applyAlignment="1">
      <alignment horizontal="left"/>
    </xf>
    <xf numFmtId="0" fontId="14" fillId="2" borderId="0" xfId="0" applyFont="1" applyFill="1" applyBorder="1" applyAlignment="1">
      <alignment horizontal="right"/>
    </xf>
    <xf numFmtId="2" fontId="14" fillId="2" borderId="0" xfId="0" applyNumberFormat="1" applyFont="1" applyFill="1" applyBorder="1" applyAlignment="1">
      <alignment horizontal="center"/>
    </xf>
    <xf numFmtId="2" fontId="14" fillId="0" borderId="0" xfId="0" applyNumberFormat="1" applyFont="1" applyFill="1" applyBorder="1" applyAlignment="1">
      <alignment horizontal="center"/>
    </xf>
    <xf numFmtId="0" fontId="14" fillId="0" borderId="1" xfId="0" quotePrefix="1" applyFont="1" applyBorder="1" applyAlignment="1">
      <alignment horizontal="center"/>
    </xf>
    <xf numFmtId="4" fontId="14" fillId="2" borderId="0" xfId="0" applyNumberFormat="1" applyFont="1" applyFill="1" applyAlignment="1">
      <alignment horizontal="left"/>
    </xf>
    <xf numFmtId="0" fontId="16" fillId="2" borderId="0" xfId="0" applyFont="1" applyFill="1" applyAlignment="1">
      <alignment horizontal="center"/>
    </xf>
    <xf numFmtId="7" fontId="17" fillId="2" borderId="0" xfId="0" applyNumberFormat="1" applyFont="1" applyFill="1" applyBorder="1" applyAlignment="1">
      <alignment horizontal="center"/>
    </xf>
    <xf numFmtId="0" fontId="14" fillId="2" borderId="0" xfId="0" applyFont="1" applyFill="1" applyAlignment="1">
      <alignment horizontal="center"/>
    </xf>
    <xf numFmtId="4" fontId="15" fillId="0" borderId="0" xfId="0" applyNumberFormat="1" applyFont="1" applyAlignment="1">
      <alignment horizontal="left"/>
    </xf>
    <xf numFmtId="4" fontId="15" fillId="2" borderId="0" xfId="0" applyNumberFormat="1" applyFont="1" applyFill="1" applyAlignment="1">
      <alignment horizontal="left"/>
    </xf>
    <xf numFmtId="4" fontId="14" fillId="0" borderId="0" xfId="0" applyNumberFormat="1" applyFont="1" applyAlignment="1">
      <alignment horizontal="left"/>
    </xf>
    <xf numFmtId="0" fontId="14" fillId="0" borderId="0" xfId="0" applyFont="1" applyBorder="1" applyAlignment="1">
      <alignment horizontal="right"/>
    </xf>
    <xf numFmtId="2" fontId="14" fillId="0" borderId="0" xfId="0" applyNumberFormat="1" applyFont="1" applyBorder="1" applyAlignment="1">
      <alignment horizontal="center"/>
    </xf>
    <xf numFmtId="0" fontId="14" fillId="0" borderId="0" xfId="0" quotePrefix="1" applyFont="1" applyAlignment="1">
      <alignment horizontal="center"/>
    </xf>
    <xf numFmtId="0" fontId="14" fillId="0" borderId="0" xfId="0" quotePrefix="1" applyFont="1" applyBorder="1" applyAlignment="1">
      <alignment horizontal="center"/>
    </xf>
    <xf numFmtId="43" fontId="32" fillId="4" borderId="0" xfId="1" applyNumberFormat="1" applyFont="1" applyFill="1" applyBorder="1" applyAlignment="1"/>
    <xf numFmtId="43" fontId="32" fillId="0" borderId="0" xfId="1" applyNumberFormat="1" applyFont="1" applyFill="1" applyBorder="1" applyAlignment="1"/>
    <xf numFmtId="43" fontId="32" fillId="0" borderId="0" xfId="1" applyNumberFormat="1" applyFont="1" applyFill="1" applyAlignment="1"/>
    <xf numFmtId="43" fontId="32" fillId="0" borderId="0" xfId="1" applyFont="1" applyFill="1" applyBorder="1"/>
    <xf numFmtId="0" fontId="14" fillId="0" borderId="0" xfId="0" quotePrefix="1" applyFont="1" applyAlignment="1">
      <alignment horizontal="center"/>
    </xf>
    <xf numFmtId="0" fontId="17" fillId="4" borderId="0" xfId="0" applyFont="1" applyFill="1" applyBorder="1" applyAlignment="1">
      <alignment horizontal="center"/>
    </xf>
    <xf numFmtId="0" fontId="17" fillId="0" borderId="0" xfId="0" quotePrefix="1" applyFont="1" applyFill="1" applyBorder="1" applyAlignment="1">
      <alignment horizontal="left" vertical="top"/>
    </xf>
    <xf numFmtId="17" fontId="20" fillId="0" borderId="0" xfId="0" quotePrefix="1" applyNumberFormat="1" applyFont="1" applyBorder="1" applyAlignment="1">
      <alignment horizontal="center"/>
    </xf>
    <xf numFmtId="0" fontId="16" fillId="0" borderId="0" xfId="0" quotePrefix="1" applyFont="1" applyAlignment="1">
      <alignment horizontal="center"/>
    </xf>
    <xf numFmtId="7" fontId="17" fillId="0" borderId="0" xfId="0" quotePrefix="1" applyNumberFormat="1" applyFont="1" applyBorder="1" applyAlignment="1">
      <alignment horizontal="center"/>
    </xf>
    <xf numFmtId="0" fontId="9" fillId="2" borderId="12" xfId="0" quotePrefix="1" applyFont="1" applyFill="1" applyBorder="1" applyAlignment="1">
      <alignment horizontal="left"/>
    </xf>
    <xf numFmtId="0" fontId="35" fillId="2" borderId="12" xfId="0" quotePrefix="1" applyFont="1" applyFill="1" applyBorder="1" applyAlignment="1">
      <alignment horizontal="left" indent="1"/>
    </xf>
    <xf numFmtId="0" fontId="9" fillId="2" borderId="12" xfId="0" quotePrefix="1" applyFont="1" applyFill="1" applyBorder="1" applyAlignment="1">
      <alignment horizontal="left" indent="1"/>
    </xf>
    <xf numFmtId="0" fontId="35" fillId="2" borderId="12" xfId="0" quotePrefix="1" applyFont="1" applyFill="1" applyBorder="1" applyAlignment="1">
      <alignment horizontal="left" indent="2"/>
    </xf>
    <xf numFmtId="0" fontId="35" fillId="2" borderId="12" xfId="0" quotePrefix="1" applyFont="1" applyFill="1" applyBorder="1" applyAlignment="1">
      <alignment horizontal="left"/>
    </xf>
    <xf numFmtId="0" fontId="9" fillId="2" borderId="13" xfId="0" quotePrefix="1" applyFont="1" applyFill="1" applyBorder="1" applyAlignment="1">
      <alignment horizontal="left"/>
    </xf>
    <xf numFmtId="0" fontId="17" fillId="0" borderId="0" xfId="0" quotePrefix="1" applyFont="1" applyFill="1" applyBorder="1" applyAlignment="1">
      <alignment horizontal="left" vertical="center" indent="1"/>
    </xf>
    <xf numFmtId="49" fontId="17" fillId="0" borderId="0" xfId="7" quotePrefix="1" applyNumberFormat="1" applyFont="1" applyFill="1" applyBorder="1" applyAlignment="1">
      <alignment horizontal="left" indent="1"/>
    </xf>
    <xf numFmtId="43" fontId="17" fillId="0" borderId="0" xfId="1" applyNumberFormat="1" applyFont="1" applyFill="1" applyBorder="1" applyAlignment="1"/>
    <xf numFmtId="0" fontId="14" fillId="0" borderId="0" xfId="0" applyFont="1" applyAlignment="1">
      <alignment horizontal="left"/>
    </xf>
    <xf numFmtId="0" fontId="14" fillId="0" borderId="0" xfId="0" quotePrefix="1" applyFont="1" applyAlignment="1">
      <alignment horizontal="left"/>
    </xf>
    <xf numFmtId="4" fontId="14" fillId="0" borderId="0" xfId="0" quotePrefix="1" applyNumberFormat="1" applyFont="1" applyAlignment="1">
      <alignment horizontal="center"/>
    </xf>
    <xf numFmtId="3" fontId="14" fillId="0" borderId="0" xfId="0" quotePrefix="1" applyNumberFormat="1" applyFont="1" applyAlignment="1">
      <alignment horizontal="center"/>
    </xf>
    <xf numFmtId="0" fontId="33" fillId="0" borderId="0" xfId="0" applyFont="1" applyAlignment="1">
      <alignment horizontal="left"/>
    </xf>
    <xf numFmtId="0" fontId="14" fillId="0" borderId="0" xfId="0" quotePrefix="1" applyFont="1" applyAlignment="1">
      <alignment horizontal="center"/>
    </xf>
    <xf numFmtId="0" fontId="17" fillId="2" borderId="0" xfId="0" applyFont="1" applyFill="1" applyAlignment="1">
      <alignment horizontal="left" indent="3"/>
    </xf>
    <xf numFmtId="0" fontId="18" fillId="0" borderId="0" xfId="0" applyFont="1" applyAlignment="1">
      <alignment vertical="center" wrapText="1"/>
    </xf>
    <xf numFmtId="0" fontId="18" fillId="0" borderId="0" xfId="0" quotePrefix="1" applyFont="1" applyFill="1" applyAlignment="1" applyProtection="1">
      <alignment horizontal="left" vertical="center"/>
      <protection locked="0"/>
    </xf>
    <xf numFmtId="0" fontId="18" fillId="0" borderId="0" xfId="0" applyFont="1" applyFill="1" applyAlignment="1" applyProtection="1">
      <alignment vertical="center"/>
      <protection locked="0"/>
    </xf>
    <xf numFmtId="0" fontId="18" fillId="0" borderId="0" xfId="0" applyFont="1" applyFill="1" applyAlignment="1">
      <alignment vertical="center"/>
    </xf>
    <xf numFmtId="0" fontId="18" fillId="0" borderId="0" xfId="0" quotePrefix="1" applyFont="1" applyFill="1" applyAlignment="1">
      <alignment horizontal="left" vertical="center"/>
    </xf>
    <xf numFmtId="0" fontId="33" fillId="0" borderId="0" xfId="0" quotePrefix="1" applyFont="1" applyFill="1" applyAlignment="1">
      <alignment horizontal="left" vertical="center"/>
    </xf>
    <xf numFmtId="0" fontId="33" fillId="0" borderId="0" xfId="0" applyFont="1" applyFill="1" applyAlignment="1">
      <alignment vertical="center"/>
    </xf>
    <xf numFmtId="0" fontId="33" fillId="0" borderId="0" xfId="0" applyFont="1" applyAlignment="1">
      <alignment vertical="center"/>
    </xf>
    <xf numFmtId="0" fontId="33" fillId="0" borderId="0" xfId="0" quotePrefix="1" applyFont="1" applyAlignment="1">
      <alignment horizontal="left" vertical="center"/>
    </xf>
    <xf numFmtId="0" fontId="18" fillId="0" borderId="0" xfId="0" quotePrefix="1" applyFont="1" applyFill="1" applyAlignment="1" applyProtection="1">
      <alignment horizontal="left" vertical="center" indent="2"/>
      <protection locked="0"/>
    </xf>
    <xf numFmtId="0" fontId="18" fillId="0" borderId="0" xfId="0" applyFont="1" applyFill="1" applyAlignment="1">
      <alignment horizontal="left" vertical="center" indent="2"/>
    </xf>
    <xf numFmtId="0" fontId="18" fillId="0" borderId="0" xfId="0" quotePrefix="1" applyFont="1" applyFill="1" applyAlignment="1">
      <alignment horizontal="left" vertical="center" indent="2"/>
    </xf>
    <xf numFmtId="0" fontId="33" fillId="0" borderId="0" xfId="0" quotePrefix="1" applyFont="1" applyFill="1" applyAlignment="1">
      <alignment horizontal="left" vertical="center" indent="1"/>
    </xf>
    <xf numFmtId="0" fontId="33" fillId="0" borderId="0" xfId="0" quotePrefix="1" applyFont="1" applyAlignment="1">
      <alignment horizontal="left" vertical="center" indent="1"/>
    </xf>
    <xf numFmtId="0" fontId="33" fillId="0" borderId="0" xfId="0" applyFont="1" applyFill="1" applyAlignment="1">
      <alignment horizontal="left"/>
    </xf>
    <xf numFmtId="0" fontId="37" fillId="0" borderId="0" xfId="0" applyFont="1" applyAlignment="1"/>
    <xf numFmtId="0" fontId="37" fillId="0" borderId="0" xfId="0" applyFont="1" applyFill="1" applyAlignment="1">
      <alignment vertical="center"/>
    </xf>
    <xf numFmtId="0" fontId="33" fillId="0" borderId="0" xfId="0" applyFont="1" applyFill="1" applyAlignment="1">
      <alignment horizontal="left" vertical="center"/>
    </xf>
    <xf numFmtId="0" fontId="37" fillId="0" borderId="0" xfId="0" applyFont="1" applyAlignment="1">
      <alignment vertical="center"/>
    </xf>
    <xf numFmtId="0" fontId="33" fillId="0" borderId="0" xfId="0" applyFont="1" applyAlignment="1">
      <alignment horizontal="left" vertical="center"/>
    </xf>
    <xf numFmtId="0" fontId="37" fillId="0" borderId="0" xfId="0" quotePrefix="1" applyFont="1" applyFill="1" applyAlignment="1" applyProtection="1">
      <alignment horizontal="left" vertical="center"/>
      <protection locked="0"/>
    </xf>
    <xf numFmtId="0" fontId="37" fillId="0" borderId="0" xfId="0" quotePrefix="1" applyFont="1" applyFill="1" applyAlignment="1" applyProtection="1">
      <alignment horizontal="left"/>
      <protection locked="0"/>
    </xf>
    <xf numFmtId="0" fontId="33" fillId="0" borderId="0" xfId="0" quotePrefix="1" applyFont="1" applyFill="1" applyAlignment="1" applyProtection="1">
      <alignment horizontal="left"/>
      <protection locked="0"/>
    </xf>
    <xf numFmtId="0" fontId="33" fillId="0" borderId="0" xfId="0" quotePrefix="1" applyFont="1" applyFill="1" applyAlignment="1" applyProtection="1">
      <alignment horizontal="left" indent="1"/>
      <protection locked="0"/>
    </xf>
    <xf numFmtId="0" fontId="33" fillId="0" borderId="0" xfId="0" quotePrefix="1" applyFont="1" applyFill="1" applyAlignment="1" applyProtection="1">
      <alignment horizontal="left" vertical="center"/>
      <protection locked="0"/>
    </xf>
    <xf numFmtId="0" fontId="33" fillId="0" borderId="0" xfId="0" quotePrefix="1" applyFont="1" applyFill="1" applyAlignment="1" applyProtection="1">
      <alignment horizontal="left" vertical="center" indent="1"/>
      <protection locked="0"/>
    </xf>
    <xf numFmtId="1" fontId="17" fillId="0" borderId="0" xfId="7" quotePrefix="1" applyNumberFormat="1" applyFont="1" applyFill="1" applyBorder="1" applyAlignment="1">
      <alignment horizontal="right"/>
    </xf>
    <xf numFmtId="7" fontId="20" fillId="0" borderId="0" xfId="0" applyNumberFormat="1" applyFont="1" applyAlignment="1">
      <alignment horizontal="center"/>
    </xf>
    <xf numFmtId="0" fontId="14" fillId="0" borderId="0" xfId="0" quotePrefix="1" applyFont="1" applyAlignment="1">
      <alignment horizontal="center"/>
    </xf>
    <xf numFmtId="0" fontId="14" fillId="0" borderId="0" xfId="0" quotePrefix="1" applyFont="1" applyAlignment="1">
      <alignment horizontal="left"/>
    </xf>
    <xf numFmtId="0" fontId="14" fillId="0" borderId="0" xfId="0" quotePrefix="1" applyFont="1" applyAlignment="1">
      <alignment horizontal="left"/>
    </xf>
    <xf numFmtId="0" fontId="14" fillId="2" borderId="0" xfId="0" quotePrefix="1" applyFont="1" applyFill="1" applyAlignment="1">
      <alignment horizontal="left"/>
    </xf>
    <xf numFmtId="43" fontId="17" fillId="0" borderId="0" xfId="7" applyNumberFormat="1" applyFont="1" applyFill="1" applyBorder="1" applyAlignment="1">
      <alignment vertical="center"/>
    </xf>
    <xf numFmtId="164" fontId="14" fillId="2" borderId="0" xfId="6" quotePrefix="1" applyFont="1" applyFill="1" applyBorder="1" applyAlignment="1">
      <alignment horizontal="center" wrapText="1"/>
    </xf>
    <xf numFmtId="164" fontId="14" fillId="0" borderId="0" xfId="6" quotePrefix="1" applyFont="1" applyBorder="1" applyAlignment="1">
      <alignment horizontal="center"/>
    </xf>
    <xf numFmtId="16" fontId="18" fillId="0" borderId="0" xfId="0" applyNumberFormat="1" applyFont="1" applyAlignment="1">
      <alignment horizontal="left"/>
    </xf>
    <xf numFmtId="0" fontId="18" fillId="0" borderId="0" xfId="0" applyFont="1" applyAlignment="1">
      <alignment vertical="center"/>
    </xf>
    <xf numFmtId="0" fontId="18" fillId="0" borderId="0" xfId="0" quotePrefix="1" applyFont="1" applyAlignment="1">
      <alignment horizontal="left" vertical="center"/>
    </xf>
    <xf numFmtId="0" fontId="18" fillId="0" borderId="0" xfId="0" applyFont="1" applyAlignment="1">
      <alignment horizontal="left" vertical="center" indent="2"/>
    </xf>
    <xf numFmtId="16" fontId="32" fillId="0" borderId="0" xfId="0" applyNumberFormat="1" applyFont="1"/>
    <xf numFmtId="49" fontId="18" fillId="2" borderId="7" xfId="0" quotePrefix="1" applyNumberFormat="1" applyFont="1" applyFill="1" applyBorder="1" applyAlignment="1">
      <alignment horizontal="left"/>
    </xf>
    <xf numFmtId="49" fontId="34" fillId="2" borderId="0" xfId="0" quotePrefix="1" applyNumberFormat="1" applyFont="1" applyFill="1" applyBorder="1" applyAlignment="1">
      <alignment horizontal="center"/>
    </xf>
    <xf numFmtId="49" fontId="34" fillId="2" borderId="14" xfId="0" quotePrefix="1" applyNumberFormat="1" applyFont="1" applyFill="1" applyBorder="1" applyAlignment="1">
      <alignment horizontal="center"/>
    </xf>
    <xf numFmtId="49" fontId="18" fillId="2" borderId="15" xfId="0" quotePrefix="1" applyNumberFormat="1" applyFont="1" applyFill="1" applyBorder="1" applyAlignment="1">
      <alignment horizontal="left"/>
    </xf>
    <xf numFmtId="49" fontId="18" fillId="2" borderId="2" xfId="0" applyNumberFormat="1" applyFont="1" applyFill="1" applyBorder="1"/>
    <xf numFmtId="49" fontId="18" fillId="2" borderId="16" xfId="0" applyNumberFormat="1" applyFont="1" applyFill="1" applyBorder="1"/>
    <xf numFmtId="0" fontId="17" fillId="0" borderId="0" xfId="0" quotePrefix="1" applyFont="1" applyFill="1" applyBorder="1" applyAlignment="1">
      <alignment vertical="center"/>
    </xf>
    <xf numFmtId="0" fontId="17" fillId="4" borderId="0" xfId="0" quotePrefix="1" applyFont="1" applyFill="1" applyBorder="1" applyAlignment="1">
      <alignment horizontal="left" vertical="center" indent="1"/>
    </xf>
    <xf numFmtId="0" fontId="36" fillId="2" borderId="12" xfId="0" applyFont="1" applyFill="1" applyBorder="1"/>
    <xf numFmtId="0" fontId="35" fillId="0" borderId="0" xfId="0" quotePrefix="1" applyFont="1" applyFill="1" applyBorder="1" applyAlignment="1">
      <alignment horizontal="left" indent="1"/>
    </xf>
    <xf numFmtId="49" fontId="18" fillId="2" borderId="0" xfId="0" quotePrefix="1" applyNumberFormat="1" applyFont="1" applyFill="1" applyBorder="1" applyAlignment="1">
      <alignment horizontal="center"/>
    </xf>
    <xf numFmtId="49" fontId="18" fillId="2" borderId="14" xfId="0" quotePrefix="1" applyNumberFormat="1" applyFont="1" applyFill="1" applyBorder="1" applyAlignment="1">
      <alignment horizontal="center"/>
    </xf>
    <xf numFmtId="0" fontId="18" fillId="4" borderId="0" xfId="0" quotePrefix="1" applyFont="1" applyFill="1" applyBorder="1" applyAlignment="1">
      <alignment horizontal="center"/>
    </xf>
    <xf numFmtId="4" fontId="20" fillId="0" borderId="0" xfId="0" applyNumberFormat="1" applyFont="1" applyAlignment="1"/>
    <xf numFmtId="1" fontId="17" fillId="4" borderId="0" xfId="7" applyNumberFormat="1" applyFont="1" applyFill="1" applyBorder="1" applyAlignment="1">
      <alignment horizontal="right" indent="1"/>
    </xf>
    <xf numFmtId="1" fontId="17" fillId="0" borderId="0" xfId="7" quotePrefix="1" applyNumberFormat="1" applyFont="1" applyFill="1" applyBorder="1" applyAlignment="1">
      <alignment horizontal="right" indent="1"/>
    </xf>
    <xf numFmtId="0" fontId="14" fillId="0" borderId="0" xfId="0" applyFont="1" applyAlignment="1">
      <alignment horizontal="left"/>
    </xf>
    <xf numFmtId="0" fontId="14" fillId="0" borderId="0" xfId="0" quotePrefix="1" applyFont="1" applyAlignment="1">
      <alignment horizontal="left"/>
    </xf>
    <xf numFmtId="0" fontId="14" fillId="0" borderId="0" xfId="0" applyFont="1" applyFill="1" applyAlignment="1">
      <alignment horizontal="left"/>
    </xf>
    <xf numFmtId="4" fontId="14" fillId="0" borderId="0" xfId="0" quotePrefix="1" applyNumberFormat="1" applyFont="1" applyAlignment="1">
      <alignment horizontal="center"/>
    </xf>
    <xf numFmtId="0" fontId="14" fillId="0" borderId="0" xfId="0" applyFont="1" applyFill="1" applyBorder="1" applyAlignment="1">
      <alignment horizontal="center"/>
    </xf>
    <xf numFmtId="0" fontId="14" fillId="0" borderId="0" xfId="0" applyFont="1" applyBorder="1" applyAlignment="1">
      <alignment horizontal="center"/>
    </xf>
    <xf numFmtId="0" fontId="14" fillId="2" borderId="0" xfId="0" applyFont="1" applyFill="1" applyAlignment="1">
      <alignment horizontal="left"/>
    </xf>
    <xf numFmtId="0" fontId="14" fillId="2" borderId="0" xfId="0" applyFont="1" applyFill="1" applyBorder="1" applyAlignment="1">
      <alignment horizontal="center"/>
    </xf>
    <xf numFmtId="0" fontId="17" fillId="0" borderId="0" xfId="0" quotePrefix="1" applyFont="1" applyFill="1" applyBorder="1" applyAlignment="1">
      <alignment horizontal="left" vertical="center"/>
    </xf>
    <xf numFmtId="0" fontId="14" fillId="7" borderId="0" xfId="0" quotePrefix="1" applyFont="1" applyFill="1" applyAlignment="1">
      <alignment horizontal="left"/>
    </xf>
    <xf numFmtId="1" fontId="8" fillId="0" borderId="0" xfId="0" quotePrefix="1" applyNumberFormat="1" applyFont="1" applyFill="1" applyAlignment="1">
      <alignment horizontal="left"/>
    </xf>
    <xf numFmtId="0" fontId="18" fillId="2" borderId="7" xfId="0" quotePrefix="1" applyFont="1" applyFill="1" applyBorder="1" applyAlignment="1">
      <alignment horizontal="left"/>
    </xf>
    <xf numFmtId="0" fontId="18" fillId="2" borderId="7" xfId="0" quotePrefix="1" applyFont="1" applyFill="1" applyBorder="1" applyAlignment="1">
      <alignment horizontal="left" indent="1"/>
    </xf>
    <xf numFmtId="0" fontId="18" fillId="2" borderId="7" xfId="0" quotePrefix="1" applyFont="1" applyFill="1" applyBorder="1" applyAlignment="1">
      <alignment horizontal="left" indent="2"/>
    </xf>
    <xf numFmtId="0" fontId="18" fillId="0" borderId="0" xfId="0" quotePrefix="1" applyFont="1" applyFill="1" applyBorder="1" applyAlignment="1">
      <alignment horizontal="center"/>
    </xf>
    <xf numFmtId="0" fontId="34" fillId="0" borderId="17" xfId="0" quotePrefix="1" applyFont="1" applyBorder="1" applyAlignment="1">
      <alignment horizontal="center"/>
    </xf>
    <xf numFmtId="0" fontId="34" fillId="0" borderId="18" xfId="0" quotePrefix="1" applyFont="1" applyBorder="1" applyAlignment="1">
      <alignment horizontal="center"/>
    </xf>
    <xf numFmtId="0" fontId="34" fillId="0" borderId="19" xfId="0" quotePrefix="1" applyFont="1" applyBorder="1" applyAlignment="1">
      <alignment horizontal="center"/>
    </xf>
    <xf numFmtId="49" fontId="34" fillId="0" borderId="4" xfId="7" quotePrefix="1" applyNumberFormat="1" applyFont="1" applyBorder="1" applyAlignment="1">
      <alignment horizontal="center"/>
    </xf>
    <xf numFmtId="49" fontId="34" fillId="0" borderId="4" xfId="7" applyNumberFormat="1" applyFont="1" applyBorder="1" applyAlignment="1">
      <alignment horizontal="center"/>
    </xf>
    <xf numFmtId="0" fontId="14" fillId="0" borderId="0" xfId="0" applyFont="1" applyAlignment="1">
      <alignment horizontal="left"/>
    </xf>
    <xf numFmtId="0" fontId="14" fillId="0" borderId="0" xfId="0" quotePrefix="1" applyFont="1" applyAlignment="1">
      <alignment horizontal="left"/>
    </xf>
    <xf numFmtId="3" fontId="14" fillId="0" borderId="0" xfId="0" quotePrefix="1" applyNumberFormat="1" applyFont="1" applyAlignment="1">
      <alignment horizontal="center"/>
    </xf>
    <xf numFmtId="0" fontId="14" fillId="0" borderId="0" xfId="0" applyFont="1" applyAlignment="1">
      <alignment horizontal="right"/>
    </xf>
    <xf numFmtId="0" fontId="14" fillId="0" borderId="0" xfId="0" applyFont="1" applyBorder="1" applyAlignment="1">
      <alignment horizontal="left" indent="2"/>
    </xf>
    <xf numFmtId="7" fontId="14" fillId="0" borderId="0" xfId="0" applyNumberFormat="1" applyFont="1" applyFill="1" applyAlignment="1">
      <alignment horizontal="right"/>
    </xf>
    <xf numFmtId="0" fontId="14" fillId="0" borderId="0" xfId="0" applyFont="1" applyBorder="1" applyAlignment="1">
      <alignment horizontal="center"/>
    </xf>
    <xf numFmtId="0" fontId="14" fillId="0" borderId="6" xfId="0" applyFont="1" applyBorder="1" applyAlignment="1">
      <alignment horizontal="left" indent="2"/>
    </xf>
    <xf numFmtId="7" fontId="14" fillId="0" borderId="6" xfId="0" applyNumberFormat="1" applyFont="1" applyFill="1" applyBorder="1" applyAlignment="1">
      <alignment horizontal="right"/>
    </xf>
    <xf numFmtId="0" fontId="14" fillId="9" borderId="1" xfId="0" applyFont="1" applyFill="1" applyBorder="1" applyAlignment="1">
      <alignment horizontal="center"/>
    </xf>
    <xf numFmtId="4" fontId="14" fillId="0" borderId="0" xfId="0" quotePrefix="1" applyNumberFormat="1" applyFont="1" applyAlignment="1">
      <alignment horizontal="center"/>
    </xf>
    <xf numFmtId="0" fontId="14" fillId="0" borderId="0" xfId="0" applyFont="1" applyFill="1" applyAlignment="1">
      <alignment horizontal="center"/>
    </xf>
    <xf numFmtId="0" fontId="14" fillId="0" borderId="1" xfId="0" applyFont="1" applyBorder="1" applyAlignment="1">
      <alignment horizontal="center"/>
    </xf>
    <xf numFmtId="0" fontId="14" fillId="0" borderId="0" xfId="0" quotePrefix="1" applyFont="1" applyFill="1" applyBorder="1" applyAlignment="1">
      <alignment horizontal="center"/>
    </xf>
    <xf numFmtId="0" fontId="14" fillId="0" borderId="0" xfId="0" applyFont="1" applyFill="1" applyBorder="1" applyAlignment="1">
      <alignment horizontal="center"/>
    </xf>
    <xf numFmtId="0" fontId="14" fillId="0" borderId="1" xfId="0" applyFont="1" applyFill="1" applyBorder="1" applyAlignment="1">
      <alignment horizontal="center"/>
    </xf>
    <xf numFmtId="0" fontId="14" fillId="0" borderId="0" xfId="0" applyFont="1" applyAlignment="1">
      <alignment horizontal="center"/>
    </xf>
    <xf numFmtId="174" fontId="14" fillId="0" borderId="0" xfId="0" applyNumberFormat="1" applyFont="1" applyBorder="1" applyAlignment="1"/>
    <xf numFmtId="174" fontId="14" fillId="0" borderId="9" xfId="0" applyNumberFormat="1" applyFont="1" applyBorder="1" applyAlignment="1"/>
    <xf numFmtId="2" fontId="25" fillId="0" borderId="0" xfId="0" applyNumberFormat="1" applyFont="1" applyBorder="1" applyAlignment="1">
      <alignment horizontal="left"/>
    </xf>
    <xf numFmtId="0" fontId="14" fillId="0" borderId="0" xfId="0" applyFont="1" applyFill="1" applyAlignment="1">
      <alignment horizontal="left"/>
    </xf>
    <xf numFmtId="0" fontId="14" fillId="0" borderId="0" xfId="0" quotePrefix="1" applyFont="1" applyFill="1" applyAlignment="1">
      <alignment horizontal="left"/>
    </xf>
    <xf numFmtId="0" fontId="14" fillId="0" borderId="0" xfId="0" quotePrefix="1" applyFont="1" applyFill="1" applyAlignment="1">
      <alignment horizontal="center"/>
    </xf>
    <xf numFmtId="0" fontId="14" fillId="0" borderId="0" xfId="0" applyFont="1" applyFill="1" applyAlignment="1">
      <alignment horizontal="left" wrapText="1"/>
    </xf>
    <xf numFmtId="0" fontId="14" fillId="0" borderId="0" xfId="0" quotePrefix="1" applyFont="1" applyFill="1" applyAlignment="1">
      <alignment horizontal="left" wrapText="1"/>
    </xf>
    <xf numFmtId="0" fontId="14" fillId="0" borderId="0" xfId="0" applyFont="1" applyBorder="1" applyAlignment="1">
      <alignment horizontal="left" wrapText="1"/>
    </xf>
    <xf numFmtId="0" fontId="14" fillId="0" borderId="0" xfId="0" applyFont="1" applyBorder="1" applyAlignment="1">
      <alignment horizontal="left"/>
    </xf>
    <xf numFmtId="0" fontId="16" fillId="0" borderId="6" xfId="0" applyFont="1" applyBorder="1" applyAlignment="1">
      <alignment horizontal="left" vertical="center" wrapText="1"/>
    </xf>
    <xf numFmtId="0" fontId="16" fillId="0" borderId="0" xfId="0" applyFont="1" applyBorder="1" applyAlignment="1">
      <alignment horizontal="left" vertical="center" wrapText="1"/>
    </xf>
    <xf numFmtId="168" fontId="14" fillId="0" borderId="0" xfId="0" applyNumberFormat="1" applyFont="1" applyFill="1" applyBorder="1" applyAlignment="1">
      <alignment horizontal="center"/>
    </xf>
    <xf numFmtId="0" fontId="14" fillId="0" borderId="0" xfId="0" quotePrefix="1" applyFont="1" applyBorder="1" applyAlignment="1">
      <alignment horizontal="left" indent="2"/>
    </xf>
    <xf numFmtId="2" fontId="14" fillId="0" borderId="0" xfId="0" applyNumberFormat="1" applyFont="1" applyFill="1" applyBorder="1" applyAlignment="1">
      <alignment horizontal="center"/>
    </xf>
    <xf numFmtId="168" fontId="14" fillId="0" borderId="0" xfId="0" applyNumberFormat="1" applyFont="1" applyFill="1" applyAlignment="1">
      <alignment horizontal="center"/>
    </xf>
    <xf numFmtId="0" fontId="14" fillId="0" borderId="1" xfId="0" applyFont="1" applyBorder="1" applyAlignment="1">
      <alignment horizontal="left" wrapText="1"/>
    </xf>
    <xf numFmtId="0" fontId="14" fillId="0" borderId="6" xfId="0" applyFont="1" applyBorder="1" applyAlignment="1">
      <alignment horizontal="left"/>
    </xf>
    <xf numFmtId="168" fontId="14" fillId="0" borderId="6" xfId="0" applyNumberFormat="1" applyFont="1" applyFill="1" applyBorder="1" applyAlignment="1">
      <alignment horizontal="center"/>
    </xf>
    <xf numFmtId="0" fontId="15" fillId="0" borderId="7" xfId="0" applyFont="1" applyBorder="1" applyAlignment="1">
      <alignment horizontal="left"/>
    </xf>
    <xf numFmtId="0" fontId="15" fillId="0" borderId="0" xfId="0" applyFont="1" applyBorder="1" applyAlignment="1">
      <alignment horizontal="left"/>
    </xf>
    <xf numFmtId="0" fontId="15" fillId="0" borderId="0" xfId="0" applyFont="1" applyAlignment="1">
      <alignment horizontal="left"/>
    </xf>
    <xf numFmtId="4" fontId="14" fillId="0" borderId="0" xfId="0" applyNumberFormat="1" applyFont="1" applyAlignment="1"/>
    <xf numFmtId="4" fontId="15" fillId="0" borderId="0" xfId="0" applyNumberFormat="1" applyFont="1" applyAlignment="1">
      <alignment horizontal="left"/>
    </xf>
    <xf numFmtId="4" fontId="14" fillId="0" borderId="0" xfId="0" quotePrefix="1" applyNumberFormat="1" applyFont="1" applyAlignment="1">
      <alignment horizontal="left"/>
    </xf>
    <xf numFmtId="168" fontId="14" fillId="0" borderId="0" xfId="0" applyNumberFormat="1" applyFont="1" applyBorder="1" applyAlignment="1">
      <alignment horizontal="center" wrapText="1"/>
    </xf>
    <xf numFmtId="168" fontId="14" fillId="0" borderId="1" xfId="0" applyNumberFormat="1" applyFont="1" applyBorder="1" applyAlignment="1">
      <alignment horizontal="center" wrapText="1"/>
    </xf>
    <xf numFmtId="0" fontId="14" fillId="0" borderId="1" xfId="0" quotePrefix="1" applyFont="1" applyBorder="1" applyAlignment="1">
      <alignment horizontal="center"/>
    </xf>
    <xf numFmtId="168" fontId="14" fillId="0" borderId="1" xfId="0" quotePrefix="1" applyNumberFormat="1" applyFont="1" applyBorder="1" applyAlignment="1">
      <alignment horizontal="center"/>
    </xf>
    <xf numFmtId="7" fontId="14" fillId="0" borderId="0" xfId="0" applyNumberFormat="1" applyFont="1" applyAlignment="1">
      <alignment horizontal="right"/>
    </xf>
    <xf numFmtId="0" fontId="14" fillId="0" borderId="0" xfId="0" applyFont="1" applyAlignment="1">
      <alignment horizontal="left" wrapText="1"/>
    </xf>
    <xf numFmtId="2" fontId="40" fillId="0" borderId="0" xfId="0" applyNumberFormat="1" applyFont="1" applyBorder="1" applyAlignment="1">
      <alignment horizontal="left" indent="3"/>
    </xf>
    <xf numFmtId="0" fontId="14" fillId="0" borderId="0" xfId="0" quotePrefix="1" applyFont="1" applyAlignment="1">
      <alignment horizontal="left" wrapText="1"/>
    </xf>
    <xf numFmtId="168" fontId="14" fillId="6" borderId="0" xfId="0" applyNumberFormat="1" applyFont="1" applyFill="1" applyAlignment="1">
      <alignment horizontal="center"/>
    </xf>
    <xf numFmtId="168" fontId="14" fillId="6" borderId="0" xfId="0" applyNumberFormat="1" applyFont="1" applyFill="1" applyBorder="1" applyAlignment="1">
      <alignment horizontal="center"/>
    </xf>
    <xf numFmtId="2" fontId="41" fillId="0" borderId="0" xfId="0" applyNumberFormat="1" applyFont="1" applyBorder="1" applyAlignment="1">
      <alignment horizontal="center" wrapText="1"/>
    </xf>
    <xf numFmtId="2" fontId="41" fillId="0" borderId="1" xfId="0" applyNumberFormat="1" applyFont="1" applyBorder="1" applyAlignment="1">
      <alignment horizontal="center" wrapText="1"/>
    </xf>
    <xf numFmtId="4" fontId="14" fillId="0" borderId="0" xfId="0" applyNumberFormat="1" applyFont="1" applyAlignment="1">
      <alignment horizontal="left"/>
    </xf>
    <xf numFmtId="168" fontId="14" fillId="6" borderId="6" xfId="0" applyNumberFormat="1" applyFont="1" applyFill="1" applyBorder="1" applyAlignment="1">
      <alignment horizontal="center"/>
    </xf>
    <xf numFmtId="2" fontId="14" fillId="0" borderId="0" xfId="0" applyNumberFormat="1" applyFont="1" applyBorder="1" applyAlignment="1">
      <alignment horizontal="center"/>
    </xf>
    <xf numFmtId="0" fontId="39" fillId="0" borderId="7" xfId="0" applyFont="1" applyBorder="1" applyAlignment="1">
      <alignment horizontal="left"/>
    </xf>
    <xf numFmtId="0" fontId="39" fillId="0" borderId="0" xfId="0" applyFont="1" applyBorder="1" applyAlignment="1">
      <alignment horizontal="left"/>
    </xf>
    <xf numFmtId="0" fontId="39" fillId="0" borderId="0" xfId="0" applyFont="1" applyAlignment="1">
      <alignment horizontal="left"/>
    </xf>
    <xf numFmtId="0" fontId="13" fillId="2" borderId="0" xfId="0" applyFont="1" applyFill="1" applyAlignment="1">
      <alignment horizontal="center"/>
    </xf>
    <xf numFmtId="0" fontId="14" fillId="2" borderId="0" xfId="0" applyFont="1" applyFill="1" applyAlignment="1">
      <alignment horizontal="center"/>
    </xf>
    <xf numFmtId="4" fontId="14" fillId="2" borderId="0" xfId="0" applyNumberFormat="1" applyFont="1" applyFill="1" applyAlignment="1">
      <alignment horizontal="left"/>
    </xf>
    <xf numFmtId="4" fontId="15" fillId="2" borderId="0" xfId="0" applyNumberFormat="1" applyFont="1" applyFill="1" applyAlignment="1">
      <alignment horizontal="left"/>
    </xf>
    <xf numFmtId="0" fontId="14" fillId="0" borderId="0" xfId="0" applyFont="1" applyBorder="1" applyAlignment="1">
      <alignment horizontal="right"/>
    </xf>
    <xf numFmtId="0" fontId="14" fillId="2" borderId="1" xfId="0" applyFont="1" applyFill="1" applyBorder="1" applyAlignment="1">
      <alignment horizontal="left" wrapText="1"/>
    </xf>
    <xf numFmtId="0" fontId="21" fillId="2" borderId="1" xfId="0" applyFont="1" applyFill="1" applyBorder="1" applyAlignment="1">
      <alignment horizontal="center" wrapText="1"/>
    </xf>
    <xf numFmtId="168" fontId="14" fillId="2" borderId="1" xfId="0" applyNumberFormat="1" applyFont="1" applyFill="1" applyBorder="1" applyAlignment="1">
      <alignment horizontal="center" wrapText="1"/>
    </xf>
    <xf numFmtId="0" fontId="14" fillId="2" borderId="1" xfId="0" quotePrefix="1" applyFont="1" applyFill="1" applyBorder="1" applyAlignment="1">
      <alignment horizontal="center"/>
    </xf>
    <xf numFmtId="0" fontId="21" fillId="2" borderId="1" xfId="0" quotePrefix="1" applyFont="1" applyFill="1" applyBorder="1" applyAlignment="1">
      <alignment horizontal="center"/>
    </xf>
    <xf numFmtId="168" fontId="14" fillId="2" borderId="1" xfId="0" quotePrefix="1" applyNumberFormat="1" applyFont="1" applyFill="1" applyBorder="1" applyAlignment="1">
      <alignment horizontal="center"/>
    </xf>
    <xf numFmtId="0" fontId="16" fillId="2" borderId="0" xfId="0" applyFont="1" applyFill="1" applyAlignment="1">
      <alignment horizontal="center"/>
    </xf>
    <xf numFmtId="7" fontId="17" fillId="2" borderId="0" xfId="0" applyNumberFormat="1" applyFont="1" applyFill="1" applyBorder="1" applyAlignment="1">
      <alignment horizontal="center"/>
    </xf>
    <xf numFmtId="0" fontId="16" fillId="2" borderId="0" xfId="0" applyFont="1" applyFill="1" applyAlignment="1">
      <alignment horizontal="left"/>
    </xf>
    <xf numFmtId="169" fontId="16" fillId="2" borderId="0" xfId="0" applyNumberFormat="1" applyFont="1" applyFill="1" applyAlignment="1">
      <alignment horizontal="left"/>
    </xf>
    <xf numFmtId="168" fontId="14" fillId="2" borderId="0" xfId="0" applyNumberFormat="1" applyFont="1" applyFill="1" applyBorder="1" applyAlignment="1">
      <alignment horizontal="center" wrapText="1"/>
    </xf>
    <xf numFmtId="0" fontId="14" fillId="2" borderId="0" xfId="0" applyFont="1" applyFill="1" applyAlignment="1">
      <alignment horizontal="left"/>
    </xf>
    <xf numFmtId="2" fontId="20" fillId="2" borderId="5" xfId="0" applyNumberFormat="1" applyFont="1" applyFill="1" applyBorder="1" applyAlignment="1">
      <alignment horizontal="center"/>
    </xf>
    <xf numFmtId="168" fontId="14" fillId="2" borderId="0" xfId="0" applyNumberFormat="1" applyFont="1" applyFill="1" applyAlignment="1">
      <alignment horizontal="center"/>
    </xf>
    <xf numFmtId="0" fontId="14" fillId="2" borderId="6" xfId="0" applyFont="1" applyFill="1" applyBorder="1" applyAlignment="1">
      <alignment horizontal="left"/>
    </xf>
    <xf numFmtId="168" fontId="14" fillId="2" borderId="6" xfId="0" applyNumberFormat="1" applyFont="1" applyFill="1" applyBorder="1" applyAlignment="1">
      <alignment horizontal="center"/>
    </xf>
    <xf numFmtId="0" fontId="14" fillId="2" borderId="1" xfId="0" applyFont="1" applyFill="1" applyBorder="1" applyAlignment="1">
      <alignment horizontal="left"/>
    </xf>
    <xf numFmtId="168" fontId="14" fillId="2" borderId="1" xfId="0" applyNumberFormat="1" applyFont="1" applyFill="1" applyBorder="1" applyAlignment="1">
      <alignment horizontal="center"/>
    </xf>
    <xf numFmtId="0" fontId="20" fillId="2" borderId="5" xfId="0" applyFont="1" applyFill="1" applyBorder="1" applyAlignment="1">
      <alignment horizontal="center"/>
    </xf>
    <xf numFmtId="0" fontId="14" fillId="2" borderId="0" xfId="0" applyFont="1" applyFill="1" applyBorder="1" applyAlignment="1">
      <alignment horizontal="left"/>
    </xf>
    <xf numFmtId="0" fontId="14" fillId="2" borderId="0" xfId="0" applyFont="1" applyFill="1" applyBorder="1" applyAlignment="1">
      <alignment horizontal="left" wrapText="1"/>
    </xf>
    <xf numFmtId="0" fontId="14" fillId="2" borderId="6" xfId="0" applyFont="1" applyFill="1" applyBorder="1" applyAlignment="1">
      <alignment horizontal="right"/>
    </xf>
    <xf numFmtId="2" fontId="19" fillId="2" borderId="1" xfId="0" applyNumberFormat="1" applyFont="1" applyFill="1" applyBorder="1" applyAlignment="1">
      <alignment horizontal="center"/>
    </xf>
    <xf numFmtId="2" fontId="14" fillId="2" borderId="0" xfId="0" applyNumberFormat="1" applyFont="1" applyFill="1" applyBorder="1" applyAlignment="1">
      <alignment horizontal="center"/>
    </xf>
    <xf numFmtId="0" fontId="14" fillId="2" borderId="0" xfId="0" applyFont="1" applyFill="1" applyBorder="1" applyAlignment="1">
      <alignment horizontal="center"/>
    </xf>
    <xf numFmtId="2" fontId="20" fillId="2" borderId="1" xfId="0" applyNumberFormat="1" applyFont="1" applyFill="1" applyBorder="1" applyAlignment="1">
      <alignment horizontal="center"/>
    </xf>
    <xf numFmtId="0" fontId="14" fillId="2" borderId="0" xfId="0" applyFont="1" applyFill="1" applyBorder="1" applyAlignment="1">
      <alignment horizontal="right"/>
    </xf>
    <xf numFmtId="2" fontId="21" fillId="2" borderId="1" xfId="0" applyNumberFormat="1" applyFont="1" applyFill="1" applyBorder="1" applyAlignment="1">
      <alignment horizontal="center"/>
    </xf>
    <xf numFmtId="0" fontId="14" fillId="2" borderId="0" xfId="0" applyFont="1" applyFill="1" applyAlignment="1">
      <alignment horizontal="right"/>
    </xf>
    <xf numFmtId="2" fontId="14" fillId="2" borderId="20" xfId="0" applyNumberFormat="1" applyFont="1" applyFill="1" applyBorder="1" applyAlignment="1">
      <alignment horizontal="center"/>
    </xf>
    <xf numFmtId="0" fontId="14" fillId="2" borderId="1" xfId="0" applyFont="1" applyFill="1" applyBorder="1" applyAlignment="1">
      <alignment horizontal="center"/>
    </xf>
    <xf numFmtId="0" fontId="14" fillId="2" borderId="0" xfId="0" quotePrefix="1" applyFont="1" applyFill="1" applyAlignment="1">
      <alignment horizontal="left"/>
    </xf>
    <xf numFmtId="168" fontId="14" fillId="2" borderId="0" xfId="0" applyNumberFormat="1" applyFont="1" applyFill="1" applyAlignment="1">
      <alignment horizontal="left"/>
    </xf>
    <xf numFmtId="4" fontId="24" fillId="2" borderId="0" xfId="0" applyNumberFormat="1" applyFont="1" applyFill="1" applyBorder="1" applyAlignment="1">
      <alignment horizontal="left"/>
    </xf>
    <xf numFmtId="0" fontId="16" fillId="2" borderId="0" xfId="0" applyFont="1" applyFill="1" applyBorder="1" applyAlignment="1">
      <alignment horizontal="left" wrapText="1"/>
    </xf>
    <xf numFmtId="4" fontId="20" fillId="2" borderId="1" xfId="0" applyNumberFormat="1" applyFont="1" applyFill="1" applyBorder="1" applyAlignment="1">
      <alignment horizontal="center" wrapText="1"/>
    </xf>
    <xf numFmtId="4" fontId="20" fillId="2" borderId="5" xfId="0" applyNumberFormat="1" applyFont="1" applyFill="1" applyBorder="1" applyAlignment="1">
      <alignment horizontal="center" wrapText="1"/>
    </xf>
    <xf numFmtId="4" fontId="20" fillId="2" borderId="21" xfId="0" applyNumberFormat="1" applyFont="1" applyFill="1" applyBorder="1" applyAlignment="1">
      <alignment horizontal="center" wrapText="1"/>
    </xf>
    <xf numFmtId="166" fontId="19" fillId="2" borderId="1" xfId="0" applyNumberFormat="1" applyFont="1" applyFill="1" applyBorder="1" applyAlignment="1">
      <alignment horizontal="left"/>
    </xf>
    <xf numFmtId="166" fontId="19" fillId="2" borderId="0" xfId="0" applyNumberFormat="1" applyFont="1" applyFill="1" applyAlignment="1">
      <alignment horizontal="left"/>
    </xf>
    <xf numFmtId="0" fontId="24" fillId="2" borderId="0" xfId="0" applyFont="1" applyFill="1" applyAlignment="1">
      <alignment horizontal="right"/>
    </xf>
    <xf numFmtId="0" fontId="24" fillId="2" borderId="0" xfId="0" applyFont="1" applyFill="1" applyAlignment="1">
      <alignment horizontal="center"/>
    </xf>
    <xf numFmtId="4" fontId="24" fillId="2" borderId="0" xfId="0" applyNumberFormat="1" applyFont="1" applyFill="1" applyAlignment="1">
      <alignment horizontal="left"/>
    </xf>
    <xf numFmtId="0" fontId="14" fillId="2" borderId="0" xfId="0" applyFont="1" applyFill="1" applyAlignment="1">
      <alignment horizontal="left" indent="3"/>
    </xf>
    <xf numFmtId="0" fontId="20" fillId="2" borderId="0" xfId="0" applyFont="1" applyFill="1" applyAlignment="1">
      <alignment horizontal="right"/>
    </xf>
    <xf numFmtId="0" fontId="20" fillId="2" borderId="1" xfId="0" applyFont="1" applyFill="1" applyBorder="1" applyAlignment="1">
      <alignment horizontal="center"/>
    </xf>
    <xf numFmtId="169" fontId="38" fillId="2" borderId="0" xfId="0" applyNumberFormat="1" applyFont="1" applyFill="1" applyBorder="1" applyAlignment="1">
      <alignment horizontal="center"/>
    </xf>
    <xf numFmtId="165" fontId="14" fillId="2" borderId="7" xfId="4" applyFont="1" applyFill="1" applyBorder="1" applyAlignment="1">
      <alignment horizontal="right"/>
    </xf>
    <xf numFmtId="165" fontId="14" fillId="2" borderId="0" xfId="4" applyFont="1" applyFill="1" applyBorder="1" applyAlignment="1">
      <alignment horizontal="right"/>
    </xf>
    <xf numFmtId="2" fontId="25" fillId="2" borderId="0" xfId="0" applyNumberFormat="1" applyFont="1" applyFill="1" applyBorder="1" applyAlignment="1">
      <alignment horizontal="left"/>
    </xf>
    <xf numFmtId="4" fontId="14" fillId="2" borderId="0" xfId="0" quotePrefix="1" applyNumberFormat="1" applyFont="1" applyFill="1" applyAlignment="1">
      <alignment horizontal="left"/>
    </xf>
    <xf numFmtId="0" fontId="18" fillId="2" borderId="0" xfId="0" applyFont="1" applyFill="1" applyAlignment="1">
      <alignment horizontal="left"/>
    </xf>
    <xf numFmtId="0" fontId="18" fillId="0" borderId="0" xfId="0" applyFont="1" applyAlignment="1">
      <alignment horizontal="left"/>
    </xf>
    <xf numFmtId="0" fontId="14" fillId="0" borderId="0" xfId="0" quotePrefix="1" applyFont="1" applyAlignment="1">
      <alignment horizontal="center"/>
    </xf>
    <xf numFmtId="0" fontId="14" fillId="0" borderId="0" xfId="0" quotePrefix="1" applyFont="1" applyBorder="1" applyAlignment="1">
      <alignment horizontal="center"/>
    </xf>
    <xf numFmtId="0" fontId="33" fillId="2" borderId="0" xfId="0" applyFont="1" applyFill="1" applyAlignment="1">
      <alignment horizontal="left"/>
    </xf>
    <xf numFmtId="7" fontId="14" fillId="2" borderId="6" xfId="0" applyNumberFormat="1" applyFont="1" applyFill="1" applyBorder="1" applyAlignment="1">
      <alignment horizontal="right"/>
    </xf>
    <xf numFmtId="7" fontId="14" fillId="2" borderId="0" xfId="0" applyNumberFormat="1" applyFont="1" applyFill="1" applyAlignment="1">
      <alignment horizontal="right"/>
    </xf>
    <xf numFmtId="2" fontId="42" fillId="0" borderId="0" xfId="0" applyNumberFormat="1" applyFont="1" applyBorder="1" applyAlignment="1">
      <alignment horizontal="center" wrapText="1"/>
    </xf>
    <xf numFmtId="2" fontId="42" fillId="0" borderId="1" xfId="0" applyNumberFormat="1" applyFont="1" applyBorder="1" applyAlignment="1">
      <alignment horizontal="center" wrapText="1"/>
    </xf>
    <xf numFmtId="7" fontId="14" fillId="8" borderId="6" xfId="0" applyNumberFormat="1" applyFont="1" applyFill="1" applyBorder="1" applyAlignment="1">
      <alignment horizontal="right"/>
    </xf>
  </cellXfs>
  <cellStyles count="11">
    <cellStyle name="Comma" xfId="1" builtinId="3"/>
    <cellStyle name="Comma 2" xfId="2"/>
    <cellStyle name="Comma 3 8" xfId="3"/>
    <cellStyle name="Comma_charter school revenue frame" xfId="4"/>
    <cellStyle name="Currency 2 8" xfId="5"/>
    <cellStyle name="Currency_charter school revenue frame" xfId="6"/>
    <cellStyle name="Normal" xfId="0" builtinId="0"/>
    <cellStyle name="Normal 2" xfId="7"/>
    <cellStyle name="Normal 2 2" xfId="8"/>
    <cellStyle name="Normal 3 8" xfId="9"/>
    <cellStyle name="Percent 3 8" xfId="10"/>
  </cellStyles>
  <dxfs count="206">
    <dxf>
      <font>
        <color theme="0"/>
      </font>
    </dxf>
    <dxf>
      <font>
        <b/>
        <i val="0"/>
      </font>
    </dxf>
    <dxf>
      <font>
        <color theme="0"/>
      </font>
    </dxf>
    <dxf>
      <font>
        <b/>
        <i val="0"/>
        <color rgb="FFFF0000"/>
      </font>
    </dxf>
    <dxf>
      <font>
        <color theme="0"/>
      </font>
    </dxf>
    <dxf>
      <font>
        <b/>
        <i val="0"/>
        <color rgb="FFFF0000"/>
      </font>
    </dxf>
    <dxf>
      <font>
        <color theme="0"/>
      </font>
    </dxf>
    <dxf>
      <font>
        <b/>
        <i val="0"/>
        <color rgb="FFFF0000"/>
      </font>
    </dxf>
    <dxf>
      <fill>
        <patternFill>
          <bgColor rgb="FFFFFF66"/>
        </patternFill>
      </fill>
    </dxf>
    <dxf>
      <fill>
        <patternFill>
          <bgColor theme="0" tint="-0.14996795556505021"/>
        </patternFill>
      </fill>
    </dxf>
    <dxf>
      <fill>
        <patternFill>
          <bgColor rgb="FFFFFF66"/>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rgb="FFFF0000"/>
      </font>
    </dxf>
    <dxf>
      <font>
        <color theme="0"/>
      </font>
    </dxf>
    <dxf>
      <font>
        <b/>
        <i val="0"/>
        <color rgb="FFFF000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16"/>
  <sheetViews>
    <sheetView showGridLines="0" tabSelected="1" workbookViewId="0">
      <pane ySplit="4" topLeftCell="A347" activePane="bottomLeft" state="frozen"/>
      <selection activeCell="A68" sqref="A68:C68"/>
      <selection pane="bottomLeft" activeCell="C509" sqref="C509"/>
    </sheetView>
  </sheetViews>
  <sheetFormatPr defaultRowHeight="12.75" customHeight="1" x14ac:dyDescent="0.2"/>
  <cols>
    <col min="1" max="1" width="3" style="248" bestFit="1" customWidth="1"/>
    <col min="2" max="2" width="7.28515625" style="248" customWidth="1"/>
    <col min="3" max="3" width="43.28515625" style="251" customWidth="1"/>
    <col min="4" max="4" width="18.5703125" style="248" customWidth="1"/>
    <col min="5" max="5" width="14.42578125" style="248" customWidth="1"/>
    <col min="6" max="6" width="12.140625" style="378" bestFit="1" customWidth="1"/>
    <col min="7" max="7" width="13.5703125" style="248" customWidth="1"/>
    <col min="8" max="8" width="4.28515625" style="378" customWidth="1"/>
    <col min="9" max="9" width="75.7109375" style="248" bestFit="1" customWidth="1"/>
    <col min="10" max="10" width="9.5703125" style="248" bestFit="1" customWidth="1"/>
    <col min="11" max="16384" width="9.140625" style="248"/>
  </cols>
  <sheetData>
    <row r="1" spans="1:9" ht="12.75" customHeight="1" x14ac:dyDescent="0.2">
      <c r="A1" s="249"/>
      <c r="B1" s="754" t="s">
        <v>473</v>
      </c>
      <c r="C1" s="279"/>
      <c r="D1" s="250"/>
      <c r="E1" s="250"/>
      <c r="I1" s="383"/>
    </row>
    <row r="2" spans="1:9" ht="12.75" customHeight="1" x14ac:dyDescent="0.2">
      <c r="A2" s="251"/>
      <c r="B2" s="377" t="str">
        <f>'0664'!A3</f>
        <v>Based on the FLDOE 2021-22 FEFP Final Calculation</v>
      </c>
      <c r="C2" s="280"/>
      <c r="D2" s="250"/>
      <c r="E2" s="319"/>
      <c r="F2" s="379"/>
      <c r="G2" s="319"/>
      <c r="I2" s="392"/>
    </row>
    <row r="3" spans="1:9" ht="12.75" customHeight="1" thickBot="1" x14ac:dyDescent="0.25">
      <c r="A3" s="251"/>
      <c r="B3" s="252"/>
      <c r="C3" s="280"/>
      <c r="D3" s="250"/>
      <c r="E3" s="319"/>
      <c r="F3" s="758"/>
      <c r="G3" s="758"/>
      <c r="I3" s="392"/>
    </row>
    <row r="4" spans="1:9" ht="12.75" customHeight="1" thickBot="1" x14ac:dyDescent="0.25">
      <c r="A4" s="253"/>
      <c r="B4" s="254" t="s">
        <v>209</v>
      </c>
      <c r="C4" s="283" t="s">
        <v>289</v>
      </c>
      <c r="D4" s="255" t="s">
        <v>210</v>
      </c>
      <c r="E4" s="323" t="s">
        <v>2</v>
      </c>
      <c r="F4" s="421" t="s">
        <v>317</v>
      </c>
      <c r="G4" s="323" t="s">
        <v>297</v>
      </c>
      <c r="I4" s="602" t="s">
        <v>353</v>
      </c>
    </row>
    <row r="5" spans="1:9" s="405" customFormat="1" ht="12.75" customHeight="1" x14ac:dyDescent="0.2">
      <c r="A5" s="256">
        <v>1</v>
      </c>
      <c r="B5" s="257" t="s">
        <v>211</v>
      </c>
      <c r="C5" s="281" t="s">
        <v>245</v>
      </c>
      <c r="D5" s="550" t="s">
        <v>474</v>
      </c>
      <c r="E5" s="259">
        <f>'0664'!I$128</f>
        <v>548.26</v>
      </c>
      <c r="F5" s="663"/>
      <c r="G5" s="259">
        <f>SUBTOTAL(109,E5:F14)</f>
        <v>548.26</v>
      </c>
      <c r="H5" s="404"/>
      <c r="I5" s="672"/>
    </row>
    <row r="6" spans="1:9" s="405" customFormat="1" ht="12.75" hidden="1" customHeight="1" x14ac:dyDescent="0.2">
      <c r="A6" s="256"/>
      <c r="B6" s="257"/>
      <c r="C6" s="380"/>
      <c r="D6" s="678" t="s">
        <v>355</v>
      </c>
      <c r="E6" s="259"/>
      <c r="F6" s="663"/>
      <c r="G6" s="259"/>
      <c r="H6" s="404"/>
      <c r="I6" s="673"/>
    </row>
    <row r="7" spans="1:9" s="405" customFormat="1" ht="12.75" hidden="1" customHeight="1" x14ac:dyDescent="0.2">
      <c r="A7" s="256"/>
      <c r="B7" s="257"/>
      <c r="C7" s="380"/>
      <c r="D7" s="678" t="s">
        <v>439</v>
      </c>
      <c r="E7" s="259"/>
      <c r="F7" s="663"/>
      <c r="G7" s="259"/>
      <c r="H7" s="404"/>
      <c r="I7" s="673"/>
    </row>
    <row r="8" spans="1:9" s="405" customFormat="1" ht="12.75" hidden="1" customHeight="1" x14ac:dyDescent="0.2">
      <c r="A8" s="256"/>
      <c r="B8" s="257"/>
      <c r="C8" s="281"/>
      <c r="D8" s="321" t="s">
        <v>357</v>
      </c>
      <c r="E8" s="259"/>
      <c r="F8" s="663"/>
      <c r="G8" s="259"/>
      <c r="H8" s="404"/>
      <c r="I8" s="736"/>
    </row>
    <row r="9" spans="1:9" s="405" customFormat="1" ht="12.75" hidden="1" customHeight="1" x14ac:dyDescent="0.2">
      <c r="A9" s="256"/>
      <c r="B9" s="257"/>
      <c r="C9" s="281"/>
      <c r="D9" s="321" t="s">
        <v>356</v>
      </c>
      <c r="E9" s="259"/>
      <c r="F9" s="663"/>
      <c r="G9" s="259"/>
      <c r="H9" s="404"/>
      <c r="I9" s="736"/>
    </row>
    <row r="10" spans="1:9" s="405" customFormat="1" ht="12.75" hidden="1" customHeight="1" x14ac:dyDescent="0.2">
      <c r="A10" s="256"/>
      <c r="B10" s="257"/>
      <c r="C10" s="281"/>
      <c r="D10" s="321" t="s">
        <v>368</v>
      </c>
      <c r="E10" s="259"/>
      <c r="F10" s="663"/>
      <c r="G10" s="259"/>
      <c r="H10" s="404"/>
      <c r="I10" s="673"/>
    </row>
    <row r="11" spans="1:9" s="405" customFormat="1" ht="12.75" hidden="1" customHeight="1" x14ac:dyDescent="0.2">
      <c r="A11" s="256"/>
      <c r="B11" s="257"/>
      <c r="C11" s="281"/>
      <c r="D11" s="321" t="s">
        <v>357</v>
      </c>
      <c r="E11" s="259"/>
      <c r="F11" s="663"/>
      <c r="G11" s="259"/>
      <c r="H11" s="404"/>
      <c r="I11" s="676"/>
    </row>
    <row r="12" spans="1:9" s="405" customFormat="1" ht="12.75" hidden="1" customHeight="1" x14ac:dyDescent="0.2">
      <c r="A12" s="256"/>
      <c r="B12" s="257"/>
      <c r="C12" s="281"/>
      <c r="D12" s="321" t="s">
        <v>356</v>
      </c>
      <c r="E12" s="259"/>
      <c r="F12" s="663"/>
      <c r="G12" s="259"/>
      <c r="H12" s="404"/>
      <c r="I12" s="676"/>
    </row>
    <row r="13" spans="1:9" s="405" customFormat="1" ht="12.75" hidden="1" customHeight="1" x14ac:dyDescent="0.2">
      <c r="A13" s="256"/>
      <c r="B13" s="257"/>
      <c r="C13" s="281"/>
      <c r="D13" s="321" t="s">
        <v>323</v>
      </c>
      <c r="E13" s="259"/>
      <c r="F13" s="663"/>
      <c r="G13" s="259"/>
      <c r="H13" s="404"/>
      <c r="I13" s="674"/>
    </row>
    <row r="14" spans="1:9" s="405" customFormat="1" ht="12.75" hidden="1" customHeight="1" x14ac:dyDescent="0.2">
      <c r="A14" s="256"/>
      <c r="B14" s="257"/>
      <c r="C14" s="281"/>
      <c r="D14" s="431" t="s">
        <v>408</v>
      </c>
      <c r="E14" s="259"/>
      <c r="F14" s="663"/>
      <c r="G14" s="259"/>
      <c r="H14" s="404"/>
      <c r="I14" s="674"/>
    </row>
    <row r="15" spans="1:9" s="405" customFormat="1" ht="12.75" customHeight="1" x14ac:dyDescent="0.2">
      <c r="A15" s="260">
        <f>1+A5</f>
        <v>2</v>
      </c>
      <c r="B15" s="261" t="s">
        <v>212</v>
      </c>
      <c r="C15" s="282" t="s">
        <v>247</v>
      </c>
      <c r="D15" s="432" t="str">
        <f>$D$5</f>
        <v>FTE FINAL 22</v>
      </c>
      <c r="E15" s="262">
        <f>'1461'!I$128</f>
        <v>-60599.66</v>
      </c>
      <c r="F15" s="662"/>
      <c r="G15" s="262">
        <f>SUBTOTAL(109,E15:F36)</f>
        <v>-60599.66</v>
      </c>
      <c r="H15" s="404"/>
      <c r="I15" s="674" t="s">
        <v>393</v>
      </c>
    </row>
    <row r="16" spans="1:9" s="405" customFormat="1" ht="12.75" hidden="1" customHeight="1" x14ac:dyDescent="0.2">
      <c r="A16" s="260"/>
      <c r="B16" s="261"/>
      <c r="C16" s="282"/>
      <c r="D16" s="322" t="s">
        <v>355</v>
      </c>
      <c r="E16" s="262"/>
      <c r="F16" s="662"/>
      <c r="G16" s="262"/>
      <c r="H16" s="404"/>
      <c r="I16" s="675"/>
    </row>
    <row r="17" spans="1:12" s="405" customFormat="1" ht="12.75" hidden="1" customHeight="1" x14ac:dyDescent="0.2">
      <c r="A17" s="260"/>
      <c r="B17" s="261"/>
      <c r="C17" s="282"/>
      <c r="D17" s="735" t="s">
        <v>440</v>
      </c>
      <c r="E17" s="262"/>
      <c r="F17" s="662"/>
      <c r="G17" s="262"/>
      <c r="H17" s="404"/>
      <c r="I17" s="675"/>
    </row>
    <row r="18" spans="1:12" s="405" customFormat="1" ht="12.75" hidden="1" customHeight="1" x14ac:dyDescent="0.2">
      <c r="A18" s="260"/>
      <c r="B18" s="261"/>
      <c r="C18" s="282"/>
      <c r="D18" s="322" t="s">
        <v>357</v>
      </c>
      <c r="E18" s="262"/>
      <c r="F18" s="662"/>
      <c r="G18" s="262"/>
      <c r="H18" s="404"/>
      <c r="I18" s="676"/>
    </row>
    <row r="19" spans="1:12" s="405" customFormat="1" ht="12.75" hidden="1" customHeight="1" x14ac:dyDescent="0.2">
      <c r="A19" s="260"/>
      <c r="B19" s="261"/>
      <c r="C19" s="282"/>
      <c r="D19" s="322" t="s">
        <v>356</v>
      </c>
      <c r="E19" s="262"/>
      <c r="F19" s="662"/>
      <c r="G19" s="262"/>
      <c r="H19" s="404"/>
      <c r="I19" s="676"/>
    </row>
    <row r="20" spans="1:12" s="405" customFormat="1" ht="12.75" hidden="1" customHeight="1" x14ac:dyDescent="0.2">
      <c r="A20" s="260"/>
      <c r="B20" s="261"/>
      <c r="C20" s="282"/>
      <c r="D20" s="322" t="s">
        <v>368</v>
      </c>
      <c r="E20" s="262"/>
      <c r="F20" s="662"/>
      <c r="G20" s="262"/>
      <c r="H20" s="404"/>
      <c r="I20" s="676"/>
    </row>
    <row r="21" spans="1:12" s="405" customFormat="1" ht="12.75" hidden="1" customHeight="1" x14ac:dyDescent="0.2">
      <c r="A21" s="260"/>
      <c r="B21" s="261"/>
      <c r="C21" s="282"/>
      <c r="D21" s="322" t="s">
        <v>323</v>
      </c>
      <c r="E21" s="262"/>
      <c r="F21" s="662"/>
      <c r="G21" s="262"/>
      <c r="H21" s="404"/>
      <c r="I21" s="672"/>
    </row>
    <row r="22" spans="1:12" s="405" customFormat="1" ht="12.75" hidden="1" customHeight="1" x14ac:dyDescent="0.2">
      <c r="A22" s="260"/>
      <c r="B22" s="261"/>
      <c r="C22" s="318"/>
      <c r="D22" s="434" t="s">
        <v>362</v>
      </c>
      <c r="E22" s="262"/>
      <c r="F22" s="662"/>
      <c r="G22" s="262"/>
      <c r="H22" s="404"/>
      <c r="I22" s="674"/>
    </row>
    <row r="23" spans="1:12" s="405" customFormat="1" ht="12.75" hidden="1" customHeight="1" thickBot="1" x14ac:dyDescent="0.25">
      <c r="A23" s="260"/>
      <c r="B23" s="261"/>
      <c r="C23" s="318"/>
      <c r="D23" s="434" t="s">
        <v>294</v>
      </c>
      <c r="E23" s="262"/>
      <c r="F23" s="662"/>
      <c r="G23" s="262"/>
      <c r="H23" s="404"/>
      <c r="I23" s="677"/>
    </row>
    <row r="24" spans="1:12" s="405" customFormat="1" ht="12.75" hidden="1" customHeight="1" x14ac:dyDescent="0.2">
      <c r="A24" s="260"/>
      <c r="B24" s="261"/>
      <c r="C24" s="318"/>
      <c r="D24" s="434" t="s">
        <v>295</v>
      </c>
      <c r="E24" s="262"/>
      <c r="F24" s="662"/>
      <c r="G24" s="262"/>
      <c r="H24" s="404"/>
      <c r="I24" s="606"/>
    </row>
    <row r="25" spans="1:12" s="405" customFormat="1" ht="12.75" hidden="1" customHeight="1" x14ac:dyDescent="0.2">
      <c r="A25" s="260"/>
      <c r="B25" s="261"/>
      <c r="C25" s="318"/>
      <c r="D25" s="598" t="s">
        <v>296</v>
      </c>
      <c r="E25" s="262"/>
      <c r="F25" s="662"/>
      <c r="G25" s="262"/>
      <c r="H25" s="404"/>
    </row>
    <row r="26" spans="1:12" s="405" customFormat="1" ht="12.75" hidden="1" customHeight="1" x14ac:dyDescent="0.2">
      <c r="A26" s="260"/>
      <c r="B26" s="261"/>
      <c r="C26" s="318"/>
      <c r="D26" s="434" t="s">
        <v>401</v>
      </c>
      <c r="E26" s="262"/>
      <c r="F26" s="662"/>
      <c r="G26" s="262"/>
      <c r="H26" s="404"/>
    </row>
    <row r="27" spans="1:12" s="405" customFormat="1" ht="12.75" hidden="1" customHeight="1" x14ac:dyDescent="0.2">
      <c r="A27" s="260"/>
      <c r="B27" s="261"/>
      <c r="C27" s="742" t="s">
        <v>455</v>
      </c>
      <c r="D27" s="598" t="s">
        <v>424</v>
      </c>
      <c r="E27" s="262"/>
      <c r="F27" s="662"/>
      <c r="G27" s="262"/>
      <c r="H27" s="404"/>
      <c r="I27" s="620"/>
    </row>
    <row r="28" spans="1:12" s="405" customFormat="1" ht="12.75" hidden="1" customHeight="1" x14ac:dyDescent="0.2">
      <c r="A28" s="260"/>
      <c r="B28" s="261"/>
      <c r="C28" s="318"/>
      <c r="D28" s="598" t="s">
        <v>427</v>
      </c>
      <c r="E28" s="262"/>
      <c r="F28" s="662"/>
      <c r="G28" s="262"/>
      <c r="H28" s="404"/>
      <c r="I28" s="620"/>
    </row>
    <row r="29" spans="1:12" s="405" customFormat="1" ht="12.75" hidden="1" customHeight="1" x14ac:dyDescent="0.2">
      <c r="A29" s="260"/>
      <c r="B29" s="261"/>
      <c r="C29" s="318"/>
      <c r="D29" s="598" t="s">
        <v>437</v>
      </c>
      <c r="E29" s="262"/>
      <c r="F29" s="662"/>
      <c r="G29" s="262"/>
      <c r="H29" s="404"/>
      <c r="I29" s="620"/>
    </row>
    <row r="30" spans="1:12" s="405" customFormat="1" ht="12.75" hidden="1" customHeight="1" x14ac:dyDescent="0.2">
      <c r="A30" s="260"/>
      <c r="B30" s="261"/>
      <c r="C30" s="318"/>
      <c r="D30" s="598" t="s">
        <v>447</v>
      </c>
      <c r="E30" s="262"/>
      <c r="F30" s="662"/>
      <c r="G30" s="262"/>
      <c r="H30" s="404"/>
      <c r="I30" s="620"/>
    </row>
    <row r="31" spans="1:12" s="405" customFormat="1" ht="12.75" hidden="1" customHeight="1" x14ac:dyDescent="0.2">
      <c r="A31" s="260"/>
      <c r="B31" s="261"/>
      <c r="C31" s="318"/>
      <c r="D31" s="598" t="s">
        <v>452</v>
      </c>
      <c r="E31" s="262"/>
      <c r="F31" s="662"/>
      <c r="G31" s="262"/>
      <c r="H31" s="404"/>
      <c r="I31" s="620"/>
      <c r="L31" s="727">
        <v>44630</v>
      </c>
    </row>
    <row r="32" spans="1:12" s="405" customFormat="1" ht="12.75" hidden="1" customHeight="1" x14ac:dyDescent="0.2">
      <c r="A32" s="260"/>
      <c r="B32" s="261"/>
      <c r="C32" s="318"/>
      <c r="D32" s="598" t="s">
        <v>453</v>
      </c>
      <c r="E32" s="262"/>
      <c r="F32" s="662"/>
      <c r="G32" s="262"/>
      <c r="H32" s="404"/>
      <c r="I32" s="620"/>
      <c r="L32" s="727">
        <f>L31-60</f>
        <v>44570</v>
      </c>
    </row>
    <row r="33" spans="1:13" s="405" customFormat="1" ht="12.75" hidden="1" customHeight="1" x14ac:dyDescent="0.2">
      <c r="A33" s="260"/>
      <c r="B33" s="261"/>
      <c r="C33" s="318"/>
      <c r="D33" s="598" t="s">
        <v>454</v>
      </c>
      <c r="E33" s="262"/>
      <c r="F33" s="662"/>
      <c r="G33" s="262"/>
      <c r="H33" s="404"/>
      <c r="I33" s="620"/>
    </row>
    <row r="34" spans="1:13" s="405" customFormat="1" ht="12.75" hidden="1" customHeight="1" x14ac:dyDescent="0.2">
      <c r="A34" s="260"/>
      <c r="B34" s="261"/>
      <c r="C34" s="318"/>
      <c r="D34" s="598" t="s">
        <v>464</v>
      </c>
      <c r="E34" s="262"/>
      <c r="F34" s="662"/>
      <c r="G34" s="262"/>
      <c r="H34" s="404"/>
      <c r="I34" s="620"/>
    </row>
    <row r="35" spans="1:13" s="405" customFormat="1" ht="12.75" hidden="1" customHeight="1" x14ac:dyDescent="0.2">
      <c r="A35" s="260"/>
      <c r="B35" s="261"/>
      <c r="C35" s="318"/>
      <c r="D35" s="598" t="s">
        <v>465</v>
      </c>
      <c r="E35" s="262"/>
      <c r="F35" s="662"/>
      <c r="G35" s="262"/>
      <c r="H35" s="404"/>
      <c r="I35" s="620"/>
    </row>
    <row r="36" spans="1:13" s="405" customFormat="1" ht="12.75" hidden="1" customHeight="1" x14ac:dyDescent="0.2">
      <c r="A36" s="260"/>
      <c r="B36" s="261"/>
      <c r="C36" s="318"/>
      <c r="D36" s="598" t="s">
        <v>466</v>
      </c>
      <c r="E36" s="262"/>
      <c r="F36" s="662"/>
      <c r="G36" s="262"/>
      <c r="H36" s="404"/>
      <c r="I36" s="620"/>
    </row>
    <row r="37" spans="1:13" s="405" customFormat="1" ht="12.75" customHeight="1" x14ac:dyDescent="0.2">
      <c r="A37" s="256">
        <f>1+A15</f>
        <v>3</v>
      </c>
      <c r="B37" s="257" t="s">
        <v>213</v>
      </c>
      <c r="C37" s="281" t="s">
        <v>249</v>
      </c>
      <c r="D37" s="430" t="str">
        <f>$D$5</f>
        <v>FTE FINAL 22</v>
      </c>
      <c r="E37" s="259">
        <f>'1571'!I$128</f>
        <v>20302.04</v>
      </c>
      <c r="F37" s="663"/>
      <c r="G37" s="259">
        <f>SUBTOTAL(109,E37:F51)</f>
        <v>20302.04</v>
      </c>
      <c r="H37" s="404"/>
      <c r="I37" s="674"/>
    </row>
    <row r="38" spans="1:13" s="405" customFormat="1" ht="12.75" hidden="1" customHeight="1" x14ac:dyDescent="0.2">
      <c r="A38" s="256"/>
      <c r="B38" s="257"/>
      <c r="C38" s="714"/>
      <c r="D38" s="321" t="s">
        <v>355</v>
      </c>
      <c r="E38" s="259"/>
      <c r="F38" s="663"/>
      <c r="G38" s="259"/>
      <c r="H38" s="404"/>
      <c r="I38" s="605"/>
    </row>
    <row r="39" spans="1:13" s="422" customFormat="1" ht="12.75" hidden="1" customHeight="1" x14ac:dyDescent="0.2">
      <c r="A39" s="256"/>
      <c r="B39" s="257"/>
      <c r="C39" s="281"/>
      <c r="D39" s="678" t="s">
        <v>440</v>
      </c>
      <c r="E39" s="259"/>
      <c r="F39" s="663"/>
      <c r="G39" s="259"/>
      <c r="H39" s="538"/>
      <c r="I39" s="620"/>
    </row>
    <row r="40" spans="1:13" s="405" customFormat="1" ht="12.75" hidden="1" customHeight="1" x14ac:dyDescent="0.2">
      <c r="A40" s="256"/>
      <c r="B40" s="257"/>
      <c r="C40" s="380"/>
      <c r="D40" s="678" t="s">
        <v>439</v>
      </c>
      <c r="E40" s="259"/>
      <c r="F40" s="663"/>
      <c r="G40" s="259"/>
      <c r="H40" s="404"/>
      <c r="I40" s="737"/>
    </row>
    <row r="41" spans="1:13" s="405" customFormat="1" ht="12.75" hidden="1" customHeight="1" x14ac:dyDescent="0.2">
      <c r="A41" s="256"/>
      <c r="B41" s="257"/>
      <c r="C41" s="281"/>
      <c r="D41" s="321" t="s">
        <v>357</v>
      </c>
      <c r="E41" s="259"/>
      <c r="F41" s="663"/>
      <c r="G41" s="259"/>
      <c r="H41" s="404"/>
      <c r="I41" s="605"/>
    </row>
    <row r="42" spans="1:13" s="405" customFormat="1" ht="12.75" hidden="1" customHeight="1" x14ac:dyDescent="0.2">
      <c r="A42" s="256"/>
      <c r="B42" s="257"/>
      <c r="C42" s="281"/>
      <c r="D42" s="321" t="s">
        <v>356</v>
      </c>
      <c r="E42" s="259"/>
      <c r="F42" s="663"/>
      <c r="G42" s="259"/>
      <c r="H42" s="404"/>
      <c r="I42" s="605"/>
    </row>
    <row r="43" spans="1:13" s="405" customFormat="1" ht="12.75" hidden="1" customHeight="1" x14ac:dyDescent="0.2">
      <c r="A43" s="256"/>
      <c r="B43" s="257"/>
      <c r="C43" s="281"/>
      <c r="D43" s="321" t="s">
        <v>368</v>
      </c>
      <c r="E43" s="259"/>
      <c r="F43" s="663"/>
      <c r="G43" s="259"/>
      <c r="H43" s="404"/>
      <c r="I43" s="620"/>
    </row>
    <row r="44" spans="1:13" s="405" customFormat="1" ht="12.75" hidden="1" customHeight="1" x14ac:dyDescent="0.2">
      <c r="A44" s="256"/>
      <c r="B44" s="257"/>
      <c r="C44" s="281"/>
      <c r="D44" s="321" t="s">
        <v>323</v>
      </c>
      <c r="E44" s="259"/>
      <c r="F44" s="663"/>
      <c r="G44" s="259"/>
      <c r="H44" s="404"/>
      <c r="I44" s="606"/>
    </row>
    <row r="45" spans="1:13" s="405" customFormat="1" ht="12.75" hidden="1" customHeight="1" x14ac:dyDescent="0.2">
      <c r="A45" s="256"/>
      <c r="B45" s="257"/>
      <c r="C45" s="320"/>
      <c r="D45" s="431" t="s">
        <v>294</v>
      </c>
      <c r="E45" s="259"/>
      <c r="F45" s="663"/>
      <c r="G45" s="259"/>
      <c r="H45" s="404"/>
      <c r="I45" s="549"/>
    </row>
    <row r="46" spans="1:13" s="405" customFormat="1" ht="12.75" hidden="1" customHeight="1" x14ac:dyDescent="0.2">
      <c r="A46" s="256"/>
      <c r="B46" s="257"/>
      <c r="C46" s="320"/>
      <c r="D46" s="431" t="s">
        <v>295</v>
      </c>
      <c r="E46" s="259"/>
      <c r="F46" s="663"/>
      <c r="G46" s="259"/>
      <c r="H46" s="404"/>
      <c r="I46" s="606"/>
    </row>
    <row r="47" spans="1:13" s="405" customFormat="1" ht="12.75" hidden="1" customHeight="1" x14ac:dyDescent="0.2">
      <c r="A47" s="256"/>
      <c r="B47" s="257"/>
      <c r="C47" s="320"/>
      <c r="D47" s="431" t="s">
        <v>296</v>
      </c>
      <c r="E47" s="259"/>
      <c r="F47" s="663"/>
      <c r="G47" s="259"/>
      <c r="H47" s="404"/>
      <c r="I47" s="606"/>
      <c r="M47" s="727"/>
    </row>
    <row r="48" spans="1:13" ht="12.75" hidden="1" customHeight="1" x14ac:dyDescent="0.2">
      <c r="A48" s="256"/>
      <c r="B48" s="257"/>
      <c r="C48" s="320"/>
      <c r="D48" s="431" t="s">
        <v>401</v>
      </c>
      <c r="E48" s="259"/>
      <c r="F48" s="663"/>
      <c r="G48" s="259"/>
      <c r="I48" s="440"/>
      <c r="M48" s="497"/>
    </row>
    <row r="49" spans="1:12" ht="12.75" hidden="1" customHeight="1" x14ac:dyDescent="0.2">
      <c r="A49" s="256"/>
      <c r="B49" s="257"/>
      <c r="C49" s="743" t="s">
        <v>456</v>
      </c>
      <c r="D49" s="431" t="s">
        <v>424</v>
      </c>
      <c r="E49" s="259"/>
      <c r="F49" s="663">
        <v>0</v>
      </c>
      <c r="G49" s="259"/>
      <c r="I49" s="440"/>
      <c r="L49" s="497"/>
    </row>
    <row r="50" spans="1:12" s="422" customFormat="1" ht="12.75" hidden="1" customHeight="1" x14ac:dyDescent="0.2">
      <c r="A50" s="256"/>
      <c r="B50" s="257"/>
      <c r="C50" s="320"/>
      <c r="D50" s="679" t="s">
        <v>427</v>
      </c>
      <c r="E50" s="259"/>
      <c r="F50" s="663"/>
      <c r="G50" s="259"/>
      <c r="H50" s="538"/>
      <c r="I50" s="620"/>
    </row>
    <row r="51" spans="1:12" ht="12.75" hidden="1" customHeight="1" x14ac:dyDescent="0.2">
      <c r="A51" s="256"/>
      <c r="B51" s="257"/>
      <c r="C51" s="320"/>
      <c r="D51" s="431" t="s">
        <v>408</v>
      </c>
      <c r="E51" s="259"/>
      <c r="F51" s="663">
        <v>0</v>
      </c>
      <c r="G51" s="259"/>
      <c r="I51" s="549"/>
    </row>
    <row r="52" spans="1:12" s="405" customFormat="1" ht="12.75" customHeight="1" thickBot="1" x14ac:dyDescent="0.25">
      <c r="A52" s="260">
        <f>1+A37</f>
        <v>4</v>
      </c>
      <c r="B52" s="261" t="s">
        <v>214</v>
      </c>
      <c r="C52" s="282" t="s">
        <v>250</v>
      </c>
      <c r="D52" s="432" t="str">
        <f>$D$5</f>
        <v>FTE FINAL 22</v>
      </c>
      <c r="E52" s="262">
        <f>'2521'!I$128</f>
        <v>-234.16</v>
      </c>
      <c r="F52" s="662"/>
      <c r="G52" s="262">
        <f>SUBTOTAL(109,E52:F58)</f>
        <v>-234.16</v>
      </c>
      <c r="H52" s="404"/>
      <c r="I52" s="677"/>
    </row>
    <row r="53" spans="1:12" s="405" customFormat="1" ht="12.75" hidden="1" customHeight="1" x14ac:dyDescent="0.2">
      <c r="A53" s="260"/>
      <c r="B53" s="261"/>
      <c r="C53" s="282"/>
      <c r="D53" s="322" t="s">
        <v>355</v>
      </c>
      <c r="E53" s="262"/>
      <c r="F53" s="662"/>
      <c r="G53" s="262"/>
      <c r="H53" s="404"/>
      <c r="I53" s="257"/>
    </row>
    <row r="54" spans="1:12" s="405" customFormat="1" ht="12.75" hidden="1" customHeight="1" x14ac:dyDescent="0.2">
      <c r="A54" s="260"/>
      <c r="B54" s="261"/>
      <c r="C54" s="282"/>
      <c r="D54" s="322" t="s">
        <v>357</v>
      </c>
      <c r="E54" s="262"/>
      <c r="F54" s="662"/>
      <c r="G54" s="262"/>
      <c r="H54" s="404"/>
      <c r="I54" s="257"/>
    </row>
    <row r="55" spans="1:12" s="405" customFormat="1" ht="12.75" hidden="1" customHeight="1" x14ac:dyDescent="0.2">
      <c r="A55" s="260"/>
      <c r="B55" s="261"/>
      <c r="C55" s="282"/>
      <c r="D55" s="322" t="s">
        <v>356</v>
      </c>
      <c r="E55" s="262"/>
      <c r="F55" s="662"/>
      <c r="G55" s="262"/>
      <c r="H55" s="404"/>
      <c r="I55" s="257"/>
    </row>
    <row r="56" spans="1:12" s="422" customFormat="1" ht="12.75" hidden="1" customHeight="1" x14ac:dyDescent="0.2">
      <c r="A56" s="260"/>
      <c r="B56" s="261"/>
      <c r="C56" s="282"/>
      <c r="D56" s="322" t="s">
        <v>368</v>
      </c>
      <c r="E56" s="262"/>
      <c r="F56" s="662"/>
      <c r="G56" s="262"/>
      <c r="H56" s="538"/>
      <c r="I56" s="549"/>
    </row>
    <row r="57" spans="1:12" s="405" customFormat="1" ht="12.75" hidden="1" customHeight="1" x14ac:dyDescent="0.2">
      <c r="A57" s="260"/>
      <c r="B57" s="261"/>
      <c r="C57" s="282"/>
      <c r="D57" s="322" t="s">
        <v>323</v>
      </c>
      <c r="E57" s="262"/>
      <c r="F57" s="662"/>
      <c r="G57" s="262"/>
      <c r="H57" s="404"/>
      <c r="I57" s="549"/>
    </row>
    <row r="58" spans="1:12" s="405" customFormat="1" ht="12.75" hidden="1" customHeight="1" x14ac:dyDescent="0.2">
      <c r="A58" s="260"/>
      <c r="B58" s="261"/>
      <c r="C58" s="282"/>
      <c r="D58" s="598" t="s">
        <v>408</v>
      </c>
      <c r="E58" s="262"/>
      <c r="F58" s="662"/>
      <c r="G58" s="262"/>
      <c r="H58" s="404"/>
      <c r="I58" s="549"/>
    </row>
    <row r="59" spans="1:12" s="405" customFormat="1" ht="12.75" customHeight="1" x14ac:dyDescent="0.2">
      <c r="A59" s="256">
        <f>1+A52</f>
        <v>5</v>
      </c>
      <c r="B59" s="257">
        <v>2531</v>
      </c>
      <c r="C59" s="281" t="s">
        <v>252</v>
      </c>
      <c r="D59" s="430" t="str">
        <f>$D$5</f>
        <v>FTE FINAL 22</v>
      </c>
      <c r="E59" s="259">
        <f>'2531'!I$128</f>
        <v>-133.93</v>
      </c>
      <c r="F59" s="663"/>
      <c r="G59" s="259">
        <f>SUBTOTAL(109,E59:F70)</f>
        <v>-133.93</v>
      </c>
      <c r="H59" s="404"/>
      <c r="I59" s="606"/>
    </row>
    <row r="60" spans="1:12" s="405" customFormat="1" ht="12.75" hidden="1" customHeight="1" x14ac:dyDescent="0.2">
      <c r="A60" s="256"/>
      <c r="B60" s="257"/>
      <c r="C60" s="281"/>
      <c r="D60" s="321" t="s">
        <v>355</v>
      </c>
      <c r="E60" s="259"/>
      <c r="F60" s="663"/>
      <c r="G60" s="259"/>
      <c r="H60" s="404"/>
      <c r="I60" s="320"/>
    </row>
    <row r="61" spans="1:12" s="422" customFormat="1" ht="12.75" hidden="1" customHeight="1" x14ac:dyDescent="0.2">
      <c r="A61" s="256"/>
      <c r="B61" s="257"/>
      <c r="C61" s="281"/>
      <c r="D61" s="678" t="s">
        <v>469</v>
      </c>
      <c r="E61" s="259"/>
      <c r="F61" s="663">
        <v>0</v>
      </c>
      <c r="G61" s="259"/>
      <c r="H61" s="538"/>
      <c r="I61" s="620"/>
    </row>
    <row r="62" spans="1:12" s="405" customFormat="1" ht="12.75" hidden="1" customHeight="1" x14ac:dyDescent="0.2">
      <c r="A62" s="256"/>
      <c r="B62" s="257"/>
      <c r="C62" s="281"/>
      <c r="D62" s="321" t="s">
        <v>441</v>
      </c>
      <c r="E62" s="259"/>
      <c r="F62" s="663"/>
      <c r="G62" s="259"/>
      <c r="H62" s="404"/>
      <c r="I62" s="320"/>
    </row>
    <row r="63" spans="1:12" s="405" customFormat="1" ht="12.75" hidden="1" customHeight="1" x14ac:dyDescent="0.2">
      <c r="A63" s="256"/>
      <c r="B63" s="257"/>
      <c r="C63" s="281"/>
      <c r="D63" s="678" t="s">
        <v>439</v>
      </c>
      <c r="E63" s="259"/>
      <c r="F63" s="663"/>
      <c r="G63" s="259"/>
      <c r="H63" s="404"/>
      <c r="I63" s="320"/>
    </row>
    <row r="64" spans="1:12" s="405" customFormat="1" ht="12.75" hidden="1" customHeight="1" x14ac:dyDescent="0.2">
      <c r="A64" s="256"/>
      <c r="B64" s="257"/>
      <c r="C64" s="281"/>
      <c r="D64" s="321" t="s">
        <v>357</v>
      </c>
      <c r="E64" s="259"/>
      <c r="F64" s="663"/>
      <c r="G64" s="259"/>
      <c r="H64" s="404"/>
      <c r="I64" s="320"/>
    </row>
    <row r="65" spans="1:9" s="405" customFormat="1" ht="12.75" hidden="1" customHeight="1" x14ac:dyDescent="0.2">
      <c r="A65" s="256"/>
      <c r="B65" s="257"/>
      <c r="C65" s="281"/>
      <c r="D65" s="321" t="s">
        <v>356</v>
      </c>
      <c r="E65" s="259"/>
      <c r="F65" s="663"/>
      <c r="G65" s="259"/>
      <c r="H65" s="404"/>
      <c r="I65" s="320"/>
    </row>
    <row r="66" spans="1:9" s="405" customFormat="1" ht="12.75" hidden="1" customHeight="1" x14ac:dyDescent="0.2">
      <c r="A66" s="256"/>
      <c r="B66" s="257"/>
      <c r="C66" s="281"/>
      <c r="D66" s="321" t="s">
        <v>368</v>
      </c>
      <c r="E66" s="259"/>
      <c r="F66" s="663"/>
      <c r="G66" s="259"/>
      <c r="H66" s="404"/>
      <c r="I66" s="606"/>
    </row>
    <row r="67" spans="1:9" s="405" customFormat="1" ht="12.75" hidden="1" customHeight="1" x14ac:dyDescent="0.2">
      <c r="A67" s="256"/>
      <c r="B67" s="257"/>
      <c r="C67" s="281"/>
      <c r="D67" s="321" t="s">
        <v>323</v>
      </c>
      <c r="E67" s="259"/>
      <c r="F67" s="663"/>
      <c r="G67" s="259"/>
      <c r="H67" s="404"/>
      <c r="I67" s="606"/>
    </row>
    <row r="68" spans="1:9" s="405" customFormat="1" ht="12.75" hidden="1" customHeight="1" x14ac:dyDescent="0.2">
      <c r="A68" s="256"/>
      <c r="B68" s="257"/>
      <c r="C68" s="281"/>
      <c r="D68" s="321" t="s">
        <v>407</v>
      </c>
      <c r="E68" s="259"/>
      <c r="F68" s="663"/>
      <c r="G68" s="259"/>
      <c r="H68" s="404"/>
      <c r="I68" s="606"/>
    </row>
    <row r="69" spans="1:9" s="422" customFormat="1" ht="12.75" hidden="1" customHeight="1" x14ac:dyDescent="0.2">
      <c r="A69" s="256"/>
      <c r="B69" s="257"/>
      <c r="C69" s="320"/>
      <c r="D69" s="679" t="s">
        <v>427</v>
      </c>
      <c r="E69" s="259"/>
      <c r="F69" s="663"/>
      <c r="G69" s="259"/>
      <c r="H69" s="538"/>
      <c r="I69" s="620"/>
    </row>
    <row r="70" spans="1:9" s="405" customFormat="1" ht="12.75" hidden="1" customHeight="1" x14ac:dyDescent="0.2">
      <c r="A70" s="256"/>
      <c r="B70" s="257"/>
      <c r="C70" s="281"/>
      <c r="D70" s="431" t="s">
        <v>408</v>
      </c>
      <c r="E70" s="259"/>
      <c r="F70" s="663"/>
      <c r="G70" s="259"/>
      <c r="H70" s="404"/>
      <c r="I70" s="606"/>
    </row>
    <row r="71" spans="1:9" s="422" customFormat="1" ht="12.75" customHeight="1" x14ac:dyDescent="0.2">
      <c r="A71" s="260">
        <f>1+A59</f>
        <v>6</v>
      </c>
      <c r="B71" s="261" t="s">
        <v>216</v>
      </c>
      <c r="C71" s="407" t="s">
        <v>321</v>
      </c>
      <c r="D71" s="432" t="str">
        <f>$D$5</f>
        <v>FTE FINAL 22</v>
      </c>
      <c r="E71" s="262">
        <f>'2791'!I$128</f>
        <v>-144.35</v>
      </c>
      <c r="F71" s="662"/>
      <c r="G71" s="262">
        <f>SUBTOTAL(109,E71:F78)</f>
        <v>-144.35</v>
      </c>
      <c r="H71" s="538"/>
      <c r="I71" s="549"/>
    </row>
    <row r="72" spans="1:9" s="422" customFormat="1" ht="12.75" hidden="1" customHeight="1" x14ac:dyDescent="0.2">
      <c r="A72" s="260"/>
      <c r="B72" s="261"/>
      <c r="C72" s="282"/>
      <c r="D72" s="322" t="s">
        <v>355</v>
      </c>
      <c r="E72" s="262"/>
      <c r="F72" s="662"/>
      <c r="G72" s="262"/>
      <c r="H72" s="538"/>
      <c r="I72" s="257"/>
    </row>
    <row r="73" spans="1:9" s="405" customFormat="1" ht="12.75" hidden="1" customHeight="1" x14ac:dyDescent="0.2">
      <c r="A73" s="260"/>
      <c r="B73" s="261"/>
      <c r="C73" s="282"/>
      <c r="D73" s="735" t="s">
        <v>439</v>
      </c>
      <c r="E73" s="262"/>
      <c r="F73" s="662"/>
      <c r="G73" s="262"/>
      <c r="H73" s="404"/>
      <c r="I73" s="320"/>
    </row>
    <row r="74" spans="1:9" s="422" customFormat="1" ht="12.75" hidden="1" customHeight="1" x14ac:dyDescent="0.2">
      <c r="A74" s="260"/>
      <c r="B74" s="261"/>
      <c r="C74" s="282"/>
      <c r="D74" s="322" t="s">
        <v>357</v>
      </c>
      <c r="E74" s="262"/>
      <c r="F74" s="662"/>
      <c r="G74" s="262"/>
      <c r="H74" s="538"/>
      <c r="I74" s="257"/>
    </row>
    <row r="75" spans="1:9" s="422" customFormat="1" ht="12.75" hidden="1" customHeight="1" x14ac:dyDescent="0.2">
      <c r="A75" s="260"/>
      <c r="B75" s="261"/>
      <c r="C75" s="282"/>
      <c r="D75" s="322" t="s">
        <v>356</v>
      </c>
      <c r="E75" s="262"/>
      <c r="F75" s="662"/>
      <c r="G75" s="262"/>
      <c r="H75" s="538"/>
      <c r="I75" s="257"/>
    </row>
    <row r="76" spans="1:9" s="422" customFormat="1" ht="12.75" hidden="1" customHeight="1" x14ac:dyDescent="0.2">
      <c r="A76" s="260"/>
      <c r="B76" s="261"/>
      <c r="C76" s="282"/>
      <c r="D76" s="322" t="s">
        <v>368</v>
      </c>
      <c r="E76" s="262"/>
      <c r="F76" s="662"/>
      <c r="G76" s="262"/>
      <c r="H76" s="538"/>
      <c r="I76" s="549"/>
    </row>
    <row r="77" spans="1:9" s="405" customFormat="1" ht="12.75" hidden="1" customHeight="1" x14ac:dyDescent="0.2">
      <c r="A77" s="260"/>
      <c r="B77" s="261"/>
      <c r="C77" s="282"/>
      <c r="D77" s="322" t="s">
        <v>323</v>
      </c>
      <c r="E77" s="262"/>
      <c r="F77" s="662"/>
      <c r="G77" s="262"/>
      <c r="H77" s="404"/>
      <c r="I77" s="549"/>
    </row>
    <row r="78" spans="1:9" s="405" customFormat="1" ht="12.75" hidden="1" customHeight="1" x14ac:dyDescent="0.2">
      <c r="A78" s="260"/>
      <c r="B78" s="261"/>
      <c r="C78" s="282"/>
      <c r="D78" s="598" t="s">
        <v>408</v>
      </c>
      <c r="E78" s="262"/>
      <c r="F78" s="662"/>
      <c r="G78" s="262"/>
      <c r="H78" s="404"/>
      <c r="I78" s="549"/>
    </row>
    <row r="79" spans="1:9" s="422" customFormat="1" ht="12.75" customHeight="1" x14ac:dyDescent="0.2">
      <c r="A79" s="256">
        <f>A71+1</f>
        <v>7</v>
      </c>
      <c r="B79" s="257" t="s">
        <v>217</v>
      </c>
      <c r="C79" s="281" t="s">
        <v>253</v>
      </c>
      <c r="D79" s="430" t="str">
        <f>$D$5</f>
        <v>FTE FINAL 22</v>
      </c>
      <c r="E79" s="259">
        <f>'2801'!I$128</f>
        <v>-5397.43</v>
      </c>
      <c r="F79" s="663"/>
      <c r="G79" s="259">
        <f>SUBTOTAL(109,E79:F88)</f>
        <v>-5397.43</v>
      </c>
      <c r="H79" s="538"/>
      <c r="I79" s="257"/>
    </row>
    <row r="80" spans="1:9" s="422" customFormat="1" ht="12.75" hidden="1" customHeight="1" x14ac:dyDescent="0.2">
      <c r="A80" s="256"/>
      <c r="B80" s="257"/>
      <c r="C80" s="281"/>
      <c r="D80" s="321" t="s">
        <v>355</v>
      </c>
      <c r="E80" s="259"/>
      <c r="F80" s="663"/>
      <c r="G80" s="259"/>
      <c r="H80" s="538"/>
      <c r="I80" s="257"/>
    </row>
    <row r="81" spans="1:9" s="405" customFormat="1" ht="12.75" hidden="1" customHeight="1" x14ac:dyDescent="0.2">
      <c r="A81" s="256"/>
      <c r="B81" s="257"/>
      <c r="C81" s="281"/>
      <c r="D81" s="678" t="s">
        <v>439</v>
      </c>
      <c r="E81" s="259"/>
      <c r="F81" s="663"/>
      <c r="G81" s="259"/>
      <c r="H81" s="404"/>
      <c r="I81" s="320"/>
    </row>
    <row r="82" spans="1:9" s="422" customFormat="1" ht="12.75" hidden="1" customHeight="1" x14ac:dyDescent="0.2">
      <c r="A82" s="256"/>
      <c r="B82" s="257"/>
      <c r="C82" s="281"/>
      <c r="D82" s="321" t="s">
        <v>357</v>
      </c>
      <c r="E82" s="259"/>
      <c r="F82" s="663"/>
      <c r="G82" s="259"/>
      <c r="H82" s="538"/>
      <c r="I82" s="257"/>
    </row>
    <row r="83" spans="1:9" s="422" customFormat="1" ht="12.75" hidden="1" customHeight="1" x14ac:dyDescent="0.2">
      <c r="A83" s="256"/>
      <c r="B83" s="257"/>
      <c r="C83" s="281"/>
      <c r="D83" s="321" t="s">
        <v>421</v>
      </c>
      <c r="E83" s="259"/>
      <c r="F83" s="663">
        <v>0</v>
      </c>
      <c r="G83" s="259"/>
      <c r="H83" s="538"/>
      <c r="I83" s="257"/>
    </row>
    <row r="84" spans="1:9" s="422" customFormat="1" ht="12.75" hidden="1" customHeight="1" x14ac:dyDescent="0.2">
      <c r="A84" s="256"/>
      <c r="B84" s="257"/>
      <c r="C84" s="281"/>
      <c r="D84" s="321" t="s">
        <v>368</v>
      </c>
      <c r="E84" s="259"/>
      <c r="F84" s="663"/>
      <c r="G84" s="259"/>
      <c r="H84" s="538"/>
      <c r="I84" s="257"/>
    </row>
    <row r="85" spans="1:9" s="405" customFormat="1" ht="12.75" hidden="1" customHeight="1" x14ac:dyDescent="0.2">
      <c r="A85" s="256"/>
      <c r="B85" s="257"/>
      <c r="C85" s="281"/>
      <c r="D85" s="321" t="s">
        <v>323</v>
      </c>
      <c r="E85" s="259"/>
      <c r="F85" s="663"/>
      <c r="G85" s="259"/>
      <c r="H85" s="404"/>
      <c r="I85" s="603"/>
    </row>
    <row r="86" spans="1:9" s="422" customFormat="1" ht="12.75" hidden="1" customHeight="1" x14ac:dyDescent="0.2">
      <c r="A86" s="256"/>
      <c r="B86" s="257"/>
      <c r="C86" s="281"/>
      <c r="D86" s="321" t="s">
        <v>369</v>
      </c>
      <c r="E86" s="259"/>
      <c r="F86" s="663"/>
      <c r="G86" s="259"/>
      <c r="H86" s="538"/>
      <c r="I86" s="423"/>
    </row>
    <row r="87" spans="1:9" s="422" customFormat="1" ht="12.75" hidden="1" customHeight="1" x14ac:dyDescent="0.2">
      <c r="A87" s="256"/>
      <c r="B87" s="257"/>
      <c r="C87" s="281"/>
      <c r="D87" s="321" t="s">
        <v>407</v>
      </c>
      <c r="E87" s="259"/>
      <c r="F87" s="663"/>
      <c r="G87" s="259"/>
      <c r="H87" s="538"/>
      <c r="I87" s="257"/>
    </row>
    <row r="88" spans="1:9" s="422" customFormat="1" ht="12.75" hidden="1" customHeight="1" x14ac:dyDescent="0.2">
      <c r="A88" s="256"/>
      <c r="B88" s="257"/>
      <c r="C88" s="281"/>
      <c r="D88" s="431" t="s">
        <v>433</v>
      </c>
      <c r="E88" s="259"/>
      <c r="F88" s="663"/>
      <c r="G88" s="259"/>
      <c r="H88" s="538"/>
      <c r="I88" s="549"/>
    </row>
    <row r="89" spans="1:9" s="422" customFormat="1" ht="12.75" customHeight="1" x14ac:dyDescent="0.2">
      <c r="A89" s="260">
        <f>A79+1</f>
        <v>8</v>
      </c>
      <c r="B89" s="261" t="s">
        <v>218</v>
      </c>
      <c r="C89" s="282" t="s">
        <v>255</v>
      </c>
      <c r="D89" s="432" t="str">
        <f>$D$5</f>
        <v>FTE FINAL 22</v>
      </c>
      <c r="E89" s="262">
        <f>'2911'!I$128</f>
        <v>-1802.14</v>
      </c>
      <c r="F89" s="662"/>
      <c r="G89" s="262">
        <f>SUBTOTAL(109,E89:F97)</f>
        <v>-1802.14</v>
      </c>
      <c r="H89" s="538"/>
      <c r="I89" s="257"/>
    </row>
    <row r="90" spans="1:9" s="422" customFormat="1" ht="12.75" hidden="1" customHeight="1" x14ac:dyDescent="0.2">
      <c r="A90" s="260"/>
      <c r="B90" s="261"/>
      <c r="C90" s="282"/>
      <c r="D90" s="322" t="s">
        <v>355</v>
      </c>
      <c r="E90" s="262"/>
      <c r="F90" s="662"/>
      <c r="G90" s="262"/>
      <c r="H90" s="538"/>
      <c r="I90" s="257"/>
    </row>
    <row r="91" spans="1:9" s="405" customFormat="1" ht="12.75" hidden="1" customHeight="1" x14ac:dyDescent="0.2">
      <c r="A91" s="260"/>
      <c r="B91" s="261"/>
      <c r="C91" s="282"/>
      <c r="D91" s="735" t="s">
        <v>439</v>
      </c>
      <c r="E91" s="262"/>
      <c r="F91" s="662"/>
      <c r="G91" s="262"/>
      <c r="H91" s="404"/>
      <c r="I91" s="320"/>
    </row>
    <row r="92" spans="1:9" s="422" customFormat="1" ht="12.75" hidden="1" customHeight="1" x14ac:dyDescent="0.2">
      <c r="A92" s="260"/>
      <c r="B92" s="261"/>
      <c r="C92" s="282"/>
      <c r="D92" s="322" t="s">
        <v>357</v>
      </c>
      <c r="E92" s="262"/>
      <c r="F92" s="662"/>
      <c r="G92" s="262"/>
      <c r="H92" s="538"/>
      <c r="I92" s="257"/>
    </row>
    <row r="93" spans="1:9" s="422" customFormat="1" ht="12.75" hidden="1" customHeight="1" x14ac:dyDescent="0.2">
      <c r="A93" s="260"/>
      <c r="B93" s="261"/>
      <c r="C93" s="282"/>
      <c r="D93" s="322" t="s">
        <v>356</v>
      </c>
      <c r="E93" s="262"/>
      <c r="F93" s="662"/>
      <c r="G93" s="262"/>
      <c r="H93" s="538"/>
      <c r="I93" s="257"/>
    </row>
    <row r="94" spans="1:9" s="422" customFormat="1" ht="12.75" hidden="1" customHeight="1" x14ac:dyDescent="0.2">
      <c r="A94" s="260"/>
      <c r="B94" s="261"/>
      <c r="C94" s="282"/>
      <c r="D94" s="322" t="s">
        <v>368</v>
      </c>
      <c r="E94" s="262"/>
      <c r="F94" s="662"/>
      <c r="G94" s="262"/>
      <c r="H94" s="538"/>
      <c r="I94" s="257"/>
    </row>
    <row r="95" spans="1:9" s="405" customFormat="1" ht="12.75" hidden="1" customHeight="1" x14ac:dyDescent="0.2">
      <c r="A95" s="260"/>
      <c r="B95" s="261"/>
      <c r="C95" s="282"/>
      <c r="D95" s="322" t="s">
        <v>323</v>
      </c>
      <c r="E95" s="262"/>
      <c r="F95" s="662"/>
      <c r="G95" s="262"/>
      <c r="H95" s="404"/>
      <c r="I95" s="603"/>
    </row>
    <row r="96" spans="1:9" s="422" customFormat="1" ht="12.75" hidden="1" customHeight="1" x14ac:dyDescent="0.2">
      <c r="A96" s="260"/>
      <c r="B96" s="261"/>
      <c r="C96" s="282"/>
      <c r="D96" s="322" t="s">
        <v>369</v>
      </c>
      <c r="E96" s="262"/>
      <c r="F96" s="662"/>
      <c r="G96" s="262"/>
      <c r="H96" s="538"/>
      <c r="I96" s="549"/>
    </row>
    <row r="97" spans="1:12" s="405" customFormat="1" ht="12.75" hidden="1" customHeight="1" x14ac:dyDescent="0.2">
      <c r="A97" s="260"/>
      <c r="B97" s="261"/>
      <c r="C97" s="318"/>
      <c r="D97" s="598" t="s">
        <v>446</v>
      </c>
      <c r="E97" s="262"/>
      <c r="F97" s="662"/>
      <c r="G97" s="262"/>
      <c r="H97" s="404"/>
      <c r="I97" s="549"/>
      <c r="J97" s="679"/>
      <c r="K97" s="259"/>
      <c r="L97" s="680"/>
    </row>
    <row r="98" spans="1:12" s="422" customFormat="1" ht="12.75" customHeight="1" x14ac:dyDescent="0.2">
      <c r="A98" s="256">
        <f>A89+1</f>
        <v>9</v>
      </c>
      <c r="B98" s="257" t="s">
        <v>219</v>
      </c>
      <c r="C98" s="281" t="s">
        <v>256</v>
      </c>
      <c r="D98" s="430" t="str">
        <f>$D$5</f>
        <v>FTE FINAL 22</v>
      </c>
      <c r="E98" s="259">
        <f>'2941'!I$128</f>
        <v>-609.44000000000005</v>
      </c>
      <c r="F98" s="663"/>
      <c r="G98" s="259">
        <f>SUBTOTAL(109,E98:F106)</f>
        <v>-609.44000000000005</v>
      </c>
      <c r="H98" s="538"/>
      <c r="I98" s="257"/>
    </row>
    <row r="99" spans="1:12" s="422" customFormat="1" ht="12.75" hidden="1" customHeight="1" x14ac:dyDescent="0.2">
      <c r="A99" s="256"/>
      <c r="B99" s="257"/>
      <c r="C99" s="281"/>
      <c r="D99" s="321" t="s">
        <v>355</v>
      </c>
      <c r="E99" s="259"/>
      <c r="F99" s="663"/>
      <c r="G99" s="259"/>
      <c r="H99" s="538"/>
      <c r="I99" s="257"/>
    </row>
    <row r="100" spans="1:12" s="405" customFormat="1" ht="12.75" hidden="1" customHeight="1" x14ac:dyDescent="0.2">
      <c r="A100" s="256"/>
      <c r="B100" s="257"/>
      <c r="C100" s="281"/>
      <c r="D100" s="678" t="s">
        <v>439</v>
      </c>
      <c r="E100" s="259"/>
      <c r="F100" s="663"/>
      <c r="G100" s="259"/>
      <c r="H100" s="404"/>
      <c r="I100" s="320"/>
    </row>
    <row r="101" spans="1:12" s="422" customFormat="1" ht="12.75" hidden="1" customHeight="1" x14ac:dyDescent="0.2">
      <c r="A101" s="256"/>
      <c r="B101" s="257"/>
      <c r="C101" s="281"/>
      <c r="D101" s="321" t="s">
        <v>357</v>
      </c>
      <c r="E101" s="259"/>
      <c r="F101" s="663"/>
      <c r="G101" s="259"/>
      <c r="H101" s="538"/>
      <c r="I101" s="257"/>
    </row>
    <row r="102" spans="1:12" s="422" customFormat="1" ht="12.75" hidden="1" customHeight="1" x14ac:dyDescent="0.2">
      <c r="A102" s="256"/>
      <c r="B102" s="257"/>
      <c r="C102" s="281"/>
      <c r="D102" s="321" t="s">
        <v>356</v>
      </c>
      <c r="E102" s="259"/>
      <c r="F102" s="663"/>
      <c r="G102" s="259"/>
      <c r="H102" s="538"/>
      <c r="I102" s="257"/>
    </row>
    <row r="103" spans="1:12" s="422" customFormat="1" ht="12.75" hidden="1" customHeight="1" x14ac:dyDescent="0.2">
      <c r="A103" s="256"/>
      <c r="B103" s="257"/>
      <c r="C103" s="281"/>
      <c r="D103" s="321" t="s">
        <v>368</v>
      </c>
      <c r="E103" s="259"/>
      <c r="F103" s="663"/>
      <c r="G103" s="259"/>
      <c r="H103" s="538"/>
      <c r="I103" s="257"/>
    </row>
    <row r="104" spans="1:12" s="405" customFormat="1" ht="12.75" hidden="1" customHeight="1" x14ac:dyDescent="0.2">
      <c r="A104" s="256"/>
      <c r="B104" s="257"/>
      <c r="C104" s="281"/>
      <c r="D104" s="321" t="s">
        <v>323</v>
      </c>
      <c r="E104" s="259"/>
      <c r="F104" s="663"/>
      <c r="G104" s="259"/>
      <c r="H104" s="404"/>
      <c r="I104" s="603"/>
    </row>
    <row r="105" spans="1:12" s="405" customFormat="1" ht="12.75" hidden="1" customHeight="1" x14ac:dyDescent="0.2">
      <c r="A105" s="256"/>
      <c r="B105" s="257"/>
      <c r="C105" s="281"/>
      <c r="D105" s="321" t="s">
        <v>407</v>
      </c>
      <c r="E105" s="259"/>
      <c r="F105" s="663"/>
      <c r="G105" s="259"/>
      <c r="H105" s="404"/>
      <c r="I105" s="603"/>
    </row>
    <row r="106" spans="1:12" s="405" customFormat="1" ht="12.75" hidden="1" customHeight="1" x14ac:dyDescent="0.2">
      <c r="A106" s="256"/>
      <c r="B106" s="257"/>
      <c r="C106" s="281"/>
      <c r="D106" s="431" t="s">
        <v>408</v>
      </c>
      <c r="E106" s="259"/>
      <c r="F106" s="663"/>
      <c r="G106" s="259"/>
      <c r="H106" s="404"/>
      <c r="I106" s="603"/>
    </row>
    <row r="107" spans="1:12" s="422" customFormat="1" ht="12.75" customHeight="1" x14ac:dyDescent="0.2">
      <c r="A107" s="260">
        <f>A98+1</f>
        <v>10</v>
      </c>
      <c r="B107" s="261" t="s">
        <v>220</v>
      </c>
      <c r="C107" s="407" t="s">
        <v>400</v>
      </c>
      <c r="D107" s="432" t="str">
        <f>$D$5</f>
        <v>FTE FINAL 22</v>
      </c>
      <c r="E107" s="262">
        <f>'3083'!I$128</f>
        <v>-114.05</v>
      </c>
      <c r="F107" s="662"/>
      <c r="G107" s="262">
        <f>SUBTOTAL(109,E107:F114)</f>
        <v>-114.05</v>
      </c>
      <c r="H107" s="538"/>
      <c r="I107" s="257"/>
    </row>
    <row r="108" spans="1:12" s="422" customFormat="1" ht="12.75" hidden="1" customHeight="1" x14ac:dyDescent="0.2">
      <c r="A108" s="260"/>
      <c r="B108" s="261"/>
      <c r="C108" s="282"/>
      <c r="D108" s="322" t="s">
        <v>355</v>
      </c>
      <c r="E108" s="262"/>
      <c r="F108" s="662"/>
      <c r="G108" s="262"/>
      <c r="H108" s="538"/>
      <c r="I108" s="257"/>
    </row>
    <row r="109" spans="1:12" s="405" customFormat="1" ht="12.75" hidden="1" customHeight="1" x14ac:dyDescent="0.2">
      <c r="A109" s="260"/>
      <c r="B109" s="261"/>
      <c r="C109" s="282"/>
      <c r="D109" s="735" t="s">
        <v>439</v>
      </c>
      <c r="E109" s="262"/>
      <c r="F109" s="662"/>
      <c r="G109" s="262"/>
      <c r="H109" s="404"/>
      <c r="I109" s="320"/>
    </row>
    <row r="110" spans="1:12" s="422" customFormat="1" ht="12.75" hidden="1" customHeight="1" x14ac:dyDescent="0.2">
      <c r="A110" s="260"/>
      <c r="B110" s="261"/>
      <c r="C110" s="282"/>
      <c r="D110" s="322" t="s">
        <v>357</v>
      </c>
      <c r="E110" s="262"/>
      <c r="F110" s="662"/>
      <c r="G110" s="262"/>
      <c r="H110" s="538"/>
      <c r="I110" s="257"/>
    </row>
    <row r="111" spans="1:12" s="422" customFormat="1" ht="12.75" hidden="1" customHeight="1" x14ac:dyDescent="0.2">
      <c r="A111" s="260"/>
      <c r="B111" s="261"/>
      <c r="C111" s="282"/>
      <c r="D111" s="322" t="s">
        <v>356</v>
      </c>
      <c r="E111" s="262"/>
      <c r="F111" s="662"/>
      <c r="G111" s="262"/>
      <c r="H111" s="538"/>
      <c r="I111" s="257"/>
    </row>
    <row r="112" spans="1:12" s="422" customFormat="1" ht="12.75" hidden="1" customHeight="1" x14ac:dyDescent="0.2">
      <c r="A112" s="260"/>
      <c r="B112" s="261"/>
      <c r="C112" s="282"/>
      <c r="D112" s="433" t="s">
        <v>368</v>
      </c>
      <c r="E112" s="262"/>
      <c r="F112" s="662"/>
      <c r="G112" s="262"/>
      <c r="H112" s="538"/>
      <c r="I112" s="257"/>
    </row>
    <row r="113" spans="1:9" s="405" customFormat="1" ht="12.75" hidden="1" customHeight="1" x14ac:dyDescent="0.2">
      <c r="A113" s="260"/>
      <c r="B113" s="261"/>
      <c r="C113" s="282"/>
      <c r="D113" s="322" t="s">
        <v>323</v>
      </c>
      <c r="E113" s="262"/>
      <c r="F113" s="662"/>
      <c r="G113" s="262"/>
      <c r="H113" s="404"/>
      <c r="I113" s="603"/>
    </row>
    <row r="114" spans="1:9" s="540" customFormat="1" ht="12.75" hidden="1" customHeight="1" x14ac:dyDescent="0.2">
      <c r="A114" s="260"/>
      <c r="B114" s="261"/>
      <c r="C114" s="282"/>
      <c r="D114" s="433" t="s">
        <v>408</v>
      </c>
      <c r="E114" s="262"/>
      <c r="F114" s="662"/>
      <c r="G114" s="262"/>
      <c r="H114" s="539"/>
      <c r="I114" s="257"/>
    </row>
    <row r="115" spans="1:9" s="422" customFormat="1" ht="12.75" customHeight="1" x14ac:dyDescent="0.2">
      <c r="A115" s="256">
        <f>A107+1</f>
        <v>11</v>
      </c>
      <c r="B115" s="257" t="s">
        <v>221</v>
      </c>
      <c r="C115" s="406" t="s">
        <v>292</v>
      </c>
      <c r="D115" s="430" t="str">
        <f>$D$5</f>
        <v>FTE FINAL 22</v>
      </c>
      <c r="E115" s="259">
        <f>'3345'!I$128</f>
        <v>-244.68</v>
      </c>
      <c r="F115" s="663"/>
      <c r="G115" s="259">
        <f>SUBTOTAL(109,E115:F121)</f>
        <v>-244.68</v>
      </c>
      <c r="H115" s="538"/>
      <c r="I115" s="257"/>
    </row>
    <row r="116" spans="1:9" s="422" customFormat="1" ht="12.75" hidden="1" customHeight="1" x14ac:dyDescent="0.2">
      <c r="A116" s="256"/>
      <c r="B116" s="257"/>
      <c r="C116" s="406"/>
      <c r="D116" s="321" t="s">
        <v>355</v>
      </c>
      <c r="E116" s="259"/>
      <c r="F116" s="663"/>
      <c r="G116" s="259"/>
      <c r="H116" s="538"/>
      <c r="I116" s="257"/>
    </row>
    <row r="117" spans="1:9" s="422" customFormat="1" ht="12.75" hidden="1" customHeight="1" x14ac:dyDescent="0.2">
      <c r="A117" s="256"/>
      <c r="B117" s="257"/>
      <c r="C117" s="406"/>
      <c r="D117" s="321" t="s">
        <v>357</v>
      </c>
      <c r="E117" s="259"/>
      <c r="F117" s="663"/>
      <c r="G117" s="259"/>
      <c r="H117" s="538"/>
      <c r="I117" s="257"/>
    </row>
    <row r="118" spans="1:9" s="422" customFormat="1" ht="12.75" hidden="1" customHeight="1" x14ac:dyDescent="0.2">
      <c r="A118" s="256"/>
      <c r="B118" s="257"/>
      <c r="C118" s="281"/>
      <c r="D118" s="321" t="s">
        <v>356</v>
      </c>
      <c r="E118" s="259"/>
      <c r="F118" s="663"/>
      <c r="G118" s="259"/>
      <c r="H118" s="538"/>
      <c r="I118" s="257"/>
    </row>
    <row r="119" spans="1:9" s="422" customFormat="1" ht="12.75" hidden="1" customHeight="1" x14ac:dyDescent="0.2">
      <c r="A119" s="256"/>
      <c r="B119" s="257"/>
      <c r="C119" s="281"/>
      <c r="D119" s="321" t="s">
        <v>368</v>
      </c>
      <c r="E119" s="259"/>
      <c r="F119" s="663"/>
      <c r="G119" s="259"/>
      <c r="H119" s="538"/>
      <c r="I119" s="257"/>
    </row>
    <row r="120" spans="1:9" s="405" customFormat="1" ht="12.75" hidden="1" customHeight="1" x14ac:dyDescent="0.2">
      <c r="A120" s="256"/>
      <c r="B120" s="257"/>
      <c r="C120" s="281"/>
      <c r="D120" s="321" t="s">
        <v>323</v>
      </c>
      <c r="E120" s="259"/>
      <c r="F120" s="663"/>
      <c r="G120" s="259"/>
      <c r="H120" s="404"/>
      <c r="I120" s="603"/>
    </row>
    <row r="121" spans="1:9" s="405" customFormat="1" ht="12.75" hidden="1" customHeight="1" x14ac:dyDescent="0.2">
      <c r="A121" s="256"/>
      <c r="B121" s="257"/>
      <c r="C121" s="281"/>
      <c r="D121" s="431" t="s">
        <v>408</v>
      </c>
      <c r="E121" s="259"/>
      <c r="F121" s="663"/>
      <c r="G121" s="259"/>
      <c r="H121" s="404"/>
      <c r="I121" s="603"/>
    </row>
    <row r="122" spans="1:9" s="422" customFormat="1" ht="12.75" customHeight="1" x14ac:dyDescent="0.2">
      <c r="A122" s="260">
        <f>A115+1</f>
        <v>12</v>
      </c>
      <c r="B122" s="261" t="s">
        <v>222</v>
      </c>
      <c r="C122" s="282" t="s">
        <v>261</v>
      </c>
      <c r="D122" s="432" t="str">
        <f>$D$5</f>
        <v>FTE FINAL 22</v>
      </c>
      <c r="E122" s="262">
        <f>'3381'!I$128</f>
        <v>-972.16</v>
      </c>
      <c r="F122" s="662"/>
      <c r="G122" s="262">
        <f>SUBTOTAL(109,E122:F130)</f>
        <v>-972.16</v>
      </c>
      <c r="H122" s="538"/>
      <c r="I122" s="257"/>
    </row>
    <row r="123" spans="1:9" s="422" customFormat="1" ht="12.75" hidden="1" customHeight="1" x14ac:dyDescent="0.2">
      <c r="A123" s="260"/>
      <c r="B123" s="261"/>
      <c r="C123" s="282"/>
      <c r="D123" s="322" t="s">
        <v>355</v>
      </c>
      <c r="E123" s="262"/>
      <c r="F123" s="662"/>
      <c r="G123" s="262"/>
      <c r="H123" s="538"/>
      <c r="I123" s="257"/>
    </row>
    <row r="124" spans="1:9" s="405" customFormat="1" ht="12.75" hidden="1" customHeight="1" x14ac:dyDescent="0.2">
      <c r="A124" s="260"/>
      <c r="B124" s="261"/>
      <c r="C124" s="282"/>
      <c r="D124" s="735" t="s">
        <v>439</v>
      </c>
      <c r="E124" s="262"/>
      <c r="F124" s="662"/>
      <c r="G124" s="262"/>
      <c r="H124" s="404"/>
      <c r="I124" s="320"/>
    </row>
    <row r="125" spans="1:9" s="422" customFormat="1" ht="12.75" hidden="1" customHeight="1" x14ac:dyDescent="0.2">
      <c r="A125" s="260"/>
      <c r="B125" s="261"/>
      <c r="C125" s="282"/>
      <c r="D125" s="322" t="s">
        <v>357</v>
      </c>
      <c r="E125" s="262"/>
      <c r="F125" s="662"/>
      <c r="G125" s="262"/>
      <c r="H125" s="538"/>
      <c r="I125" s="257"/>
    </row>
    <row r="126" spans="1:9" s="422" customFormat="1" ht="12.75" hidden="1" customHeight="1" x14ac:dyDescent="0.2">
      <c r="A126" s="260"/>
      <c r="B126" s="261"/>
      <c r="C126" s="282"/>
      <c r="D126" s="322" t="s">
        <v>356</v>
      </c>
      <c r="E126" s="262"/>
      <c r="F126" s="662"/>
      <c r="G126" s="262"/>
      <c r="H126" s="538"/>
      <c r="I126" s="257"/>
    </row>
    <row r="127" spans="1:9" s="422" customFormat="1" ht="12.75" hidden="1" customHeight="1" x14ac:dyDescent="0.2">
      <c r="A127" s="260"/>
      <c r="B127" s="261"/>
      <c r="C127" s="282"/>
      <c r="D127" s="322" t="s">
        <v>368</v>
      </c>
      <c r="E127" s="262"/>
      <c r="F127" s="662"/>
      <c r="G127" s="262"/>
      <c r="H127" s="538"/>
      <c r="I127" s="257"/>
    </row>
    <row r="128" spans="1:9" s="405" customFormat="1" ht="12.75" hidden="1" customHeight="1" x14ac:dyDescent="0.2">
      <c r="A128" s="260"/>
      <c r="B128" s="261"/>
      <c r="C128" s="282"/>
      <c r="D128" s="322" t="s">
        <v>323</v>
      </c>
      <c r="E128" s="262"/>
      <c r="F128" s="662"/>
      <c r="G128" s="262"/>
      <c r="H128" s="404"/>
      <c r="I128" s="603"/>
    </row>
    <row r="129" spans="1:16" s="405" customFormat="1" ht="12.75" hidden="1" customHeight="1" x14ac:dyDescent="0.2">
      <c r="A129" s="260"/>
      <c r="B129" s="261"/>
      <c r="C129" s="282"/>
      <c r="D129" s="322" t="s">
        <v>426</v>
      </c>
      <c r="E129" s="262"/>
      <c r="F129" s="662"/>
      <c r="G129" s="262"/>
      <c r="H129" s="404"/>
      <c r="I129" s="606"/>
    </row>
    <row r="130" spans="1:16" s="540" customFormat="1" ht="12.75" hidden="1" customHeight="1" x14ac:dyDescent="0.2">
      <c r="A130" s="260"/>
      <c r="B130" s="261"/>
      <c r="C130" s="282"/>
      <c r="D130" s="433" t="s">
        <v>408</v>
      </c>
      <c r="E130" s="262"/>
      <c r="F130" s="662"/>
      <c r="G130" s="262"/>
      <c r="H130" s="539"/>
      <c r="I130" s="257"/>
    </row>
    <row r="131" spans="1:16" s="422" customFormat="1" ht="12.75" customHeight="1" x14ac:dyDescent="0.2">
      <c r="A131" s="256">
        <f>A122+1</f>
        <v>13</v>
      </c>
      <c r="B131" s="257" t="s">
        <v>223</v>
      </c>
      <c r="C131" s="281" t="s">
        <v>263</v>
      </c>
      <c r="D131" s="430" t="str">
        <f>$D$5</f>
        <v>FTE FINAL 22</v>
      </c>
      <c r="E131" s="259">
        <f>'3382'!I$128</f>
        <v>-775.56</v>
      </c>
      <c r="F131" s="663"/>
      <c r="G131" s="259">
        <f>SUBTOTAL(109,E131:F139)</f>
        <v>-775.56</v>
      </c>
      <c r="H131" s="538"/>
      <c r="I131" s="257"/>
      <c r="P131" s="604"/>
    </row>
    <row r="132" spans="1:16" s="422" customFormat="1" ht="12.75" hidden="1" customHeight="1" x14ac:dyDescent="0.2">
      <c r="A132" s="256"/>
      <c r="B132" s="257"/>
      <c r="C132" s="281"/>
      <c r="D132" s="321" t="s">
        <v>355</v>
      </c>
      <c r="E132" s="259"/>
      <c r="F132" s="663"/>
      <c r="G132" s="259"/>
      <c r="H132" s="538"/>
      <c r="I132" s="257"/>
    </row>
    <row r="133" spans="1:16" s="405" customFormat="1" ht="12.75" hidden="1" customHeight="1" x14ac:dyDescent="0.2">
      <c r="A133" s="256"/>
      <c r="B133" s="257"/>
      <c r="C133" s="281"/>
      <c r="D133" s="678" t="s">
        <v>439</v>
      </c>
      <c r="E133" s="259"/>
      <c r="F133" s="663"/>
      <c r="G133" s="259"/>
      <c r="H133" s="404"/>
      <c r="I133" s="320"/>
    </row>
    <row r="134" spans="1:16" s="422" customFormat="1" ht="12.75" hidden="1" customHeight="1" x14ac:dyDescent="0.2">
      <c r="A134" s="256"/>
      <c r="B134" s="257"/>
      <c r="C134" s="281"/>
      <c r="D134" s="321" t="s">
        <v>357</v>
      </c>
      <c r="E134" s="259"/>
      <c r="F134" s="663"/>
      <c r="G134" s="259"/>
      <c r="H134" s="538"/>
      <c r="I134" s="257"/>
    </row>
    <row r="135" spans="1:16" s="422" customFormat="1" ht="12.75" hidden="1" customHeight="1" x14ac:dyDescent="0.2">
      <c r="A135" s="256"/>
      <c r="B135" s="257"/>
      <c r="C135" s="281"/>
      <c r="D135" s="321" t="s">
        <v>356</v>
      </c>
      <c r="E135" s="259"/>
      <c r="F135" s="663"/>
      <c r="G135" s="259"/>
      <c r="H135" s="538"/>
      <c r="I135" s="257"/>
    </row>
    <row r="136" spans="1:16" s="422" customFormat="1" ht="12.75" hidden="1" customHeight="1" x14ac:dyDescent="0.2">
      <c r="A136" s="256"/>
      <c r="B136" s="257"/>
      <c r="C136" s="281"/>
      <c r="D136" s="321" t="s">
        <v>368</v>
      </c>
      <c r="E136" s="259"/>
      <c r="F136" s="663"/>
      <c r="G136" s="259"/>
      <c r="H136" s="538"/>
      <c r="I136" s="257"/>
    </row>
    <row r="137" spans="1:16" s="405" customFormat="1" ht="12.75" hidden="1" customHeight="1" x14ac:dyDescent="0.2">
      <c r="A137" s="256"/>
      <c r="B137" s="257"/>
      <c r="C137" s="281"/>
      <c r="D137" s="321" t="s">
        <v>323</v>
      </c>
      <c r="E137" s="259"/>
      <c r="F137" s="663"/>
      <c r="G137" s="259"/>
      <c r="H137" s="404"/>
      <c r="I137" s="603"/>
    </row>
    <row r="138" spans="1:16" s="422" customFormat="1" ht="12.75" hidden="1" customHeight="1" x14ac:dyDescent="0.2">
      <c r="A138" s="256"/>
      <c r="B138" s="257"/>
      <c r="C138" s="281"/>
      <c r="D138" s="321" t="s">
        <v>407</v>
      </c>
      <c r="E138" s="259"/>
      <c r="F138" s="663"/>
      <c r="G138" s="259"/>
      <c r="H138" s="538"/>
      <c r="I138" s="603"/>
    </row>
    <row r="139" spans="1:16" s="540" customFormat="1" ht="12.75" hidden="1" customHeight="1" x14ac:dyDescent="0.2">
      <c r="A139" s="256"/>
      <c r="B139" s="257"/>
      <c r="C139" s="320"/>
      <c r="D139" s="431" t="s">
        <v>408</v>
      </c>
      <c r="E139" s="259"/>
      <c r="F139" s="663"/>
      <c r="G139" s="259"/>
      <c r="H139" s="539"/>
      <c r="I139" s="257"/>
    </row>
    <row r="140" spans="1:16" s="422" customFormat="1" ht="12.75" customHeight="1" x14ac:dyDescent="0.2">
      <c r="A140" s="260">
        <f>A131+1</f>
        <v>14</v>
      </c>
      <c r="B140" s="261" t="s">
        <v>224</v>
      </c>
      <c r="C140" s="282" t="s">
        <v>251</v>
      </c>
      <c r="D140" s="432" t="str">
        <f>$D$5</f>
        <v>FTE FINAL 22</v>
      </c>
      <c r="E140" s="262">
        <f>'3385'!I$128</f>
        <v>-1063.5899999999999</v>
      </c>
      <c r="F140" s="662"/>
      <c r="G140" s="262">
        <f>SUBTOTAL(109,E140:F147)</f>
        <v>-1063.5899999999999</v>
      </c>
      <c r="H140" s="538"/>
      <c r="I140" s="257"/>
      <c r="P140" s="604"/>
    </row>
    <row r="141" spans="1:16" s="422" customFormat="1" ht="12.75" hidden="1" customHeight="1" x14ac:dyDescent="0.2">
      <c r="A141" s="260"/>
      <c r="B141" s="261"/>
      <c r="C141" s="282"/>
      <c r="D141" s="322" t="s">
        <v>355</v>
      </c>
      <c r="E141" s="262"/>
      <c r="F141" s="662"/>
      <c r="G141" s="262"/>
      <c r="H141" s="538"/>
      <c r="I141" s="257"/>
    </row>
    <row r="142" spans="1:16" s="422" customFormat="1" ht="12.75" hidden="1" customHeight="1" x14ac:dyDescent="0.2">
      <c r="A142" s="260"/>
      <c r="B142" s="261"/>
      <c r="C142" s="282"/>
      <c r="D142" s="322" t="s">
        <v>357</v>
      </c>
      <c r="E142" s="262"/>
      <c r="F142" s="662"/>
      <c r="G142" s="262"/>
      <c r="H142" s="538"/>
      <c r="I142" s="257"/>
    </row>
    <row r="143" spans="1:16" s="422" customFormat="1" ht="12.75" hidden="1" customHeight="1" x14ac:dyDescent="0.2">
      <c r="A143" s="260"/>
      <c r="B143" s="261"/>
      <c r="C143" s="282"/>
      <c r="D143" s="322" t="s">
        <v>356</v>
      </c>
      <c r="E143" s="262"/>
      <c r="F143" s="662"/>
      <c r="G143" s="262"/>
      <c r="H143" s="538"/>
      <c r="I143" s="257"/>
    </row>
    <row r="144" spans="1:16" s="422" customFormat="1" ht="12.75" hidden="1" customHeight="1" x14ac:dyDescent="0.2">
      <c r="A144" s="260"/>
      <c r="B144" s="261"/>
      <c r="C144" s="282"/>
      <c r="D144" s="322" t="s">
        <v>368</v>
      </c>
      <c r="E144" s="262"/>
      <c r="F144" s="662"/>
      <c r="G144" s="262"/>
      <c r="H144" s="538"/>
      <c r="I144" s="257"/>
    </row>
    <row r="145" spans="1:12" s="405" customFormat="1" ht="12.75" hidden="1" customHeight="1" x14ac:dyDescent="0.2">
      <c r="A145" s="260"/>
      <c r="B145" s="261"/>
      <c r="C145" s="282"/>
      <c r="D145" s="322" t="s">
        <v>323</v>
      </c>
      <c r="E145" s="262"/>
      <c r="F145" s="662"/>
      <c r="G145" s="262"/>
      <c r="H145" s="404"/>
      <c r="I145" s="603"/>
    </row>
    <row r="146" spans="1:12" s="422" customFormat="1" ht="12.75" hidden="1" customHeight="1" x14ac:dyDescent="0.2">
      <c r="A146" s="260"/>
      <c r="B146" s="261"/>
      <c r="C146" s="282"/>
      <c r="D146" s="322" t="s">
        <v>369</v>
      </c>
      <c r="E146" s="262"/>
      <c r="F146" s="662"/>
      <c r="G146" s="262"/>
      <c r="H146" s="538"/>
      <c r="I146" s="257"/>
    </row>
    <row r="147" spans="1:12" s="540" customFormat="1" ht="12.75" hidden="1" customHeight="1" x14ac:dyDescent="0.2">
      <c r="A147" s="260"/>
      <c r="B147" s="261"/>
      <c r="C147" s="318"/>
      <c r="D147" s="433" t="s">
        <v>408</v>
      </c>
      <c r="E147" s="262"/>
      <c r="F147" s="662"/>
      <c r="G147" s="262"/>
      <c r="H147" s="539"/>
      <c r="I147" s="257"/>
    </row>
    <row r="148" spans="1:12" s="422" customFormat="1" ht="12.75" customHeight="1" x14ac:dyDescent="0.2">
      <c r="A148" s="256">
        <f>A140+1</f>
        <v>15</v>
      </c>
      <c r="B148" s="257" t="s">
        <v>225</v>
      </c>
      <c r="C148" s="406" t="s">
        <v>290</v>
      </c>
      <c r="D148" s="430" t="str">
        <f>$D$5</f>
        <v>FTE FINAL 22</v>
      </c>
      <c r="E148" s="259">
        <f>'3386'!I$128</f>
        <v>-17055.71</v>
      </c>
      <c r="F148" s="663"/>
      <c r="G148" s="259">
        <f>SUBTOTAL(109,E148:F155)</f>
        <v>-17055.71</v>
      </c>
      <c r="H148" s="538"/>
      <c r="I148" s="257"/>
      <c r="L148" s="604"/>
    </row>
    <row r="149" spans="1:12" s="422" customFormat="1" ht="12.75" hidden="1" customHeight="1" x14ac:dyDescent="0.2">
      <c r="A149" s="256"/>
      <c r="B149" s="257"/>
      <c r="C149" s="406"/>
      <c r="D149" s="321" t="s">
        <v>355</v>
      </c>
      <c r="E149" s="259"/>
      <c r="F149" s="663"/>
      <c r="G149" s="259"/>
      <c r="H149" s="538"/>
      <c r="I149" s="257"/>
    </row>
    <row r="150" spans="1:12" s="405" customFormat="1" ht="12.75" hidden="1" customHeight="1" x14ac:dyDescent="0.2">
      <c r="A150" s="256"/>
      <c r="B150" s="257"/>
      <c r="C150" s="281"/>
      <c r="D150" s="678" t="s">
        <v>439</v>
      </c>
      <c r="E150" s="259"/>
      <c r="F150" s="663"/>
      <c r="G150" s="259"/>
      <c r="H150" s="404"/>
      <c r="I150" s="320"/>
    </row>
    <row r="151" spans="1:12" s="422" customFormat="1" ht="12.75" hidden="1" customHeight="1" x14ac:dyDescent="0.2">
      <c r="A151" s="256"/>
      <c r="B151" s="257"/>
      <c r="C151" s="406"/>
      <c r="D151" s="321" t="s">
        <v>357</v>
      </c>
      <c r="E151" s="259"/>
      <c r="F151" s="663"/>
      <c r="G151" s="259"/>
      <c r="H151" s="538"/>
      <c r="I151" s="257"/>
    </row>
    <row r="152" spans="1:12" s="422" customFormat="1" ht="12.75" hidden="1" customHeight="1" x14ac:dyDescent="0.2">
      <c r="A152" s="256"/>
      <c r="B152" s="257"/>
      <c r="C152" s="281"/>
      <c r="D152" s="321" t="s">
        <v>356</v>
      </c>
      <c r="E152" s="259"/>
      <c r="F152" s="663"/>
      <c r="G152" s="259"/>
      <c r="H152" s="538"/>
      <c r="I152" s="257"/>
    </row>
    <row r="153" spans="1:12" s="422" customFormat="1" ht="12.75" hidden="1" customHeight="1" x14ac:dyDescent="0.2">
      <c r="A153" s="256"/>
      <c r="B153" s="257"/>
      <c r="C153" s="281"/>
      <c r="D153" s="321" t="s">
        <v>368</v>
      </c>
      <c r="E153" s="259"/>
      <c r="F153" s="663"/>
      <c r="G153" s="259"/>
      <c r="H153" s="538"/>
      <c r="I153" s="257"/>
    </row>
    <row r="154" spans="1:12" s="405" customFormat="1" ht="12.75" hidden="1" customHeight="1" x14ac:dyDescent="0.2">
      <c r="A154" s="256"/>
      <c r="B154" s="257"/>
      <c r="C154" s="281"/>
      <c r="D154" s="321" t="s">
        <v>323</v>
      </c>
      <c r="E154" s="259"/>
      <c r="F154" s="663"/>
      <c r="G154" s="259"/>
      <c r="H154" s="404"/>
      <c r="I154" s="603"/>
    </row>
    <row r="155" spans="1:12" s="422" customFormat="1" ht="12.75" hidden="1" customHeight="1" x14ac:dyDescent="0.2">
      <c r="A155" s="256"/>
      <c r="B155" s="257"/>
      <c r="C155" s="595"/>
      <c r="D155" s="431" t="s">
        <v>408</v>
      </c>
      <c r="E155" s="259"/>
      <c r="F155" s="663"/>
      <c r="G155" s="259"/>
      <c r="H155" s="538"/>
      <c r="I155" s="441"/>
    </row>
    <row r="156" spans="1:12" s="422" customFormat="1" ht="12.75" customHeight="1" x14ac:dyDescent="0.2">
      <c r="A156" s="260">
        <f>A148+1</f>
        <v>16</v>
      </c>
      <c r="B156" s="261" t="s">
        <v>226</v>
      </c>
      <c r="C156" s="282" t="s">
        <v>266</v>
      </c>
      <c r="D156" s="432" t="str">
        <f>$D$5</f>
        <v>FTE FINAL 22</v>
      </c>
      <c r="E156" s="262">
        <f>'3391'!I$128</f>
        <v>-171.18</v>
      </c>
      <c r="F156" s="662"/>
      <c r="G156" s="262">
        <f>SUBTOTAL(109,E156:F164)</f>
        <v>-171.18</v>
      </c>
      <c r="H156" s="538"/>
      <c r="I156" s="441"/>
    </row>
    <row r="157" spans="1:12" s="422" customFormat="1" ht="12.75" hidden="1" customHeight="1" x14ac:dyDescent="0.2">
      <c r="A157" s="260"/>
      <c r="B157" s="261"/>
      <c r="C157" s="282"/>
      <c r="D157" s="322" t="s">
        <v>355</v>
      </c>
      <c r="E157" s="262"/>
      <c r="F157" s="662"/>
      <c r="G157" s="262"/>
      <c r="H157" s="538"/>
      <c r="I157" s="441"/>
    </row>
    <row r="158" spans="1:12" s="405" customFormat="1" ht="12.75" hidden="1" customHeight="1" x14ac:dyDescent="0.2">
      <c r="A158" s="260"/>
      <c r="B158" s="261"/>
      <c r="C158" s="282"/>
      <c r="D158" s="322" t="s">
        <v>441</v>
      </c>
      <c r="E158" s="262"/>
      <c r="F158" s="662"/>
      <c r="G158" s="262"/>
      <c r="H158" s="404"/>
      <c r="I158" s="320"/>
    </row>
    <row r="159" spans="1:12" s="405" customFormat="1" ht="12.75" hidden="1" customHeight="1" x14ac:dyDescent="0.2">
      <c r="A159" s="260"/>
      <c r="B159" s="261"/>
      <c r="C159" s="282"/>
      <c r="D159" s="735" t="s">
        <v>439</v>
      </c>
      <c r="E159" s="262"/>
      <c r="F159" s="662"/>
      <c r="G159" s="262"/>
      <c r="H159" s="404"/>
      <c r="I159" s="320"/>
    </row>
    <row r="160" spans="1:12" s="422" customFormat="1" ht="12.75" hidden="1" customHeight="1" x14ac:dyDescent="0.2">
      <c r="A160" s="260"/>
      <c r="B160" s="261"/>
      <c r="C160" s="282"/>
      <c r="D160" s="322" t="s">
        <v>357</v>
      </c>
      <c r="E160" s="262"/>
      <c r="F160" s="662"/>
      <c r="G160" s="262"/>
      <c r="H160" s="538"/>
      <c r="I160" s="441"/>
    </row>
    <row r="161" spans="1:9" s="422" customFormat="1" ht="12.75" hidden="1" customHeight="1" x14ac:dyDescent="0.2">
      <c r="A161" s="260"/>
      <c r="B161" s="261"/>
      <c r="C161" s="282"/>
      <c r="D161" s="322" t="s">
        <v>356</v>
      </c>
      <c r="E161" s="262"/>
      <c r="F161" s="662"/>
      <c r="G161" s="262"/>
      <c r="H161" s="538"/>
      <c r="I161" s="441"/>
    </row>
    <row r="162" spans="1:9" s="422" customFormat="1" ht="12.75" hidden="1" customHeight="1" x14ac:dyDescent="0.2">
      <c r="A162" s="260"/>
      <c r="B162" s="261"/>
      <c r="C162" s="282"/>
      <c r="D162" s="322" t="s">
        <v>368</v>
      </c>
      <c r="E162" s="262"/>
      <c r="F162" s="662"/>
      <c r="G162" s="262"/>
      <c r="H162" s="538"/>
      <c r="I162" s="441"/>
    </row>
    <row r="163" spans="1:9" s="405" customFormat="1" ht="12.75" hidden="1" customHeight="1" x14ac:dyDescent="0.2">
      <c r="A163" s="260"/>
      <c r="B163" s="261"/>
      <c r="C163" s="282"/>
      <c r="D163" s="322" t="s">
        <v>323</v>
      </c>
      <c r="E163" s="262"/>
      <c r="F163" s="662"/>
      <c r="G163" s="262"/>
      <c r="H163" s="404"/>
      <c r="I163" s="603"/>
    </row>
    <row r="164" spans="1:9" s="405" customFormat="1" ht="12.75" hidden="1" customHeight="1" x14ac:dyDescent="0.2">
      <c r="A164" s="260"/>
      <c r="B164" s="261"/>
      <c r="C164" s="282"/>
      <c r="D164" s="433" t="s">
        <v>408</v>
      </c>
      <c r="E164" s="262"/>
      <c r="F164" s="662"/>
      <c r="G164" s="262"/>
      <c r="H164" s="404"/>
      <c r="I164" s="603"/>
    </row>
    <row r="165" spans="1:9" s="422" customFormat="1" ht="12.75" customHeight="1" x14ac:dyDescent="0.2">
      <c r="A165" s="256">
        <f>A156+1</f>
        <v>17</v>
      </c>
      <c r="B165" s="257" t="s">
        <v>227</v>
      </c>
      <c r="C165" s="281" t="s">
        <v>267</v>
      </c>
      <c r="D165" s="430" t="str">
        <f>$D$5</f>
        <v>FTE FINAL 22</v>
      </c>
      <c r="E165" s="259">
        <f>'3394'!I$128</f>
        <v>-607.65</v>
      </c>
      <c r="F165" s="663"/>
      <c r="G165" s="259">
        <f>SUBTOTAL(109,E165:F174)</f>
        <v>-607.65</v>
      </c>
      <c r="H165" s="538"/>
      <c r="I165" s="441"/>
    </row>
    <row r="166" spans="1:9" s="422" customFormat="1" ht="12.75" hidden="1" customHeight="1" x14ac:dyDescent="0.2">
      <c r="A166" s="256"/>
      <c r="B166" s="257"/>
      <c r="C166" s="281"/>
      <c r="D166" s="321" t="s">
        <v>355</v>
      </c>
      <c r="E166" s="259"/>
      <c r="F166" s="663"/>
      <c r="G166" s="259"/>
      <c r="H166" s="538"/>
      <c r="I166" s="441"/>
    </row>
    <row r="167" spans="1:9" s="405" customFormat="1" ht="12.75" hidden="1" customHeight="1" x14ac:dyDescent="0.2">
      <c r="A167" s="256"/>
      <c r="B167" s="257"/>
      <c r="C167" s="281"/>
      <c r="D167" s="678" t="s">
        <v>439</v>
      </c>
      <c r="E167" s="259"/>
      <c r="F167" s="663"/>
      <c r="G167" s="259"/>
      <c r="H167" s="404"/>
      <c r="I167" s="320"/>
    </row>
    <row r="168" spans="1:9" s="422" customFormat="1" ht="12.75" hidden="1" customHeight="1" x14ac:dyDescent="0.2">
      <c r="A168" s="256"/>
      <c r="B168" s="257"/>
      <c r="C168" s="281"/>
      <c r="D168" s="321" t="s">
        <v>357</v>
      </c>
      <c r="E168" s="259"/>
      <c r="F168" s="663"/>
      <c r="G168" s="259"/>
      <c r="H168" s="538"/>
      <c r="I168" s="441"/>
    </row>
    <row r="169" spans="1:9" s="422" customFormat="1" ht="12.75" hidden="1" customHeight="1" x14ac:dyDescent="0.2">
      <c r="A169" s="256"/>
      <c r="B169" s="257"/>
      <c r="C169" s="281"/>
      <c r="D169" s="321" t="s">
        <v>356</v>
      </c>
      <c r="E169" s="259"/>
      <c r="F169" s="663"/>
      <c r="G169" s="259"/>
      <c r="H169" s="538"/>
      <c r="I169" s="441"/>
    </row>
    <row r="170" spans="1:9" s="422" customFormat="1" ht="12.75" hidden="1" customHeight="1" x14ac:dyDescent="0.2">
      <c r="A170" s="256"/>
      <c r="B170" s="257"/>
      <c r="C170" s="281"/>
      <c r="D170" s="321" t="s">
        <v>368</v>
      </c>
      <c r="E170" s="259"/>
      <c r="F170" s="663"/>
      <c r="G170" s="259"/>
      <c r="H170" s="538"/>
      <c r="I170" s="441"/>
    </row>
    <row r="171" spans="1:9" s="405" customFormat="1" ht="12.75" hidden="1" customHeight="1" x14ac:dyDescent="0.2">
      <c r="A171" s="256"/>
      <c r="B171" s="257"/>
      <c r="C171" s="281"/>
      <c r="D171" s="321" t="s">
        <v>323</v>
      </c>
      <c r="E171" s="259"/>
      <c r="F171" s="663"/>
      <c r="G171" s="259"/>
      <c r="H171" s="404"/>
      <c r="I171" s="603"/>
    </row>
    <row r="172" spans="1:9" s="422" customFormat="1" ht="12.75" hidden="1" customHeight="1" x14ac:dyDescent="0.2">
      <c r="A172" s="256"/>
      <c r="B172" s="257"/>
      <c r="C172" s="281"/>
      <c r="D172" s="321" t="s">
        <v>426</v>
      </c>
      <c r="E172" s="259"/>
      <c r="F172" s="663"/>
      <c r="G172" s="259"/>
      <c r="H172" s="538"/>
      <c r="I172" s="606"/>
    </row>
    <row r="173" spans="1:9" s="422" customFormat="1" ht="12.75" hidden="1" customHeight="1" x14ac:dyDescent="0.2">
      <c r="A173" s="256"/>
      <c r="B173" s="257"/>
      <c r="C173" s="281"/>
      <c r="D173" s="431" t="s">
        <v>432</v>
      </c>
      <c r="E173" s="259"/>
      <c r="F173" s="663"/>
      <c r="G173" s="259"/>
      <c r="H173" s="538"/>
      <c r="I173" s="606"/>
    </row>
    <row r="174" spans="1:9" s="422" customFormat="1" ht="12.75" hidden="1" customHeight="1" x14ac:dyDescent="0.2">
      <c r="A174" s="256"/>
      <c r="B174" s="257"/>
      <c r="C174" s="281"/>
      <c r="D174" s="431" t="s">
        <v>431</v>
      </c>
      <c r="E174" s="259"/>
      <c r="F174" s="663"/>
      <c r="G174" s="259"/>
      <c r="H174" s="538"/>
      <c r="I174" s="441"/>
    </row>
    <row r="175" spans="1:9" s="422" customFormat="1" ht="12.75" customHeight="1" x14ac:dyDescent="0.2">
      <c r="A175" s="260">
        <f>A165+1</f>
        <v>18</v>
      </c>
      <c r="B175" s="261" t="s">
        <v>228</v>
      </c>
      <c r="C175" s="407" t="s">
        <v>364</v>
      </c>
      <c r="D175" s="432" t="str">
        <f>$D$5</f>
        <v>FTE FINAL 22</v>
      </c>
      <c r="E175" s="262">
        <f>'3395'!I$128</f>
        <v>-2639.52</v>
      </c>
      <c r="F175" s="662"/>
      <c r="G175" s="262">
        <f>SUBTOTAL(109,E175:F183)</f>
        <v>-2639.52</v>
      </c>
      <c r="H175" s="538"/>
      <c r="I175" s="441"/>
    </row>
    <row r="176" spans="1:9" s="422" customFormat="1" ht="12.75" hidden="1" customHeight="1" x14ac:dyDescent="0.2">
      <c r="A176" s="260"/>
      <c r="B176" s="261"/>
      <c r="C176" s="282"/>
      <c r="D176" s="322" t="s">
        <v>355</v>
      </c>
      <c r="E176" s="262"/>
      <c r="F176" s="662"/>
      <c r="G176" s="262"/>
      <c r="H176" s="538"/>
      <c r="I176" s="441"/>
    </row>
    <row r="177" spans="1:11" s="405" customFormat="1" ht="12.75" hidden="1" customHeight="1" x14ac:dyDescent="0.2">
      <c r="A177" s="260"/>
      <c r="B177" s="261"/>
      <c r="C177" s="282"/>
      <c r="D177" s="735" t="s">
        <v>439</v>
      </c>
      <c r="E177" s="262"/>
      <c r="F177" s="662"/>
      <c r="G177" s="262"/>
      <c r="H177" s="404"/>
      <c r="I177" s="320"/>
    </row>
    <row r="178" spans="1:11" s="422" customFormat="1" ht="12.75" hidden="1" customHeight="1" x14ac:dyDescent="0.2">
      <c r="A178" s="260"/>
      <c r="B178" s="261"/>
      <c r="C178" s="282"/>
      <c r="D178" s="322" t="s">
        <v>357</v>
      </c>
      <c r="E178" s="262"/>
      <c r="F178" s="662"/>
      <c r="G178" s="262"/>
      <c r="H178" s="538"/>
      <c r="I178" s="441"/>
    </row>
    <row r="179" spans="1:11" s="422" customFormat="1" ht="12.75" hidden="1" customHeight="1" x14ac:dyDescent="0.2">
      <c r="A179" s="260"/>
      <c r="B179" s="261"/>
      <c r="C179" s="282"/>
      <c r="D179" s="322" t="s">
        <v>356</v>
      </c>
      <c r="E179" s="262"/>
      <c r="F179" s="662"/>
      <c r="G179" s="262"/>
      <c r="H179" s="538"/>
      <c r="I179" s="441"/>
    </row>
    <row r="180" spans="1:11" s="422" customFormat="1" ht="12.75" hidden="1" customHeight="1" x14ac:dyDescent="0.2">
      <c r="A180" s="260"/>
      <c r="B180" s="261"/>
      <c r="C180" s="282"/>
      <c r="D180" s="322" t="s">
        <v>368</v>
      </c>
      <c r="E180" s="262"/>
      <c r="F180" s="662"/>
      <c r="G180" s="262"/>
      <c r="H180" s="538"/>
      <c r="I180" s="441"/>
    </row>
    <row r="181" spans="1:11" s="405" customFormat="1" ht="12.75" hidden="1" customHeight="1" x14ac:dyDescent="0.2">
      <c r="A181" s="260"/>
      <c r="B181" s="261"/>
      <c r="C181" s="282"/>
      <c r="D181" s="322" t="s">
        <v>323</v>
      </c>
      <c r="E181" s="262"/>
      <c r="F181" s="662"/>
      <c r="G181" s="262"/>
      <c r="H181" s="404"/>
      <c r="I181" s="603"/>
    </row>
    <row r="182" spans="1:11" s="422" customFormat="1" ht="12.75" hidden="1" customHeight="1" x14ac:dyDescent="0.2">
      <c r="A182" s="260"/>
      <c r="B182" s="261"/>
      <c r="C182" s="282"/>
      <c r="D182" s="598" t="s">
        <v>450</v>
      </c>
      <c r="E182" s="262"/>
      <c r="F182" s="662"/>
      <c r="G182" s="262"/>
      <c r="H182" s="538"/>
      <c r="I182" s="606"/>
    </row>
    <row r="183" spans="1:11" s="540" customFormat="1" ht="12.75" hidden="1" customHeight="1" x14ac:dyDescent="0.2">
      <c r="A183" s="667"/>
      <c r="B183" s="261"/>
      <c r="C183" s="282"/>
      <c r="D183" s="598" t="s">
        <v>451</v>
      </c>
      <c r="E183" s="262"/>
      <c r="F183" s="662"/>
      <c r="G183" s="262"/>
      <c r="H183" s="539"/>
      <c r="I183" s="668"/>
    </row>
    <row r="184" spans="1:11" s="422" customFormat="1" ht="12.75" customHeight="1" x14ac:dyDescent="0.2">
      <c r="A184" s="256">
        <f>A175+1</f>
        <v>19</v>
      </c>
      <c r="B184" s="257" t="s">
        <v>229</v>
      </c>
      <c r="C184" s="406" t="s">
        <v>291</v>
      </c>
      <c r="D184" s="430" t="str">
        <f>$D$5</f>
        <v>FTE FINAL 22</v>
      </c>
      <c r="E184" s="259">
        <f>'3396'!I$128</f>
        <v>9593.92</v>
      </c>
      <c r="F184" s="663"/>
      <c r="G184" s="259">
        <f>SUBTOTAL(109,E184:F191)</f>
        <v>9593.92</v>
      </c>
      <c r="H184" s="538"/>
      <c r="I184" s="441"/>
      <c r="K184" s="604"/>
    </row>
    <row r="185" spans="1:11" s="422" customFormat="1" ht="12.75" hidden="1" customHeight="1" x14ac:dyDescent="0.2">
      <c r="A185" s="256"/>
      <c r="B185" s="257"/>
      <c r="C185" s="406"/>
      <c r="D185" s="321" t="s">
        <v>355</v>
      </c>
      <c r="E185" s="259"/>
      <c r="F185" s="663"/>
      <c r="G185" s="259"/>
      <c r="H185" s="538"/>
      <c r="I185" s="441"/>
    </row>
    <row r="186" spans="1:11" s="422" customFormat="1" ht="12.75" hidden="1" customHeight="1" x14ac:dyDescent="0.2">
      <c r="A186" s="256"/>
      <c r="B186" s="257"/>
      <c r="C186" s="406"/>
      <c r="D186" s="321" t="s">
        <v>357</v>
      </c>
      <c r="E186" s="259"/>
      <c r="F186" s="663"/>
      <c r="G186" s="259"/>
      <c r="H186" s="538"/>
      <c r="I186" s="423"/>
    </row>
    <row r="187" spans="1:11" s="422" customFormat="1" ht="12.75" hidden="1" customHeight="1" x14ac:dyDescent="0.2">
      <c r="A187" s="256"/>
      <c r="B187" s="257"/>
      <c r="C187" s="406"/>
      <c r="D187" s="321" t="s">
        <v>356</v>
      </c>
      <c r="E187" s="259"/>
      <c r="F187" s="663"/>
      <c r="G187" s="259"/>
      <c r="H187" s="538"/>
      <c r="I187" s="423"/>
    </row>
    <row r="188" spans="1:11" s="422" customFormat="1" ht="12.75" hidden="1" customHeight="1" x14ac:dyDescent="0.2">
      <c r="A188" s="256"/>
      <c r="B188" s="257"/>
      <c r="C188" s="406"/>
      <c r="D188" s="321" t="s">
        <v>368</v>
      </c>
      <c r="E188" s="259"/>
      <c r="F188" s="663"/>
      <c r="G188" s="259"/>
      <c r="H188" s="538"/>
      <c r="I188" s="423"/>
    </row>
    <row r="189" spans="1:11" s="405" customFormat="1" ht="12.75" hidden="1" customHeight="1" x14ac:dyDescent="0.2">
      <c r="A189" s="256"/>
      <c r="B189" s="257"/>
      <c r="C189" s="281"/>
      <c r="D189" s="321" t="s">
        <v>323</v>
      </c>
      <c r="E189" s="259"/>
      <c r="F189" s="663"/>
      <c r="G189" s="259"/>
      <c r="H189" s="404"/>
      <c r="I189" s="603"/>
    </row>
    <row r="190" spans="1:11" s="422" customFormat="1" ht="12.75" hidden="1" customHeight="1" x14ac:dyDescent="0.2">
      <c r="A190" s="256"/>
      <c r="B190" s="257"/>
      <c r="C190" s="281"/>
      <c r="D190" s="321" t="s">
        <v>426</v>
      </c>
      <c r="E190" s="259"/>
      <c r="F190" s="663"/>
      <c r="G190" s="259"/>
      <c r="H190" s="538"/>
      <c r="I190" s="606"/>
    </row>
    <row r="191" spans="1:11" s="422" customFormat="1" ht="12.75" hidden="1" customHeight="1" x14ac:dyDescent="0.2">
      <c r="A191" s="256"/>
      <c r="B191" s="257"/>
      <c r="C191" s="281"/>
      <c r="D191" s="431" t="s">
        <v>408</v>
      </c>
      <c r="E191" s="259"/>
      <c r="F191" s="663"/>
      <c r="G191" s="259"/>
      <c r="H191" s="538"/>
      <c r="I191" s="441"/>
    </row>
    <row r="192" spans="1:11" s="422" customFormat="1" ht="12.75" customHeight="1" x14ac:dyDescent="0.2">
      <c r="A192" s="260">
        <f>A184+1</f>
        <v>20</v>
      </c>
      <c r="B192" s="261" t="s">
        <v>230</v>
      </c>
      <c r="C192" s="282" t="s">
        <v>254</v>
      </c>
      <c r="D192" s="432" t="str">
        <f>$D$5</f>
        <v>FTE FINAL 22</v>
      </c>
      <c r="E192" s="262">
        <f>'3398'!I$128</f>
        <v>3038.31</v>
      </c>
      <c r="F192" s="662"/>
      <c r="G192" s="262">
        <f>SUBTOTAL(109,E192:F198)</f>
        <v>3038.31</v>
      </c>
      <c r="H192" s="538"/>
      <c r="I192" s="441"/>
    </row>
    <row r="193" spans="1:9" s="422" customFormat="1" ht="12.75" hidden="1" customHeight="1" x14ac:dyDescent="0.2">
      <c r="A193" s="260"/>
      <c r="B193" s="261"/>
      <c r="C193" s="282"/>
      <c r="D193" s="322" t="s">
        <v>355</v>
      </c>
      <c r="E193" s="262"/>
      <c r="F193" s="662"/>
      <c r="G193" s="262"/>
      <c r="H193" s="538"/>
      <c r="I193" s="441"/>
    </row>
    <row r="194" spans="1:9" s="422" customFormat="1" ht="12.75" hidden="1" customHeight="1" x14ac:dyDescent="0.2">
      <c r="A194" s="260"/>
      <c r="B194" s="261"/>
      <c r="C194" s="282"/>
      <c r="D194" s="322" t="s">
        <v>357</v>
      </c>
      <c r="E194" s="262"/>
      <c r="F194" s="662"/>
      <c r="G194" s="262"/>
      <c r="H194" s="538"/>
      <c r="I194" s="423"/>
    </row>
    <row r="195" spans="1:9" s="422" customFormat="1" ht="12.75" hidden="1" customHeight="1" x14ac:dyDescent="0.2">
      <c r="A195" s="260"/>
      <c r="B195" s="261"/>
      <c r="C195" s="282"/>
      <c r="D195" s="322" t="s">
        <v>356</v>
      </c>
      <c r="E195" s="262"/>
      <c r="F195" s="662"/>
      <c r="G195" s="262"/>
      <c r="H195" s="538"/>
      <c r="I195" s="440"/>
    </row>
    <row r="196" spans="1:9" s="540" customFormat="1" ht="12.75" hidden="1" customHeight="1" x14ac:dyDescent="0.2">
      <c r="A196" s="260"/>
      <c r="B196" s="261"/>
      <c r="C196" s="318"/>
      <c r="D196" s="322" t="s">
        <v>368</v>
      </c>
      <c r="E196" s="262"/>
      <c r="F196" s="662"/>
      <c r="G196" s="262"/>
      <c r="H196" s="539"/>
      <c r="I196" s="440"/>
    </row>
    <row r="197" spans="1:9" s="405" customFormat="1" ht="12.75" hidden="1" customHeight="1" x14ac:dyDescent="0.2">
      <c r="A197" s="260"/>
      <c r="B197" s="261"/>
      <c r="C197" s="282"/>
      <c r="D197" s="322" t="s">
        <v>323</v>
      </c>
      <c r="E197" s="262"/>
      <c r="F197" s="662"/>
      <c r="G197" s="262"/>
      <c r="H197" s="404"/>
      <c r="I197" s="603"/>
    </row>
    <row r="198" spans="1:9" s="540" customFormat="1" ht="12.75" hidden="1" customHeight="1" x14ac:dyDescent="0.2">
      <c r="A198" s="260"/>
      <c r="B198" s="261"/>
      <c r="C198" s="318"/>
      <c r="D198" s="433" t="s">
        <v>408</v>
      </c>
      <c r="E198" s="262"/>
      <c r="F198" s="662"/>
      <c r="G198" s="262"/>
      <c r="H198" s="539"/>
      <c r="I198" s="441"/>
    </row>
    <row r="199" spans="1:9" s="422" customFormat="1" ht="12.75" customHeight="1" x14ac:dyDescent="0.2">
      <c r="A199" s="256">
        <f>A192+1</f>
        <v>21</v>
      </c>
      <c r="B199" s="257" t="s">
        <v>231</v>
      </c>
      <c r="C199" s="281" t="s">
        <v>246</v>
      </c>
      <c r="D199" s="430" t="str">
        <f>$D$5</f>
        <v>FTE FINAL 22</v>
      </c>
      <c r="E199" s="259">
        <f>'3400'!I$128</f>
        <v>-787.77</v>
      </c>
      <c r="F199" s="663"/>
      <c r="G199" s="259">
        <f>SUBTOTAL(109,E199:F206)</f>
        <v>-787.77</v>
      </c>
      <c r="H199" s="538"/>
      <c r="I199" s="441"/>
    </row>
    <row r="200" spans="1:9" s="422" customFormat="1" ht="12.75" hidden="1" customHeight="1" x14ac:dyDescent="0.2">
      <c r="A200" s="256"/>
      <c r="B200" s="257"/>
      <c r="C200" s="281"/>
      <c r="D200" s="321" t="s">
        <v>355</v>
      </c>
      <c r="E200" s="259"/>
      <c r="F200" s="663"/>
      <c r="G200" s="259"/>
      <c r="H200" s="538"/>
      <c r="I200" s="441"/>
    </row>
    <row r="201" spans="1:9" s="405" customFormat="1" ht="12.75" hidden="1" customHeight="1" x14ac:dyDescent="0.2">
      <c r="A201" s="256"/>
      <c r="B201" s="257"/>
      <c r="C201" s="281"/>
      <c r="D201" s="678" t="s">
        <v>439</v>
      </c>
      <c r="E201" s="259"/>
      <c r="F201" s="663"/>
      <c r="G201" s="259"/>
      <c r="H201" s="404"/>
      <c r="I201" s="320"/>
    </row>
    <row r="202" spans="1:9" s="422" customFormat="1" ht="12.75" hidden="1" customHeight="1" x14ac:dyDescent="0.2">
      <c r="A202" s="256"/>
      <c r="B202" s="257"/>
      <c r="C202" s="281"/>
      <c r="D202" s="321" t="s">
        <v>357</v>
      </c>
      <c r="E202" s="259"/>
      <c r="F202" s="663"/>
      <c r="G202" s="259"/>
      <c r="H202" s="538"/>
      <c r="I202" s="423"/>
    </row>
    <row r="203" spans="1:9" s="422" customFormat="1" ht="12.75" hidden="1" customHeight="1" x14ac:dyDescent="0.2">
      <c r="A203" s="256"/>
      <c r="B203" s="257"/>
      <c r="C203" s="281"/>
      <c r="D203" s="321" t="s">
        <v>356</v>
      </c>
      <c r="E203" s="259"/>
      <c r="F203" s="663"/>
      <c r="G203" s="259"/>
      <c r="H203" s="538"/>
      <c r="I203" s="423"/>
    </row>
    <row r="204" spans="1:9" s="422" customFormat="1" ht="12.75" hidden="1" customHeight="1" x14ac:dyDescent="0.2">
      <c r="A204" s="256"/>
      <c r="B204" s="257"/>
      <c r="C204" s="281"/>
      <c r="D204" s="321" t="s">
        <v>368</v>
      </c>
      <c r="E204" s="259"/>
      <c r="F204" s="663"/>
      <c r="G204" s="259"/>
      <c r="H204" s="538"/>
      <c r="I204" s="257"/>
    </row>
    <row r="205" spans="1:9" s="405" customFormat="1" ht="12.75" hidden="1" customHeight="1" x14ac:dyDescent="0.2">
      <c r="A205" s="256"/>
      <c r="B205" s="257"/>
      <c r="C205" s="281"/>
      <c r="D205" s="321" t="s">
        <v>323</v>
      </c>
      <c r="E205" s="259"/>
      <c r="F205" s="663"/>
      <c r="G205" s="259"/>
      <c r="H205" s="404"/>
      <c r="I205" s="603"/>
    </row>
    <row r="206" spans="1:9" s="405" customFormat="1" ht="12.75" hidden="1" customHeight="1" x14ac:dyDescent="0.2">
      <c r="A206" s="256"/>
      <c r="B206" s="257"/>
      <c r="C206" s="281"/>
      <c r="D206" s="431" t="s">
        <v>408</v>
      </c>
      <c r="E206" s="259"/>
      <c r="F206" s="663"/>
      <c r="G206" s="259"/>
      <c r="H206" s="404"/>
      <c r="I206" s="603"/>
    </row>
    <row r="207" spans="1:9" s="422" customFormat="1" ht="12.75" customHeight="1" x14ac:dyDescent="0.2">
      <c r="A207" s="260">
        <f>A199+1</f>
        <v>22</v>
      </c>
      <c r="B207" s="261" t="s">
        <v>232</v>
      </c>
      <c r="C207" s="282" t="s">
        <v>268</v>
      </c>
      <c r="D207" s="432" t="str">
        <f>$D$5</f>
        <v>FTE FINAL 22</v>
      </c>
      <c r="E207" s="262">
        <f>'3401'!I$128</f>
        <v>-326.45999999999998</v>
      </c>
      <c r="F207" s="662"/>
      <c r="G207" s="262">
        <f>SUBTOTAL(109,E207:F217)</f>
        <v>-326.45999999999998</v>
      </c>
      <c r="H207" s="538"/>
      <c r="I207" s="257"/>
    </row>
    <row r="208" spans="1:9" s="422" customFormat="1" ht="12.75" hidden="1" customHeight="1" x14ac:dyDescent="0.2">
      <c r="A208" s="260"/>
      <c r="B208" s="261"/>
      <c r="C208" s="282"/>
      <c r="D208" s="322" t="s">
        <v>355</v>
      </c>
      <c r="E208" s="262"/>
      <c r="F208" s="662"/>
      <c r="G208" s="262"/>
      <c r="H208" s="538"/>
      <c r="I208" s="257"/>
    </row>
    <row r="209" spans="1:9" s="422" customFormat="1" ht="12.75" hidden="1" customHeight="1" x14ac:dyDescent="0.2">
      <c r="A209" s="260"/>
      <c r="B209" s="261"/>
      <c r="C209" s="282"/>
      <c r="D209" s="735" t="s">
        <v>469</v>
      </c>
      <c r="E209" s="262"/>
      <c r="F209" s="662">
        <v>0</v>
      </c>
      <c r="G209" s="262"/>
      <c r="H209" s="538"/>
      <c r="I209" s="257"/>
    </row>
    <row r="210" spans="1:9" s="422" customFormat="1" ht="12.75" hidden="1" customHeight="1" x14ac:dyDescent="0.2">
      <c r="A210" s="260"/>
      <c r="B210" s="261"/>
      <c r="C210" s="282"/>
      <c r="D210" s="322" t="s">
        <v>441</v>
      </c>
      <c r="E210" s="262"/>
      <c r="F210" s="662"/>
      <c r="G210" s="262"/>
      <c r="H210" s="538"/>
      <c r="I210" s="257"/>
    </row>
    <row r="211" spans="1:9" s="422" customFormat="1" ht="12.75" hidden="1" customHeight="1" x14ac:dyDescent="0.2">
      <c r="A211" s="260"/>
      <c r="B211" s="261"/>
      <c r="C211" s="282"/>
      <c r="D211" s="322" t="s">
        <v>442</v>
      </c>
      <c r="E211" s="262"/>
      <c r="F211" s="662"/>
      <c r="G211" s="262"/>
      <c r="H211" s="538"/>
      <c r="I211" s="257"/>
    </row>
    <row r="212" spans="1:9" s="422" customFormat="1" ht="12.75" hidden="1" customHeight="1" x14ac:dyDescent="0.2">
      <c r="A212" s="260"/>
      <c r="B212" s="261"/>
      <c r="C212" s="282"/>
      <c r="D212" s="322" t="s">
        <v>357</v>
      </c>
      <c r="E212" s="262"/>
      <c r="F212" s="662"/>
      <c r="G212" s="262"/>
      <c r="H212" s="538"/>
      <c r="I212" s="257"/>
    </row>
    <row r="213" spans="1:9" s="422" customFormat="1" ht="12.75" hidden="1" customHeight="1" x14ac:dyDescent="0.2">
      <c r="A213" s="260"/>
      <c r="B213" s="261"/>
      <c r="C213" s="282"/>
      <c r="D213" s="322" t="s">
        <v>356</v>
      </c>
      <c r="E213" s="262"/>
      <c r="F213" s="662"/>
      <c r="G213" s="262"/>
      <c r="H213" s="538"/>
      <c r="I213" s="257"/>
    </row>
    <row r="214" spans="1:9" s="422" customFormat="1" ht="12.75" hidden="1" customHeight="1" x14ac:dyDescent="0.2">
      <c r="A214" s="260"/>
      <c r="B214" s="261"/>
      <c r="C214" s="282"/>
      <c r="D214" s="322" t="s">
        <v>368</v>
      </c>
      <c r="E214" s="262"/>
      <c r="F214" s="662"/>
      <c r="G214" s="262"/>
      <c r="H214" s="538"/>
      <c r="I214" s="257"/>
    </row>
    <row r="215" spans="1:9" s="405" customFormat="1" ht="12.75" hidden="1" customHeight="1" x14ac:dyDescent="0.2">
      <c r="A215" s="260"/>
      <c r="B215" s="261"/>
      <c r="C215" s="282"/>
      <c r="D215" s="322" t="s">
        <v>323</v>
      </c>
      <c r="E215" s="262"/>
      <c r="F215" s="662"/>
      <c r="G215" s="262"/>
      <c r="H215" s="404"/>
      <c r="I215" s="603"/>
    </row>
    <row r="216" spans="1:9" s="422" customFormat="1" ht="12.75" hidden="1" customHeight="1" x14ac:dyDescent="0.2">
      <c r="A216" s="260"/>
      <c r="B216" s="261"/>
      <c r="C216" s="318"/>
      <c r="D216" s="598" t="s">
        <v>427</v>
      </c>
      <c r="E216" s="262"/>
      <c r="F216" s="662"/>
      <c r="G216" s="262"/>
      <c r="H216" s="538"/>
      <c r="I216" s="620"/>
    </row>
    <row r="217" spans="1:9" s="405" customFormat="1" ht="12.75" hidden="1" customHeight="1" x14ac:dyDescent="0.2">
      <c r="A217" s="260"/>
      <c r="B217" s="261"/>
      <c r="C217" s="282"/>
      <c r="D217" s="433" t="s">
        <v>408</v>
      </c>
      <c r="E217" s="262"/>
      <c r="F217" s="662"/>
      <c r="G217" s="262"/>
      <c r="H217" s="404"/>
      <c r="I217" s="603"/>
    </row>
    <row r="218" spans="1:9" s="422" customFormat="1" ht="12.75" customHeight="1" x14ac:dyDescent="0.2">
      <c r="A218" s="256">
        <f>A207+1</f>
        <v>23</v>
      </c>
      <c r="B218" s="257" t="s">
        <v>233</v>
      </c>
      <c r="C218" s="281" t="s">
        <v>269</v>
      </c>
      <c r="D218" s="430" t="str">
        <f>$D$5</f>
        <v>FTE FINAL 22</v>
      </c>
      <c r="E218" s="259">
        <f>'3413'!I$128</f>
        <v>-1369.96</v>
      </c>
      <c r="F218" s="663"/>
      <c r="G218" s="259">
        <f>SUBTOTAL(109,E218:F225)</f>
        <v>-1369.96</v>
      </c>
      <c r="H218" s="538"/>
      <c r="I218" s="257"/>
    </row>
    <row r="219" spans="1:9" s="422" customFormat="1" ht="12.75" hidden="1" customHeight="1" x14ac:dyDescent="0.2">
      <c r="A219" s="256"/>
      <c r="B219" s="257"/>
      <c r="C219" s="281"/>
      <c r="D219" s="321" t="s">
        <v>355</v>
      </c>
      <c r="E219" s="259"/>
      <c r="F219" s="663"/>
      <c r="G219" s="259"/>
      <c r="H219" s="538"/>
      <c r="I219" s="257"/>
    </row>
    <row r="220" spans="1:9" s="405" customFormat="1" ht="12.75" hidden="1" customHeight="1" x14ac:dyDescent="0.2">
      <c r="A220" s="256"/>
      <c r="B220" s="257"/>
      <c r="C220" s="281"/>
      <c r="D220" s="678" t="s">
        <v>439</v>
      </c>
      <c r="E220" s="259"/>
      <c r="F220" s="663"/>
      <c r="G220" s="259"/>
      <c r="H220" s="404"/>
      <c r="I220" s="320"/>
    </row>
    <row r="221" spans="1:9" s="422" customFormat="1" ht="12.75" hidden="1" customHeight="1" x14ac:dyDescent="0.2">
      <c r="A221" s="256"/>
      <c r="B221" s="257"/>
      <c r="C221" s="281"/>
      <c r="D221" s="321" t="s">
        <v>357</v>
      </c>
      <c r="E221" s="259"/>
      <c r="F221" s="663"/>
      <c r="G221" s="259"/>
      <c r="H221" s="538"/>
    </row>
    <row r="222" spans="1:9" s="422" customFormat="1" ht="12.75" hidden="1" customHeight="1" x14ac:dyDescent="0.2">
      <c r="A222" s="256"/>
      <c r="B222" s="257"/>
      <c r="C222" s="281"/>
      <c r="D222" s="321" t="s">
        <v>356</v>
      </c>
      <c r="E222" s="259"/>
      <c r="F222" s="663"/>
      <c r="G222" s="259"/>
      <c r="H222" s="538"/>
    </row>
    <row r="223" spans="1:9" s="422" customFormat="1" ht="12.75" hidden="1" customHeight="1" x14ac:dyDescent="0.2">
      <c r="A223" s="256"/>
      <c r="B223" s="257"/>
      <c r="C223" s="281"/>
      <c r="D223" s="321" t="s">
        <v>368</v>
      </c>
      <c r="E223" s="259"/>
      <c r="F223" s="663"/>
      <c r="G223" s="259"/>
      <c r="H223" s="538"/>
    </row>
    <row r="224" spans="1:9" s="405" customFormat="1" ht="12.75" hidden="1" customHeight="1" x14ac:dyDescent="0.2">
      <c r="A224" s="256"/>
      <c r="B224" s="257"/>
      <c r="C224" s="281"/>
      <c r="D224" s="321" t="s">
        <v>323</v>
      </c>
      <c r="E224" s="259"/>
      <c r="F224" s="663"/>
      <c r="G224" s="259"/>
      <c r="H224" s="404"/>
      <c r="I224" s="603"/>
    </row>
    <row r="225" spans="1:9" s="405" customFormat="1" ht="12.75" hidden="1" customHeight="1" x14ac:dyDescent="0.2">
      <c r="A225" s="256"/>
      <c r="B225" s="257"/>
      <c r="C225" s="281"/>
      <c r="D225" s="431" t="s">
        <v>408</v>
      </c>
      <c r="E225" s="259"/>
      <c r="F225" s="663"/>
      <c r="G225" s="259"/>
      <c r="H225" s="404"/>
      <c r="I225" s="603"/>
    </row>
    <row r="226" spans="1:9" s="422" customFormat="1" ht="12.75" customHeight="1" x14ac:dyDescent="0.2">
      <c r="A226" s="260">
        <f>A218+1</f>
        <v>24</v>
      </c>
      <c r="B226" s="261" t="s">
        <v>234</v>
      </c>
      <c r="C226" s="282" t="s">
        <v>270</v>
      </c>
      <c r="D226" s="432" t="str">
        <f>$D$5</f>
        <v>FTE FINAL 22</v>
      </c>
      <c r="E226" s="262">
        <f>'3421'!I$128</f>
        <v>-7008.06</v>
      </c>
      <c r="F226" s="662"/>
      <c r="G226" s="262">
        <f>SUBTOTAL(109,E226:F236)</f>
        <v>-7008.06</v>
      </c>
      <c r="H226" s="538"/>
    </row>
    <row r="227" spans="1:9" s="422" customFormat="1" ht="12.75" hidden="1" customHeight="1" x14ac:dyDescent="0.2">
      <c r="A227" s="260"/>
      <c r="B227" s="261"/>
      <c r="C227" s="282"/>
      <c r="D227" s="322" t="s">
        <v>355</v>
      </c>
      <c r="E227" s="262"/>
      <c r="F227" s="662"/>
      <c r="G227" s="262"/>
      <c r="H227" s="538"/>
    </row>
    <row r="228" spans="1:9" s="422" customFormat="1" ht="12.75" hidden="1" customHeight="1" x14ac:dyDescent="0.2">
      <c r="A228" s="260"/>
      <c r="B228" s="261"/>
      <c r="C228" s="282"/>
      <c r="D228" s="735" t="s">
        <v>469</v>
      </c>
      <c r="E228" s="262"/>
      <c r="F228" s="662">
        <v>0</v>
      </c>
      <c r="G228" s="262"/>
      <c r="H228" s="538"/>
      <c r="I228" s="257"/>
    </row>
    <row r="229" spans="1:9" s="422" customFormat="1" ht="12.75" hidden="1" customHeight="1" x14ac:dyDescent="0.2">
      <c r="A229" s="260"/>
      <c r="B229" s="261"/>
      <c r="C229" s="282"/>
      <c r="D229" s="322" t="s">
        <v>441</v>
      </c>
      <c r="E229" s="262"/>
      <c r="F229" s="662"/>
      <c r="G229" s="262"/>
      <c r="H229" s="538"/>
      <c r="I229" s="257"/>
    </row>
    <row r="230" spans="1:9" s="422" customFormat="1" ht="12.75" hidden="1" customHeight="1" x14ac:dyDescent="0.2">
      <c r="A230" s="260"/>
      <c r="B230" s="261"/>
      <c r="C230" s="282"/>
      <c r="D230" s="322" t="s">
        <v>442</v>
      </c>
      <c r="E230" s="262"/>
      <c r="F230" s="662"/>
      <c r="G230" s="262"/>
      <c r="H230" s="538"/>
      <c r="I230" s="257"/>
    </row>
    <row r="231" spans="1:9" s="422" customFormat="1" ht="12.75" hidden="1" customHeight="1" x14ac:dyDescent="0.2">
      <c r="A231" s="260"/>
      <c r="B231" s="261"/>
      <c r="C231" s="282"/>
      <c r="D231" s="322" t="s">
        <v>357</v>
      </c>
      <c r="E231" s="262"/>
      <c r="F231" s="662"/>
      <c r="G231" s="262"/>
      <c r="H231" s="538"/>
    </row>
    <row r="232" spans="1:9" s="422" customFormat="1" ht="12.75" hidden="1" customHeight="1" x14ac:dyDescent="0.2">
      <c r="A232" s="260"/>
      <c r="B232" s="261"/>
      <c r="C232" s="282"/>
      <c r="D232" s="322" t="s">
        <v>356</v>
      </c>
      <c r="E232" s="262"/>
      <c r="F232" s="662"/>
      <c r="G232" s="262"/>
      <c r="H232" s="538"/>
      <c r="I232" s="257"/>
    </row>
    <row r="233" spans="1:9" s="422" customFormat="1" ht="12.75" hidden="1" customHeight="1" x14ac:dyDescent="0.2">
      <c r="A233" s="260"/>
      <c r="B233" s="261"/>
      <c r="C233" s="282"/>
      <c r="D233" s="322" t="s">
        <v>368</v>
      </c>
      <c r="E233" s="262"/>
      <c r="F233" s="662"/>
      <c r="G233" s="262"/>
      <c r="H233" s="538"/>
    </row>
    <row r="234" spans="1:9" s="405" customFormat="1" ht="12.75" hidden="1" customHeight="1" x14ac:dyDescent="0.2">
      <c r="A234" s="260"/>
      <c r="B234" s="261"/>
      <c r="C234" s="282"/>
      <c r="D234" s="322" t="s">
        <v>323</v>
      </c>
      <c r="E234" s="262"/>
      <c r="F234" s="662"/>
      <c r="G234" s="262"/>
      <c r="H234" s="404"/>
      <c r="I234" s="603"/>
    </row>
    <row r="235" spans="1:9" s="422" customFormat="1" ht="12.75" hidden="1" customHeight="1" x14ac:dyDescent="0.2">
      <c r="A235" s="260"/>
      <c r="B235" s="261"/>
      <c r="C235" s="318"/>
      <c r="D235" s="598" t="s">
        <v>427</v>
      </c>
      <c r="E235" s="262"/>
      <c r="F235" s="662"/>
      <c r="G235" s="262"/>
      <c r="H235" s="538"/>
      <c r="I235" s="620"/>
    </row>
    <row r="236" spans="1:9" s="405" customFormat="1" ht="12.75" hidden="1" customHeight="1" x14ac:dyDescent="0.2">
      <c r="A236" s="260"/>
      <c r="B236" s="261"/>
      <c r="C236" s="282"/>
      <c r="D236" s="433" t="s">
        <v>408</v>
      </c>
      <c r="E236" s="262"/>
      <c r="F236" s="662"/>
      <c r="G236" s="262"/>
      <c r="H236" s="404"/>
      <c r="I236" s="603"/>
    </row>
    <row r="237" spans="1:9" s="422" customFormat="1" ht="12.75" customHeight="1" x14ac:dyDescent="0.2">
      <c r="A237" s="256">
        <f>A226+1</f>
        <v>25</v>
      </c>
      <c r="B237" s="257" t="s">
        <v>235</v>
      </c>
      <c r="C237" s="281" t="s">
        <v>273</v>
      </c>
      <c r="D237" s="430" t="str">
        <f>$D$5</f>
        <v>FTE FINAL 22</v>
      </c>
      <c r="E237" s="259">
        <f>'3431'!I$128</f>
        <v>-5506.57</v>
      </c>
      <c r="F237" s="663"/>
      <c r="G237" s="259">
        <f>SUBTOTAL(109,E237:F246)</f>
        <v>-5506.57</v>
      </c>
      <c r="H237" s="538"/>
    </row>
    <row r="238" spans="1:9" s="422" customFormat="1" ht="12.75" hidden="1" customHeight="1" x14ac:dyDescent="0.2">
      <c r="A238" s="256"/>
      <c r="B238" s="257"/>
      <c r="C238" s="281"/>
      <c r="D238" s="321" t="s">
        <v>355</v>
      </c>
      <c r="E238" s="259"/>
      <c r="F238" s="663"/>
      <c r="G238" s="259"/>
      <c r="H238" s="538"/>
    </row>
    <row r="239" spans="1:9" s="422" customFormat="1" ht="12.75" hidden="1" customHeight="1" x14ac:dyDescent="0.2">
      <c r="A239" s="256"/>
      <c r="B239" s="257"/>
      <c r="C239" s="281"/>
      <c r="D239" s="678" t="s">
        <v>440</v>
      </c>
      <c r="E239" s="259"/>
      <c r="F239" s="663"/>
      <c r="G239" s="259"/>
      <c r="H239" s="538"/>
      <c r="I239" s="257"/>
    </row>
    <row r="240" spans="1:9" s="422" customFormat="1" ht="12.75" hidden="1" customHeight="1" x14ac:dyDescent="0.2">
      <c r="A240" s="256"/>
      <c r="B240" s="257"/>
      <c r="C240" s="281"/>
      <c r="D240" s="321" t="s">
        <v>357</v>
      </c>
      <c r="E240" s="259"/>
      <c r="F240" s="663"/>
      <c r="G240" s="259"/>
      <c r="H240" s="538"/>
    </row>
    <row r="241" spans="1:9" s="422" customFormat="1" ht="12.75" hidden="1" customHeight="1" x14ac:dyDescent="0.2">
      <c r="A241" s="256"/>
      <c r="B241" s="257"/>
      <c r="C241" s="281"/>
      <c r="D241" s="321" t="s">
        <v>421</v>
      </c>
      <c r="E241" s="259"/>
      <c r="F241" s="663"/>
      <c r="G241" s="259"/>
      <c r="H241" s="538"/>
      <c r="I241" s="257"/>
    </row>
    <row r="242" spans="1:9" s="422" customFormat="1" ht="12.75" hidden="1" customHeight="1" x14ac:dyDescent="0.2">
      <c r="A242" s="256"/>
      <c r="B242" s="257"/>
      <c r="C242" s="281"/>
      <c r="D242" s="321" t="s">
        <v>368</v>
      </c>
      <c r="E242" s="259"/>
      <c r="F242" s="663"/>
      <c r="G242" s="259"/>
      <c r="H242" s="538"/>
      <c r="I242" s="257"/>
    </row>
    <row r="243" spans="1:9" s="422" customFormat="1" ht="12.75" hidden="1" customHeight="1" x14ac:dyDescent="0.2">
      <c r="A243" s="256"/>
      <c r="B243" s="257"/>
      <c r="C243" s="281"/>
      <c r="D243" s="321" t="s">
        <v>323</v>
      </c>
      <c r="E243" s="259"/>
      <c r="F243" s="663"/>
      <c r="G243" s="259"/>
      <c r="H243" s="538"/>
      <c r="I243" s="603"/>
    </row>
    <row r="244" spans="1:9" s="422" customFormat="1" ht="12.75" hidden="1" customHeight="1" x14ac:dyDescent="0.2">
      <c r="A244" s="256"/>
      <c r="B244" s="257"/>
      <c r="C244" s="281"/>
      <c r="D244" s="321" t="s">
        <v>369</v>
      </c>
      <c r="E244" s="259"/>
      <c r="F244" s="663"/>
      <c r="G244" s="259"/>
      <c r="H244" s="538"/>
      <c r="I244" s="441"/>
    </row>
    <row r="245" spans="1:9" s="422" customFormat="1" ht="12.75" hidden="1" customHeight="1" x14ac:dyDescent="0.2">
      <c r="A245" s="256"/>
      <c r="B245" s="257"/>
      <c r="C245" s="320"/>
      <c r="D245" s="679" t="s">
        <v>427</v>
      </c>
      <c r="E245" s="259"/>
      <c r="F245" s="663"/>
      <c r="G245" s="259"/>
      <c r="H245" s="538"/>
      <c r="I245" s="620"/>
    </row>
    <row r="246" spans="1:9" s="422" customFormat="1" ht="12.75" hidden="1" customHeight="1" x14ac:dyDescent="0.2">
      <c r="A246" s="256"/>
      <c r="B246" s="257"/>
      <c r="C246" s="281"/>
      <c r="D246" s="431" t="s">
        <v>438</v>
      </c>
      <c r="E246" s="259"/>
      <c r="F246" s="663"/>
      <c r="G246" s="259"/>
      <c r="H246" s="538"/>
    </row>
    <row r="247" spans="1:9" s="422" customFormat="1" ht="12.75" customHeight="1" x14ac:dyDescent="0.2">
      <c r="A247" s="260">
        <f>A237+1</f>
        <v>26</v>
      </c>
      <c r="B247" s="261">
        <v>3441</v>
      </c>
      <c r="C247" s="407" t="s">
        <v>293</v>
      </c>
      <c r="D247" s="432" t="str">
        <f>$D$5</f>
        <v>FTE FINAL 22</v>
      </c>
      <c r="E247" s="262">
        <f>'3441'!I$128</f>
        <v>-2265.67</v>
      </c>
      <c r="F247" s="662"/>
      <c r="G247" s="262">
        <f>SUBTOTAL(109,E247:F255)</f>
        <v>-2265.67</v>
      </c>
      <c r="H247" s="538"/>
    </row>
    <row r="248" spans="1:9" s="422" customFormat="1" ht="12.75" hidden="1" customHeight="1" x14ac:dyDescent="0.2">
      <c r="A248" s="260"/>
      <c r="B248" s="261"/>
      <c r="C248" s="407"/>
      <c r="D248" s="322" t="s">
        <v>355</v>
      </c>
      <c r="E248" s="262"/>
      <c r="F248" s="662"/>
      <c r="G248" s="262"/>
      <c r="H248" s="538"/>
    </row>
    <row r="249" spans="1:9" s="405" customFormat="1" ht="12.75" hidden="1" customHeight="1" x14ac:dyDescent="0.2">
      <c r="A249" s="260"/>
      <c r="B249" s="261"/>
      <c r="C249" s="282"/>
      <c r="D249" s="735" t="s">
        <v>439</v>
      </c>
      <c r="E249" s="262"/>
      <c r="F249" s="662"/>
      <c r="G249" s="262"/>
      <c r="H249" s="404"/>
      <c r="I249" s="320"/>
    </row>
    <row r="250" spans="1:9" s="422" customFormat="1" ht="12.75" hidden="1" customHeight="1" x14ac:dyDescent="0.2">
      <c r="A250" s="260"/>
      <c r="B250" s="261"/>
      <c r="C250" s="407"/>
      <c r="D250" s="322" t="s">
        <v>357</v>
      </c>
      <c r="E250" s="262"/>
      <c r="F250" s="662"/>
      <c r="G250" s="262"/>
      <c r="H250" s="538"/>
    </row>
    <row r="251" spans="1:9" s="422" customFormat="1" ht="12.75" hidden="1" customHeight="1" x14ac:dyDescent="0.2">
      <c r="A251" s="260"/>
      <c r="B251" s="261"/>
      <c r="C251" s="282"/>
      <c r="D251" s="322" t="s">
        <v>356</v>
      </c>
      <c r="E251" s="262"/>
      <c r="F251" s="662"/>
      <c r="G251" s="262"/>
      <c r="H251" s="538"/>
    </row>
    <row r="252" spans="1:9" s="422" customFormat="1" ht="12.75" hidden="1" customHeight="1" x14ac:dyDescent="0.2">
      <c r="A252" s="260"/>
      <c r="B252" s="261"/>
      <c r="C252" s="282"/>
      <c r="D252" s="322" t="s">
        <v>368</v>
      </c>
      <c r="E252" s="262"/>
      <c r="F252" s="662"/>
      <c r="G252" s="262"/>
      <c r="H252" s="538"/>
      <c r="I252" s="257"/>
    </row>
    <row r="253" spans="1:9" s="405" customFormat="1" ht="12.75" hidden="1" customHeight="1" x14ac:dyDescent="0.2">
      <c r="A253" s="260"/>
      <c r="B253" s="261"/>
      <c r="C253" s="282"/>
      <c r="D253" s="322" t="s">
        <v>323</v>
      </c>
      <c r="E253" s="262"/>
      <c r="F253" s="662"/>
      <c r="G253" s="262"/>
      <c r="H253" s="404"/>
      <c r="I253" s="603"/>
    </row>
    <row r="254" spans="1:9" s="422" customFormat="1" ht="12.75" hidden="1" customHeight="1" x14ac:dyDescent="0.2">
      <c r="A254" s="260"/>
      <c r="B254" s="261"/>
      <c r="C254" s="282"/>
      <c r="D254" s="322" t="s">
        <v>369</v>
      </c>
      <c r="E254" s="262"/>
      <c r="F254" s="662"/>
      <c r="G254" s="262"/>
      <c r="H254" s="538"/>
    </row>
    <row r="255" spans="1:9" s="422" customFormat="1" ht="12.75" hidden="1" customHeight="1" x14ac:dyDescent="0.2">
      <c r="A255" s="260"/>
      <c r="B255" s="261"/>
      <c r="C255" s="282"/>
      <c r="D255" s="433" t="s">
        <v>408</v>
      </c>
      <c r="E255" s="262"/>
      <c r="F255" s="662"/>
      <c r="G255" s="262"/>
      <c r="H255" s="538"/>
    </row>
    <row r="256" spans="1:9" s="422" customFormat="1" ht="12.75" customHeight="1" x14ac:dyDescent="0.2">
      <c r="A256" s="256">
        <f>A247+1</f>
        <v>27</v>
      </c>
      <c r="B256" s="257">
        <v>3924</v>
      </c>
      <c r="C256" s="281" t="s">
        <v>272</v>
      </c>
      <c r="D256" s="430" t="str">
        <f>$D$5</f>
        <v>FTE FINAL 22</v>
      </c>
      <c r="E256" s="259">
        <f>'3924'!I$128</f>
        <v>-8462.93</v>
      </c>
      <c r="F256" s="663"/>
      <c r="G256" s="259">
        <f>SUBTOTAL(109,E256:F265)</f>
        <v>-8462.93</v>
      </c>
      <c r="H256" s="538"/>
    </row>
    <row r="257" spans="1:9" s="422" customFormat="1" ht="12.75" hidden="1" customHeight="1" x14ac:dyDescent="0.2">
      <c r="A257" s="256"/>
      <c r="B257" s="257"/>
      <c r="C257" s="281"/>
      <c r="D257" s="321" t="s">
        <v>355</v>
      </c>
      <c r="E257" s="259"/>
      <c r="F257" s="663"/>
      <c r="G257" s="259"/>
      <c r="H257" s="538"/>
    </row>
    <row r="258" spans="1:9" s="422" customFormat="1" ht="12.75" hidden="1" customHeight="1" x14ac:dyDescent="0.2">
      <c r="A258" s="256"/>
      <c r="B258" s="257"/>
      <c r="C258" s="281"/>
      <c r="D258" s="678" t="s">
        <v>440</v>
      </c>
      <c r="E258" s="259"/>
      <c r="F258" s="663"/>
      <c r="G258" s="259"/>
      <c r="H258" s="538"/>
      <c r="I258" s="257"/>
    </row>
    <row r="259" spans="1:9" s="422" customFormat="1" ht="12.75" hidden="1" customHeight="1" x14ac:dyDescent="0.2">
      <c r="A259" s="256"/>
      <c r="B259" s="257"/>
      <c r="C259" s="281"/>
      <c r="D259" s="678" t="s">
        <v>439</v>
      </c>
      <c r="E259" s="259"/>
      <c r="F259" s="663"/>
      <c r="G259" s="259"/>
      <c r="H259" s="538"/>
      <c r="I259" s="257"/>
    </row>
    <row r="260" spans="1:9" s="422" customFormat="1" ht="12.75" hidden="1" customHeight="1" x14ac:dyDescent="0.2">
      <c r="A260" s="256"/>
      <c r="B260" s="257"/>
      <c r="C260" s="281"/>
      <c r="D260" s="321" t="s">
        <v>357</v>
      </c>
      <c r="E260" s="259"/>
      <c r="F260" s="663"/>
      <c r="G260" s="259"/>
      <c r="H260" s="538"/>
    </row>
    <row r="261" spans="1:9" s="422" customFormat="1" ht="12.75" hidden="1" customHeight="1" x14ac:dyDescent="0.2">
      <c r="A261" s="256"/>
      <c r="B261" s="257"/>
      <c r="C261" s="281"/>
      <c r="D261" s="321" t="s">
        <v>356</v>
      </c>
      <c r="E261" s="259"/>
      <c r="F261" s="663"/>
      <c r="G261" s="259"/>
      <c r="H261" s="538"/>
    </row>
    <row r="262" spans="1:9" s="422" customFormat="1" ht="12.75" hidden="1" customHeight="1" x14ac:dyDescent="0.2">
      <c r="A262" s="256"/>
      <c r="B262" s="257"/>
      <c r="C262" s="281"/>
      <c r="D262" s="321" t="s">
        <v>368</v>
      </c>
      <c r="E262" s="259"/>
      <c r="F262" s="663"/>
      <c r="G262" s="259"/>
      <c r="H262" s="538"/>
    </row>
    <row r="263" spans="1:9" s="422" customFormat="1" ht="12.75" hidden="1" customHeight="1" x14ac:dyDescent="0.2">
      <c r="A263" s="256"/>
      <c r="B263" s="257"/>
      <c r="C263" s="281"/>
      <c r="D263" s="321" t="s">
        <v>323</v>
      </c>
      <c r="E263" s="259"/>
      <c r="F263" s="663"/>
      <c r="G263" s="259"/>
      <c r="H263" s="538"/>
      <c r="I263" s="603"/>
    </row>
    <row r="264" spans="1:9" s="422" customFormat="1" ht="12.75" hidden="1" customHeight="1" x14ac:dyDescent="0.2">
      <c r="A264" s="256"/>
      <c r="B264" s="257"/>
      <c r="C264" s="320"/>
      <c r="D264" s="679" t="s">
        <v>427</v>
      </c>
      <c r="E264" s="259"/>
      <c r="F264" s="663"/>
      <c r="G264" s="259"/>
      <c r="H264" s="538"/>
      <c r="I264" s="620"/>
    </row>
    <row r="265" spans="1:9" s="422" customFormat="1" ht="12.75" hidden="1" customHeight="1" x14ac:dyDescent="0.2">
      <c r="A265" s="256"/>
      <c r="B265" s="257"/>
      <c r="C265" s="281"/>
      <c r="D265" s="431" t="s">
        <v>408</v>
      </c>
      <c r="E265" s="259"/>
      <c r="F265" s="663"/>
      <c r="G265" s="259"/>
      <c r="H265" s="538"/>
      <c r="I265" s="603"/>
    </row>
    <row r="266" spans="1:9" s="422" customFormat="1" ht="12.75" customHeight="1" x14ac:dyDescent="0.2">
      <c r="A266" s="260">
        <f>A256+1</f>
        <v>28</v>
      </c>
      <c r="B266" s="261" t="s">
        <v>236</v>
      </c>
      <c r="C266" s="282" t="s">
        <v>248</v>
      </c>
      <c r="D266" s="432" t="str">
        <f>$D$5</f>
        <v>FTE FINAL 22</v>
      </c>
      <c r="E266" s="262">
        <f>'3941'!I$128</f>
        <v>-529.52</v>
      </c>
      <c r="F266" s="662"/>
      <c r="G266" s="262">
        <f>SUBTOTAL(109,E266:F275)</f>
        <v>-529.52</v>
      </c>
      <c r="H266" s="538"/>
    </row>
    <row r="267" spans="1:9" s="422" customFormat="1" ht="12.75" hidden="1" customHeight="1" x14ac:dyDescent="0.2">
      <c r="A267" s="260"/>
      <c r="B267" s="261"/>
      <c r="C267" s="282"/>
      <c r="D267" s="322" t="s">
        <v>355</v>
      </c>
      <c r="E267" s="262"/>
      <c r="F267" s="662"/>
      <c r="G267" s="262"/>
      <c r="H267" s="538"/>
    </row>
    <row r="268" spans="1:9" s="422" customFormat="1" ht="12.75" hidden="1" customHeight="1" x14ac:dyDescent="0.2">
      <c r="A268" s="260"/>
      <c r="B268" s="261"/>
      <c r="C268" s="282"/>
      <c r="D268" s="735" t="s">
        <v>440</v>
      </c>
      <c r="E268" s="262"/>
      <c r="F268" s="662"/>
      <c r="G268" s="262"/>
      <c r="H268" s="538"/>
      <c r="I268" s="257"/>
    </row>
    <row r="269" spans="1:9" s="422" customFormat="1" ht="12.75" hidden="1" customHeight="1" x14ac:dyDescent="0.2">
      <c r="A269" s="260"/>
      <c r="B269" s="261"/>
      <c r="C269" s="282"/>
      <c r="D269" s="322" t="s">
        <v>357</v>
      </c>
      <c r="E269" s="262"/>
      <c r="F269" s="662"/>
      <c r="G269" s="262"/>
      <c r="H269" s="538"/>
    </row>
    <row r="270" spans="1:9" s="422" customFormat="1" ht="12.75" hidden="1" customHeight="1" x14ac:dyDescent="0.2">
      <c r="A270" s="260"/>
      <c r="B270" s="261"/>
      <c r="C270" s="282"/>
      <c r="D270" s="322" t="s">
        <v>356</v>
      </c>
      <c r="E270" s="262"/>
      <c r="F270" s="662"/>
      <c r="G270" s="262"/>
      <c r="H270" s="538"/>
    </row>
    <row r="271" spans="1:9" s="422" customFormat="1" ht="12.75" hidden="1" customHeight="1" x14ac:dyDescent="0.2">
      <c r="A271" s="260"/>
      <c r="B271" s="261"/>
      <c r="C271" s="282"/>
      <c r="D271" s="322" t="s">
        <v>368</v>
      </c>
      <c r="E271" s="262"/>
      <c r="F271" s="662"/>
      <c r="G271" s="262"/>
      <c r="H271" s="538"/>
    </row>
    <row r="272" spans="1:9" s="405" customFormat="1" ht="12.75" hidden="1" customHeight="1" x14ac:dyDescent="0.2">
      <c r="A272" s="260"/>
      <c r="B272" s="261"/>
      <c r="C272" s="282"/>
      <c r="D272" s="322" t="s">
        <v>323</v>
      </c>
      <c r="E272" s="262"/>
      <c r="F272" s="662"/>
      <c r="G272" s="262"/>
      <c r="H272" s="404"/>
      <c r="I272" s="603"/>
    </row>
    <row r="273" spans="1:9" s="405" customFormat="1" ht="12.75" hidden="1" customHeight="1" x14ac:dyDescent="0.2">
      <c r="A273" s="260"/>
      <c r="B273" s="261"/>
      <c r="C273" s="282"/>
      <c r="D273" s="322" t="s">
        <v>403</v>
      </c>
      <c r="E273" s="262"/>
      <c r="F273" s="662"/>
      <c r="G273" s="262"/>
      <c r="H273" s="404"/>
      <c r="I273" s="603"/>
    </row>
    <row r="274" spans="1:9" s="405" customFormat="1" ht="12.75" hidden="1" customHeight="1" x14ac:dyDescent="0.2">
      <c r="A274" s="260"/>
      <c r="B274" s="261"/>
      <c r="C274" s="282"/>
      <c r="D274" s="322" t="s">
        <v>427</v>
      </c>
      <c r="E274" s="262"/>
      <c r="F274" s="662"/>
      <c r="G274" s="262"/>
      <c r="H274" s="404"/>
      <c r="I274" s="603"/>
    </row>
    <row r="275" spans="1:9" s="422" customFormat="1" ht="12.75" hidden="1" customHeight="1" x14ac:dyDescent="0.2">
      <c r="A275" s="260"/>
      <c r="B275" s="261"/>
      <c r="C275" s="282"/>
      <c r="D275" s="322" t="s">
        <v>408</v>
      </c>
      <c r="E275" s="262"/>
      <c r="F275" s="662"/>
      <c r="G275" s="262"/>
      <c r="H275" s="538"/>
    </row>
    <row r="276" spans="1:9" s="422" customFormat="1" ht="12.75" customHeight="1" x14ac:dyDescent="0.2">
      <c r="A276" s="256">
        <f>A266+1</f>
        <v>29</v>
      </c>
      <c r="B276" s="257" t="s">
        <v>237</v>
      </c>
      <c r="C276" s="281" t="s">
        <v>262</v>
      </c>
      <c r="D276" s="430" t="str">
        <f>$D$5</f>
        <v>FTE FINAL 22</v>
      </c>
      <c r="E276" s="259">
        <f>'3961'!I$128</f>
        <v>9466.1299999999992</v>
      </c>
      <c r="F276" s="663"/>
      <c r="G276" s="259">
        <f>SUBTOTAL(109,E276:F283)</f>
        <v>9466.1299999999992</v>
      </c>
      <c r="H276" s="538"/>
    </row>
    <row r="277" spans="1:9" s="422" customFormat="1" ht="12.75" hidden="1" customHeight="1" x14ac:dyDescent="0.2">
      <c r="A277" s="256"/>
      <c r="B277" s="257"/>
      <c r="C277" s="281"/>
      <c r="D277" s="321" t="s">
        <v>355</v>
      </c>
      <c r="E277" s="259"/>
      <c r="F277" s="663"/>
      <c r="G277" s="259"/>
      <c r="H277" s="538"/>
    </row>
    <row r="278" spans="1:9" s="422" customFormat="1" ht="12.75" hidden="1" customHeight="1" x14ac:dyDescent="0.2">
      <c r="A278" s="256"/>
      <c r="B278" s="257"/>
      <c r="C278" s="281"/>
      <c r="D278" s="678" t="s">
        <v>439</v>
      </c>
      <c r="E278" s="259"/>
      <c r="F278" s="663"/>
      <c r="G278" s="259"/>
      <c r="H278" s="538"/>
      <c r="I278" s="257"/>
    </row>
    <row r="279" spans="1:9" s="422" customFormat="1" ht="12.75" hidden="1" customHeight="1" x14ac:dyDescent="0.2">
      <c r="A279" s="256"/>
      <c r="B279" s="257"/>
      <c r="C279" s="281"/>
      <c r="D279" s="321" t="s">
        <v>357</v>
      </c>
      <c r="E279" s="259"/>
      <c r="F279" s="663"/>
      <c r="G279" s="259"/>
      <c r="H279" s="538"/>
    </row>
    <row r="280" spans="1:9" s="422" customFormat="1" ht="12.75" hidden="1" customHeight="1" x14ac:dyDescent="0.2">
      <c r="A280" s="256"/>
      <c r="B280" s="257"/>
      <c r="C280" s="281"/>
      <c r="D280" s="321" t="s">
        <v>356</v>
      </c>
      <c r="E280" s="259"/>
      <c r="F280" s="663"/>
      <c r="G280" s="259"/>
      <c r="H280" s="538"/>
    </row>
    <row r="281" spans="1:9" s="422" customFormat="1" ht="12.75" hidden="1" customHeight="1" x14ac:dyDescent="0.2">
      <c r="A281" s="256"/>
      <c r="B281" s="257"/>
      <c r="C281" s="281"/>
      <c r="D281" s="321" t="s">
        <v>368</v>
      </c>
      <c r="E281" s="259"/>
      <c r="F281" s="663"/>
      <c r="G281" s="259"/>
      <c r="H281" s="538"/>
      <c r="I281" s="440"/>
    </row>
    <row r="282" spans="1:9" s="422" customFormat="1" ht="12.75" hidden="1" customHeight="1" x14ac:dyDescent="0.2">
      <c r="A282" s="256"/>
      <c r="B282" s="257"/>
      <c r="C282" s="281"/>
      <c r="D282" s="321" t="s">
        <v>323</v>
      </c>
      <c r="E282" s="259"/>
      <c r="F282" s="663"/>
      <c r="G282" s="259"/>
      <c r="H282" s="538"/>
      <c r="I282" s="603"/>
    </row>
    <row r="283" spans="1:9" s="540" customFormat="1" ht="12.75" hidden="1" customHeight="1" x14ac:dyDescent="0.2">
      <c r="A283" s="256"/>
      <c r="B283" s="257"/>
      <c r="C283" s="320"/>
      <c r="D283" s="431" t="s">
        <v>434</v>
      </c>
      <c r="E283" s="259"/>
      <c r="F283" s="663"/>
      <c r="G283" s="259"/>
      <c r="H283" s="539"/>
      <c r="I283" s="422"/>
    </row>
    <row r="284" spans="1:9" s="422" customFormat="1" ht="12.75" customHeight="1" x14ac:dyDescent="0.2">
      <c r="A284" s="260">
        <f>A276+1</f>
        <v>30</v>
      </c>
      <c r="B284" s="261" t="s">
        <v>238</v>
      </c>
      <c r="C284" s="282" t="s">
        <v>404</v>
      </c>
      <c r="D284" s="432" t="str">
        <f>$D$5</f>
        <v>FTE FINAL 22</v>
      </c>
      <c r="E284" s="262">
        <f>'3971'!I$128</f>
        <v>10.37</v>
      </c>
      <c r="F284" s="662"/>
      <c r="G284" s="262">
        <f>SUBTOTAL(109,E284:F291)</f>
        <v>10.37</v>
      </c>
      <c r="H284" s="538"/>
    </row>
    <row r="285" spans="1:9" s="422" customFormat="1" ht="12.75" hidden="1" customHeight="1" x14ac:dyDescent="0.2">
      <c r="A285" s="260"/>
      <c r="B285" s="261"/>
      <c r="C285" s="282"/>
      <c r="D285" s="322" t="s">
        <v>355</v>
      </c>
      <c r="E285" s="262"/>
      <c r="F285" s="662"/>
      <c r="G285" s="262"/>
      <c r="H285" s="538"/>
    </row>
    <row r="286" spans="1:9" s="422" customFormat="1" ht="12.75" hidden="1" customHeight="1" x14ac:dyDescent="0.2">
      <c r="A286" s="260"/>
      <c r="B286" s="261"/>
      <c r="C286" s="282"/>
      <c r="D286" s="735" t="s">
        <v>469</v>
      </c>
      <c r="E286" s="262"/>
      <c r="F286" s="662">
        <v>0</v>
      </c>
      <c r="G286" s="262"/>
      <c r="H286" s="538"/>
      <c r="I286" s="257"/>
    </row>
    <row r="287" spans="1:9" s="422" customFormat="1" ht="12.75" hidden="1" customHeight="1" x14ac:dyDescent="0.2">
      <c r="A287" s="260"/>
      <c r="B287" s="261"/>
      <c r="C287" s="282"/>
      <c r="D287" s="322" t="s">
        <v>357</v>
      </c>
      <c r="E287" s="262"/>
      <c r="F287" s="662"/>
      <c r="G287" s="262"/>
      <c r="H287" s="538"/>
    </row>
    <row r="288" spans="1:9" s="422" customFormat="1" ht="12.75" hidden="1" customHeight="1" x14ac:dyDescent="0.2">
      <c r="A288" s="260"/>
      <c r="B288" s="261"/>
      <c r="C288" s="282"/>
      <c r="D288" s="322" t="s">
        <v>356</v>
      </c>
      <c r="E288" s="262"/>
      <c r="F288" s="662"/>
      <c r="G288" s="262"/>
      <c r="H288" s="538"/>
    </row>
    <row r="289" spans="1:9" s="422" customFormat="1" ht="12.75" hidden="1" customHeight="1" x14ac:dyDescent="0.2">
      <c r="A289" s="260"/>
      <c r="B289" s="261"/>
      <c r="C289" s="282"/>
      <c r="D289" s="322" t="s">
        <v>368</v>
      </c>
      <c r="E289" s="262"/>
      <c r="F289" s="662"/>
      <c r="G289" s="262"/>
      <c r="H289" s="538"/>
      <c r="I289" s="423"/>
    </row>
    <row r="290" spans="1:9" s="405" customFormat="1" ht="12.75" hidden="1" customHeight="1" x14ac:dyDescent="0.2">
      <c r="A290" s="260"/>
      <c r="B290" s="261"/>
      <c r="C290" s="282"/>
      <c r="D290" s="322" t="s">
        <v>323</v>
      </c>
      <c r="E290" s="262"/>
      <c r="F290" s="662"/>
      <c r="G290" s="262"/>
      <c r="H290" s="404"/>
      <c r="I290" s="603"/>
    </row>
    <row r="291" spans="1:9" s="422" customFormat="1" ht="12.75" hidden="1" customHeight="1" x14ac:dyDescent="0.2">
      <c r="A291" s="260"/>
      <c r="B291" s="261"/>
      <c r="C291" s="282"/>
      <c r="D291" s="433" t="s">
        <v>448</v>
      </c>
      <c r="E291" s="262"/>
      <c r="F291" s="662"/>
      <c r="G291" s="262"/>
      <c r="H291" s="538"/>
    </row>
    <row r="292" spans="1:9" s="422" customFormat="1" ht="12.75" customHeight="1" x14ac:dyDescent="0.2">
      <c r="A292" s="256">
        <f>A284+1</f>
        <v>31</v>
      </c>
      <c r="B292" s="257" t="s">
        <v>239</v>
      </c>
      <c r="C292" s="281" t="s">
        <v>282</v>
      </c>
      <c r="D292" s="430" t="str">
        <f>$D$5</f>
        <v>FTE FINAL 22</v>
      </c>
      <c r="E292" s="720">
        <f>'4001'!I$128</f>
        <v>3057.69</v>
      </c>
      <c r="F292" s="663"/>
      <c r="G292" s="259">
        <f>SUBTOTAL(109,E292:F300)</f>
        <v>3057.69</v>
      </c>
      <c r="H292" s="538"/>
    </row>
    <row r="293" spans="1:9" s="422" customFormat="1" ht="12.75" hidden="1" customHeight="1" x14ac:dyDescent="0.2">
      <c r="A293" s="256"/>
      <c r="B293" s="257"/>
      <c r="C293" s="281"/>
      <c r="D293" s="321" t="s">
        <v>355</v>
      </c>
      <c r="E293" s="259"/>
      <c r="F293" s="663"/>
      <c r="G293" s="259"/>
      <c r="H293" s="538"/>
    </row>
    <row r="294" spans="1:9" s="422" customFormat="1" ht="12.75" hidden="1" customHeight="1" x14ac:dyDescent="0.2">
      <c r="A294" s="256"/>
      <c r="B294" s="257"/>
      <c r="C294" s="281"/>
      <c r="D294" s="678" t="s">
        <v>440</v>
      </c>
      <c r="E294" s="259"/>
      <c r="F294" s="663"/>
      <c r="G294" s="259"/>
      <c r="H294" s="538"/>
      <c r="I294" s="257"/>
    </row>
    <row r="295" spans="1:9" s="422" customFormat="1" ht="12.75" hidden="1" customHeight="1" x14ac:dyDescent="0.2">
      <c r="A295" s="256"/>
      <c r="B295" s="257"/>
      <c r="C295" s="281"/>
      <c r="D295" s="321" t="s">
        <v>357</v>
      </c>
      <c r="E295" s="259"/>
      <c r="F295" s="663"/>
      <c r="G295" s="259"/>
      <c r="H295" s="538"/>
    </row>
    <row r="296" spans="1:9" s="422" customFormat="1" ht="12.75" hidden="1" customHeight="1" x14ac:dyDescent="0.2">
      <c r="A296" s="256"/>
      <c r="B296" s="257"/>
      <c r="C296" s="281"/>
      <c r="D296" s="321" t="s">
        <v>356</v>
      </c>
      <c r="E296" s="259"/>
      <c r="F296" s="663"/>
      <c r="G296" s="259"/>
      <c r="H296" s="538"/>
    </row>
    <row r="297" spans="1:9" s="422" customFormat="1" ht="12.75" hidden="1" customHeight="1" x14ac:dyDescent="0.2">
      <c r="A297" s="256"/>
      <c r="B297" s="257"/>
      <c r="C297" s="281"/>
      <c r="D297" s="321" t="s">
        <v>368</v>
      </c>
      <c r="E297" s="259"/>
      <c r="F297" s="663"/>
      <c r="G297" s="259"/>
      <c r="H297" s="538"/>
    </row>
    <row r="298" spans="1:9" s="405" customFormat="1" ht="12.75" hidden="1" customHeight="1" x14ac:dyDescent="0.2">
      <c r="A298" s="256"/>
      <c r="B298" s="257"/>
      <c r="C298" s="281"/>
      <c r="D298" s="321" t="s">
        <v>323</v>
      </c>
      <c r="E298" s="259"/>
      <c r="F298" s="663"/>
      <c r="G298" s="259"/>
      <c r="H298" s="404"/>
      <c r="I298" s="603"/>
    </row>
    <row r="299" spans="1:9" s="422" customFormat="1" ht="12.75" hidden="1" customHeight="1" x14ac:dyDescent="0.2">
      <c r="A299" s="256"/>
      <c r="B299" s="257"/>
      <c r="C299" s="281"/>
      <c r="D299" s="321" t="s">
        <v>427</v>
      </c>
      <c r="E299" s="259"/>
      <c r="F299" s="663"/>
      <c r="G299" s="259"/>
      <c r="H299" s="538"/>
      <c r="I299" s="603"/>
    </row>
    <row r="300" spans="1:9" s="422" customFormat="1" ht="12.75" hidden="1" customHeight="1" x14ac:dyDescent="0.2">
      <c r="A300" s="256"/>
      <c r="B300" s="257"/>
      <c r="C300" s="281"/>
      <c r="D300" s="431" t="s">
        <v>408</v>
      </c>
      <c r="E300" s="259"/>
      <c r="F300" s="663"/>
      <c r="G300" s="259"/>
      <c r="H300" s="538"/>
    </row>
    <row r="301" spans="1:9" s="422" customFormat="1" ht="12.75" customHeight="1" x14ac:dyDescent="0.2">
      <c r="A301" s="260">
        <f>A292+1</f>
        <v>32</v>
      </c>
      <c r="B301" s="261">
        <v>4002</v>
      </c>
      <c r="C301" s="282" t="s">
        <v>281</v>
      </c>
      <c r="D301" s="432" t="str">
        <f>$D$5</f>
        <v>FTE FINAL 22</v>
      </c>
      <c r="E301" s="262">
        <f>'4002'!I$128</f>
        <v>2002.1</v>
      </c>
      <c r="F301" s="662"/>
      <c r="G301" s="262">
        <f>SUBTOTAL(109,E301:F310)</f>
        <v>2002.1</v>
      </c>
      <c r="H301" s="538"/>
    </row>
    <row r="302" spans="1:9" s="422" customFormat="1" ht="12.75" hidden="1" customHeight="1" x14ac:dyDescent="0.2">
      <c r="A302" s="260"/>
      <c r="B302" s="261"/>
      <c r="C302" s="282"/>
      <c r="D302" s="322" t="s">
        <v>355</v>
      </c>
      <c r="E302" s="262"/>
      <c r="F302" s="662"/>
      <c r="G302" s="262"/>
      <c r="H302" s="538"/>
    </row>
    <row r="303" spans="1:9" s="422" customFormat="1" ht="12.75" hidden="1" customHeight="1" x14ac:dyDescent="0.2">
      <c r="A303" s="260"/>
      <c r="B303" s="261"/>
      <c r="C303" s="282"/>
      <c r="D303" s="735" t="s">
        <v>440</v>
      </c>
      <c r="E303" s="262"/>
      <c r="F303" s="662"/>
      <c r="G303" s="262"/>
      <c r="H303" s="538"/>
      <c r="I303" s="257"/>
    </row>
    <row r="304" spans="1:9" s="422" customFormat="1" ht="12.75" hidden="1" customHeight="1" x14ac:dyDescent="0.2">
      <c r="A304" s="260"/>
      <c r="B304" s="261"/>
      <c r="C304" s="282"/>
      <c r="D304" s="322" t="s">
        <v>357</v>
      </c>
      <c r="E304" s="262"/>
      <c r="F304" s="662"/>
      <c r="G304" s="262"/>
      <c r="H304" s="538"/>
    </row>
    <row r="305" spans="1:9" s="422" customFormat="1" ht="12.75" hidden="1" customHeight="1" x14ac:dyDescent="0.2">
      <c r="A305" s="260"/>
      <c r="B305" s="261"/>
      <c r="C305" s="282"/>
      <c r="D305" s="322" t="s">
        <v>356</v>
      </c>
      <c r="E305" s="262"/>
      <c r="F305" s="662"/>
      <c r="G305" s="262"/>
      <c r="H305" s="538"/>
    </row>
    <row r="306" spans="1:9" s="422" customFormat="1" ht="12.75" hidden="1" customHeight="1" x14ac:dyDescent="0.2">
      <c r="A306" s="260"/>
      <c r="B306" s="261"/>
      <c r="C306" s="282"/>
      <c r="D306" s="322" t="s">
        <v>368</v>
      </c>
      <c r="E306" s="262"/>
      <c r="F306" s="662"/>
      <c r="G306" s="262"/>
      <c r="H306" s="538"/>
    </row>
    <row r="307" spans="1:9" s="422" customFormat="1" ht="12.75" hidden="1" customHeight="1" x14ac:dyDescent="0.2">
      <c r="A307" s="260"/>
      <c r="B307" s="261"/>
      <c r="C307" s="282"/>
      <c r="D307" s="322" t="s">
        <v>323</v>
      </c>
      <c r="E307" s="262"/>
      <c r="F307" s="662"/>
      <c r="G307" s="262"/>
      <c r="H307" s="538"/>
    </row>
    <row r="308" spans="1:9" s="422" customFormat="1" ht="12.75" hidden="1" customHeight="1" x14ac:dyDescent="0.2">
      <c r="A308" s="260"/>
      <c r="B308" s="261"/>
      <c r="C308" s="282"/>
      <c r="D308" s="322" t="s">
        <v>426</v>
      </c>
      <c r="E308" s="262"/>
      <c r="F308" s="662"/>
      <c r="G308" s="262"/>
      <c r="H308" s="538"/>
      <c r="I308" s="606"/>
    </row>
    <row r="309" spans="1:9" s="422" customFormat="1" ht="12.75" hidden="1" customHeight="1" x14ac:dyDescent="0.2">
      <c r="A309" s="260"/>
      <c r="B309" s="261"/>
      <c r="C309" s="282"/>
      <c r="D309" s="322" t="s">
        <v>427</v>
      </c>
      <c r="E309" s="262"/>
      <c r="F309" s="662"/>
      <c r="G309" s="262"/>
      <c r="H309" s="538"/>
      <c r="I309" s="606"/>
    </row>
    <row r="310" spans="1:9" s="422" customFormat="1" ht="12.75" hidden="1" customHeight="1" x14ac:dyDescent="0.2">
      <c r="A310" s="260"/>
      <c r="B310" s="261"/>
      <c r="C310" s="282"/>
      <c r="D310" s="322" t="s">
        <v>422</v>
      </c>
      <c r="E310" s="262"/>
      <c r="F310" s="662"/>
      <c r="G310" s="262"/>
      <c r="H310" s="538"/>
    </row>
    <row r="311" spans="1:9" s="422" customFormat="1" ht="12.75" customHeight="1" x14ac:dyDescent="0.2">
      <c r="A311" s="256">
        <f>A301+1</f>
        <v>33</v>
      </c>
      <c r="B311" s="257">
        <v>4012</v>
      </c>
      <c r="C311" s="281" t="s">
        <v>284</v>
      </c>
      <c r="D311" s="430" t="str">
        <f>$D$5</f>
        <v>FTE FINAL 22</v>
      </c>
      <c r="E311" s="259">
        <f>'4012'!I$128</f>
        <v>-3762.11</v>
      </c>
      <c r="F311" s="663"/>
      <c r="G311" s="259">
        <f>SUBTOTAL(109,E311:F318)</f>
        <v>-3762.11</v>
      </c>
      <c r="H311" s="538"/>
    </row>
    <row r="312" spans="1:9" s="422" customFormat="1" ht="12.75" hidden="1" customHeight="1" x14ac:dyDescent="0.2">
      <c r="A312" s="256"/>
      <c r="B312" s="257"/>
      <c r="C312" s="281"/>
      <c r="D312" s="321" t="s">
        <v>355</v>
      </c>
      <c r="E312" s="259"/>
      <c r="F312" s="663"/>
      <c r="G312" s="259"/>
      <c r="H312" s="538"/>
    </row>
    <row r="313" spans="1:9" s="422" customFormat="1" ht="12.75" hidden="1" customHeight="1" x14ac:dyDescent="0.2">
      <c r="A313" s="256"/>
      <c r="B313" s="257"/>
      <c r="C313" s="281"/>
      <c r="D313" s="321" t="s">
        <v>357</v>
      </c>
      <c r="E313" s="259"/>
      <c r="F313" s="663"/>
      <c r="G313" s="259"/>
      <c r="H313" s="538"/>
    </row>
    <row r="314" spans="1:9" s="422" customFormat="1" ht="12.75" hidden="1" customHeight="1" x14ac:dyDescent="0.2">
      <c r="A314" s="256"/>
      <c r="B314" s="257"/>
      <c r="C314" s="281"/>
      <c r="D314" s="321" t="s">
        <v>421</v>
      </c>
      <c r="E314" s="259"/>
      <c r="F314" s="663"/>
      <c r="G314" s="259"/>
      <c r="H314" s="538"/>
    </row>
    <row r="315" spans="1:9" s="422" customFormat="1" ht="12.75" hidden="1" customHeight="1" x14ac:dyDescent="0.2">
      <c r="A315" s="256"/>
      <c r="B315" s="257"/>
      <c r="C315" s="281"/>
      <c r="D315" s="321" t="s">
        <v>368</v>
      </c>
      <c r="E315" s="259"/>
      <c r="F315" s="663"/>
      <c r="G315" s="259"/>
      <c r="H315" s="538"/>
    </row>
    <row r="316" spans="1:9" s="405" customFormat="1" ht="12.75" hidden="1" customHeight="1" x14ac:dyDescent="0.2">
      <c r="A316" s="256"/>
      <c r="B316" s="257"/>
      <c r="C316" s="281"/>
      <c r="D316" s="321" t="s">
        <v>323</v>
      </c>
      <c r="E316" s="259"/>
      <c r="F316" s="663"/>
      <c r="G316" s="259"/>
      <c r="H316" s="404"/>
      <c r="I316" s="603"/>
    </row>
    <row r="317" spans="1:9" s="422" customFormat="1" ht="12.75" hidden="1" customHeight="1" x14ac:dyDescent="0.2">
      <c r="A317" s="256"/>
      <c r="B317" s="257"/>
      <c r="C317" s="281"/>
      <c r="D317" s="321" t="s">
        <v>369</v>
      </c>
      <c r="E317" s="259"/>
      <c r="F317" s="663"/>
      <c r="G317" s="259"/>
      <c r="H317" s="538"/>
      <c r="I317" s="549"/>
    </row>
    <row r="318" spans="1:9" s="422" customFormat="1" ht="12.75" hidden="1" customHeight="1" x14ac:dyDescent="0.2">
      <c r="A318" s="256"/>
      <c r="B318" s="257"/>
      <c r="C318" s="281"/>
      <c r="D318" s="431" t="s">
        <v>408</v>
      </c>
      <c r="E318" s="259"/>
      <c r="F318" s="663"/>
      <c r="G318" s="259"/>
      <c r="H318" s="538"/>
      <c r="I318" s="549"/>
    </row>
    <row r="319" spans="1:9" s="422" customFormat="1" ht="12.75" customHeight="1" x14ac:dyDescent="0.2">
      <c r="A319" s="260">
        <f>A311+1</f>
        <v>34</v>
      </c>
      <c r="B319" s="261">
        <v>4013</v>
      </c>
      <c r="C319" s="282" t="s">
        <v>286</v>
      </c>
      <c r="D319" s="432" t="str">
        <f>$D$5</f>
        <v>FTE FINAL 22</v>
      </c>
      <c r="E319" s="262">
        <f>'4013'!I$128</f>
        <v>-9343.76</v>
      </c>
      <c r="F319" s="662"/>
      <c r="G319" s="262">
        <f>SUBTOTAL(109,E319:F327)</f>
        <v>-9343.76</v>
      </c>
      <c r="H319" s="538"/>
    </row>
    <row r="320" spans="1:9" s="422" customFormat="1" ht="12.75" hidden="1" customHeight="1" x14ac:dyDescent="0.2">
      <c r="A320" s="260"/>
      <c r="B320" s="261"/>
      <c r="C320" s="282"/>
      <c r="D320" s="322" t="s">
        <v>355</v>
      </c>
      <c r="E320" s="262"/>
      <c r="F320" s="662"/>
      <c r="G320" s="262"/>
      <c r="H320" s="538"/>
    </row>
    <row r="321" spans="1:9" s="422" customFormat="1" ht="12.75" hidden="1" customHeight="1" x14ac:dyDescent="0.2">
      <c r="A321" s="260"/>
      <c r="B321" s="261"/>
      <c r="C321" s="282"/>
      <c r="D321" s="735" t="s">
        <v>440</v>
      </c>
      <c r="E321" s="262"/>
      <c r="F321" s="662"/>
      <c r="G321" s="262"/>
      <c r="H321" s="538"/>
      <c r="I321" s="257"/>
    </row>
    <row r="322" spans="1:9" s="422" customFormat="1" ht="12.75" hidden="1" customHeight="1" x14ac:dyDescent="0.2">
      <c r="A322" s="260"/>
      <c r="B322" s="261"/>
      <c r="C322" s="282"/>
      <c r="D322" s="322" t="s">
        <v>357</v>
      </c>
      <c r="E322" s="262"/>
      <c r="F322" s="662"/>
      <c r="G322" s="262"/>
      <c r="H322" s="538"/>
    </row>
    <row r="323" spans="1:9" s="422" customFormat="1" ht="12.75" hidden="1" customHeight="1" x14ac:dyDescent="0.2">
      <c r="A323" s="260"/>
      <c r="B323" s="261"/>
      <c r="C323" s="282"/>
      <c r="D323" s="322" t="s">
        <v>421</v>
      </c>
      <c r="E323" s="262"/>
      <c r="F323" s="662"/>
      <c r="G323" s="262"/>
      <c r="H323" s="538"/>
    </row>
    <row r="324" spans="1:9" s="422" customFormat="1" ht="12.75" hidden="1" customHeight="1" x14ac:dyDescent="0.2">
      <c r="A324" s="260"/>
      <c r="B324" s="261"/>
      <c r="C324" s="282"/>
      <c r="D324" s="322" t="s">
        <v>368</v>
      </c>
      <c r="E324" s="262"/>
      <c r="F324" s="662"/>
      <c r="G324" s="262"/>
      <c r="H324" s="538"/>
    </row>
    <row r="325" spans="1:9" s="422" customFormat="1" ht="12.75" hidden="1" customHeight="1" x14ac:dyDescent="0.2">
      <c r="A325" s="260"/>
      <c r="B325" s="261"/>
      <c r="C325" s="282"/>
      <c r="D325" s="322" t="s">
        <v>323</v>
      </c>
      <c r="E325" s="262"/>
      <c r="F325" s="662"/>
      <c r="G325" s="262"/>
      <c r="H325" s="538"/>
    </row>
    <row r="326" spans="1:9" s="422" customFormat="1" ht="12.75" hidden="1" customHeight="1" x14ac:dyDescent="0.2">
      <c r="A326" s="260"/>
      <c r="B326" s="261"/>
      <c r="C326" s="282"/>
      <c r="D326" s="322" t="s">
        <v>427</v>
      </c>
      <c r="E326" s="262"/>
      <c r="F326" s="662"/>
      <c r="G326" s="262"/>
      <c r="H326" s="538"/>
      <c r="I326" s="606"/>
    </row>
    <row r="327" spans="1:9" s="422" customFormat="1" ht="12.75" hidden="1" customHeight="1" x14ac:dyDescent="0.2">
      <c r="A327" s="260"/>
      <c r="B327" s="261"/>
      <c r="C327" s="282"/>
      <c r="D327" s="322" t="s">
        <v>408</v>
      </c>
      <c r="E327" s="262"/>
      <c r="F327" s="662"/>
      <c r="G327" s="262"/>
      <c r="H327" s="538"/>
    </row>
    <row r="328" spans="1:9" s="422" customFormat="1" ht="12.75" customHeight="1" x14ac:dyDescent="0.2">
      <c r="A328" s="256">
        <f>A319+1</f>
        <v>35</v>
      </c>
      <c r="B328" s="257">
        <v>4020</v>
      </c>
      <c r="C328" s="281" t="s">
        <v>258</v>
      </c>
      <c r="D328" s="430" t="str">
        <f>$D$5</f>
        <v>FTE FINAL 22</v>
      </c>
      <c r="E328" s="259">
        <f>'4020'!I$128</f>
        <v>1642.29</v>
      </c>
      <c r="F328" s="663"/>
      <c r="G328" s="259">
        <f>SUBTOTAL(109,E328:F336)</f>
        <v>1642.29</v>
      </c>
      <c r="H328" s="538"/>
    </row>
    <row r="329" spans="1:9" s="422" customFormat="1" ht="12.75" hidden="1" customHeight="1" x14ac:dyDescent="0.2">
      <c r="A329" s="256"/>
      <c r="B329" s="257"/>
      <c r="C329" s="281"/>
      <c r="D329" s="321" t="s">
        <v>355</v>
      </c>
      <c r="E329" s="259"/>
      <c r="F329" s="663"/>
      <c r="G329" s="259"/>
      <c r="H329" s="538"/>
    </row>
    <row r="330" spans="1:9" s="422" customFormat="1" ht="12.75" hidden="1" customHeight="1" x14ac:dyDescent="0.2">
      <c r="A330" s="256"/>
      <c r="B330" s="257"/>
      <c r="C330" s="281"/>
      <c r="D330" s="678" t="s">
        <v>439</v>
      </c>
      <c r="E330" s="259"/>
      <c r="F330" s="663"/>
      <c r="G330" s="259"/>
      <c r="H330" s="538"/>
      <c r="I330" s="257"/>
    </row>
    <row r="331" spans="1:9" s="422" customFormat="1" ht="12.75" hidden="1" customHeight="1" x14ac:dyDescent="0.2">
      <c r="A331" s="256"/>
      <c r="B331" s="257"/>
      <c r="C331" s="281"/>
      <c r="D331" s="321" t="s">
        <v>357</v>
      </c>
      <c r="E331" s="259"/>
      <c r="F331" s="663"/>
      <c r="G331" s="259"/>
      <c r="H331" s="538"/>
    </row>
    <row r="332" spans="1:9" s="422" customFormat="1" ht="12.75" hidden="1" customHeight="1" x14ac:dyDescent="0.2">
      <c r="A332" s="256"/>
      <c r="B332" s="257"/>
      <c r="C332" s="281"/>
      <c r="D332" s="321" t="s">
        <v>421</v>
      </c>
      <c r="E332" s="259"/>
      <c r="F332" s="663"/>
      <c r="G332" s="259"/>
      <c r="H332" s="538"/>
    </row>
    <row r="333" spans="1:9" s="422" customFormat="1" ht="12.75" hidden="1" customHeight="1" x14ac:dyDescent="0.2">
      <c r="A333" s="256"/>
      <c r="B333" s="257"/>
      <c r="C333" s="281"/>
      <c r="D333" s="321" t="s">
        <v>368</v>
      </c>
      <c r="E333" s="259"/>
      <c r="F333" s="663"/>
      <c r="G333" s="259"/>
      <c r="H333" s="538"/>
      <c r="I333" s="423"/>
    </row>
    <row r="334" spans="1:9" s="405" customFormat="1" ht="12.75" hidden="1" customHeight="1" x14ac:dyDescent="0.2">
      <c r="A334" s="256"/>
      <c r="B334" s="257"/>
      <c r="C334" s="281"/>
      <c r="D334" s="321" t="s">
        <v>323</v>
      </c>
      <c r="E334" s="259"/>
      <c r="F334" s="663"/>
      <c r="G334" s="259"/>
      <c r="H334" s="404"/>
      <c r="I334" s="603"/>
    </row>
    <row r="335" spans="1:9" s="422" customFormat="1" ht="12.75" hidden="1" customHeight="1" x14ac:dyDescent="0.2">
      <c r="A335" s="256"/>
      <c r="B335" s="257"/>
      <c r="C335" s="281"/>
      <c r="D335" s="321" t="s">
        <v>426</v>
      </c>
      <c r="E335" s="259"/>
      <c r="F335" s="663"/>
      <c r="G335" s="259"/>
      <c r="H335" s="538"/>
      <c r="I335" s="606"/>
    </row>
    <row r="336" spans="1:9" s="422" customFormat="1" ht="12.75" hidden="1" customHeight="1" x14ac:dyDescent="0.2">
      <c r="A336" s="256"/>
      <c r="B336" s="257"/>
      <c r="C336" s="281"/>
      <c r="D336" s="431" t="s">
        <v>467</v>
      </c>
      <c r="E336" s="259"/>
      <c r="F336" s="663"/>
      <c r="G336" s="259"/>
      <c r="H336" s="538"/>
    </row>
    <row r="337" spans="1:9" s="422" customFormat="1" ht="12.75" customHeight="1" x14ac:dyDescent="0.2">
      <c r="A337" s="260">
        <f>A328+1</f>
        <v>36</v>
      </c>
      <c r="B337" s="261">
        <v>4030</v>
      </c>
      <c r="C337" s="282" t="s">
        <v>398</v>
      </c>
      <c r="D337" s="432" t="str">
        <f>$D$5</f>
        <v>FTE FINAL 22</v>
      </c>
      <c r="E337" s="262">
        <f>'4030'!I$128</f>
        <v>-299.32</v>
      </c>
      <c r="F337" s="662"/>
      <c r="G337" s="262">
        <f>SUBTOTAL(109,E337:F346)</f>
        <v>-299.32</v>
      </c>
      <c r="H337" s="538"/>
    </row>
    <row r="338" spans="1:9" s="422" customFormat="1" ht="12.75" hidden="1" customHeight="1" x14ac:dyDescent="0.2">
      <c r="A338" s="260"/>
      <c r="B338" s="261"/>
      <c r="C338" s="282"/>
      <c r="D338" s="322" t="s">
        <v>355</v>
      </c>
      <c r="E338" s="262"/>
      <c r="F338" s="662"/>
      <c r="G338" s="262"/>
      <c r="H338" s="538"/>
    </row>
    <row r="339" spans="1:9" s="422" customFormat="1" ht="12.75" hidden="1" customHeight="1" x14ac:dyDescent="0.2">
      <c r="A339" s="260"/>
      <c r="B339" s="261"/>
      <c r="C339" s="282"/>
      <c r="D339" s="735" t="s">
        <v>440</v>
      </c>
      <c r="E339" s="262"/>
      <c r="F339" s="662"/>
      <c r="G339" s="262"/>
      <c r="H339" s="538"/>
      <c r="I339" s="257"/>
    </row>
    <row r="340" spans="1:9" s="422" customFormat="1" ht="12.75" hidden="1" customHeight="1" x14ac:dyDescent="0.2">
      <c r="A340" s="260"/>
      <c r="B340" s="261"/>
      <c r="C340" s="282"/>
      <c r="D340" s="735" t="s">
        <v>439</v>
      </c>
      <c r="E340" s="262"/>
      <c r="F340" s="662"/>
      <c r="G340" s="262"/>
      <c r="H340" s="538"/>
      <c r="I340" s="257"/>
    </row>
    <row r="341" spans="1:9" s="422" customFormat="1" ht="12.75" hidden="1" customHeight="1" x14ac:dyDescent="0.2">
      <c r="A341" s="260"/>
      <c r="B341" s="261"/>
      <c r="C341" s="282"/>
      <c r="D341" s="322" t="s">
        <v>357</v>
      </c>
      <c r="E341" s="262"/>
      <c r="F341" s="662"/>
      <c r="G341" s="262"/>
      <c r="H341" s="538"/>
    </row>
    <row r="342" spans="1:9" s="422" customFormat="1" ht="12.75" hidden="1" customHeight="1" x14ac:dyDescent="0.2">
      <c r="A342" s="260"/>
      <c r="B342" s="261"/>
      <c r="C342" s="282"/>
      <c r="D342" s="322" t="s">
        <v>356</v>
      </c>
      <c r="E342" s="262"/>
      <c r="F342" s="662"/>
      <c r="G342" s="262"/>
      <c r="H342" s="538"/>
    </row>
    <row r="343" spans="1:9" s="422" customFormat="1" ht="12.75" hidden="1" customHeight="1" x14ac:dyDescent="0.2">
      <c r="A343" s="260"/>
      <c r="B343" s="261"/>
      <c r="C343" s="282"/>
      <c r="D343" s="322" t="s">
        <v>368</v>
      </c>
      <c r="E343" s="262"/>
      <c r="F343" s="662"/>
      <c r="G343" s="262"/>
      <c r="H343" s="538"/>
    </row>
    <row r="344" spans="1:9" s="422" customFormat="1" ht="12.75" hidden="1" customHeight="1" x14ac:dyDescent="0.2">
      <c r="A344" s="260"/>
      <c r="B344" s="261"/>
      <c r="C344" s="282"/>
      <c r="D344" s="322" t="s">
        <v>323</v>
      </c>
      <c r="E344" s="262"/>
      <c r="F344" s="662"/>
      <c r="G344" s="262"/>
      <c r="H344" s="538"/>
    </row>
    <row r="345" spans="1:9" s="422" customFormat="1" ht="12.75" hidden="1" customHeight="1" x14ac:dyDescent="0.2">
      <c r="A345" s="260"/>
      <c r="B345" s="261"/>
      <c r="C345" s="282"/>
      <c r="D345" s="322" t="s">
        <v>427</v>
      </c>
      <c r="E345" s="262"/>
      <c r="F345" s="662"/>
      <c r="G345" s="262"/>
      <c r="H345" s="538"/>
      <c r="I345" s="606"/>
    </row>
    <row r="346" spans="1:9" s="422" customFormat="1" ht="12.75" hidden="1" customHeight="1" x14ac:dyDescent="0.2">
      <c r="A346" s="260"/>
      <c r="B346" s="261"/>
      <c r="C346" s="282"/>
      <c r="D346" s="322" t="s">
        <v>408</v>
      </c>
      <c r="E346" s="262"/>
      <c r="F346" s="662"/>
      <c r="G346" s="262"/>
      <c r="H346" s="538"/>
    </row>
    <row r="347" spans="1:9" s="422" customFormat="1" ht="12.75" customHeight="1" x14ac:dyDescent="0.2">
      <c r="A347" s="256">
        <f>A337+1</f>
        <v>37</v>
      </c>
      <c r="B347" s="257">
        <v>4031</v>
      </c>
      <c r="C347" s="406" t="s">
        <v>417</v>
      </c>
      <c r="D347" s="430" t="str">
        <f>$D$5</f>
        <v>FTE FINAL 22</v>
      </c>
      <c r="E347" s="259">
        <f>'4031'!I$128</f>
        <v>23440.18</v>
      </c>
      <c r="F347" s="663"/>
      <c r="G347" s="259">
        <f>SUBTOTAL(109,E347:F356)</f>
        <v>23440.18</v>
      </c>
      <c r="H347" s="538"/>
    </row>
    <row r="348" spans="1:9" s="422" customFormat="1" ht="12.75" hidden="1" customHeight="1" x14ac:dyDescent="0.2">
      <c r="A348" s="256"/>
      <c r="B348" s="257"/>
      <c r="C348" s="281"/>
      <c r="D348" s="321" t="s">
        <v>355</v>
      </c>
      <c r="E348" s="259"/>
      <c r="F348" s="663"/>
      <c r="G348" s="259"/>
      <c r="H348" s="538"/>
    </row>
    <row r="349" spans="1:9" s="422" customFormat="1" ht="12.75" hidden="1" customHeight="1" x14ac:dyDescent="0.2">
      <c r="A349" s="256"/>
      <c r="B349" s="257"/>
      <c r="C349" s="281"/>
      <c r="D349" s="678" t="s">
        <v>440</v>
      </c>
      <c r="E349" s="259"/>
      <c r="F349" s="663"/>
      <c r="G349" s="259"/>
      <c r="H349" s="538"/>
      <c r="I349" s="257"/>
    </row>
    <row r="350" spans="1:9" s="422" customFormat="1" ht="12.75" hidden="1" customHeight="1" x14ac:dyDescent="0.2">
      <c r="A350" s="256"/>
      <c r="B350" s="257"/>
      <c r="C350" s="281"/>
      <c r="D350" s="678" t="s">
        <v>439</v>
      </c>
      <c r="E350" s="259"/>
      <c r="F350" s="663"/>
      <c r="G350" s="259"/>
      <c r="H350" s="538"/>
      <c r="I350" s="257"/>
    </row>
    <row r="351" spans="1:9" s="422" customFormat="1" ht="12.75" hidden="1" customHeight="1" x14ac:dyDescent="0.2">
      <c r="A351" s="256"/>
      <c r="B351" s="257"/>
      <c r="C351" s="281"/>
      <c r="D351" s="321" t="s">
        <v>357</v>
      </c>
      <c r="E351" s="259"/>
      <c r="F351" s="663"/>
      <c r="G351" s="259"/>
      <c r="H351" s="538"/>
    </row>
    <row r="352" spans="1:9" s="422" customFormat="1" ht="12.75" hidden="1" customHeight="1" x14ac:dyDescent="0.2">
      <c r="A352" s="256"/>
      <c r="B352" s="257"/>
      <c r="C352" s="281"/>
      <c r="D352" s="321" t="s">
        <v>356</v>
      </c>
      <c r="E352" s="259"/>
      <c r="F352" s="663"/>
      <c r="G352" s="259"/>
      <c r="H352" s="538"/>
    </row>
    <row r="353" spans="1:9" s="422" customFormat="1" ht="12.75" hidden="1" customHeight="1" x14ac:dyDescent="0.2">
      <c r="A353" s="256"/>
      <c r="B353" s="257"/>
      <c r="C353" s="281"/>
      <c r="D353" s="321" t="s">
        <v>368</v>
      </c>
      <c r="E353" s="259"/>
      <c r="F353" s="663"/>
      <c r="G353" s="259"/>
      <c r="H353" s="538"/>
      <c r="I353" s="257"/>
    </row>
    <row r="354" spans="1:9" s="422" customFormat="1" ht="12.75" hidden="1" customHeight="1" x14ac:dyDescent="0.2">
      <c r="A354" s="256"/>
      <c r="B354" s="257"/>
      <c r="C354" s="281"/>
      <c r="D354" s="321" t="s">
        <v>323</v>
      </c>
      <c r="E354" s="259"/>
      <c r="F354" s="663"/>
      <c r="G354" s="259"/>
      <c r="H354" s="538"/>
      <c r="I354" s="603"/>
    </row>
    <row r="355" spans="1:9" s="422" customFormat="1" ht="12.75" hidden="1" customHeight="1" x14ac:dyDescent="0.2">
      <c r="A355" s="256"/>
      <c r="B355" s="257"/>
      <c r="C355" s="281"/>
      <c r="D355" s="321" t="s">
        <v>427</v>
      </c>
      <c r="E355" s="259"/>
      <c r="F355" s="663"/>
      <c r="G355" s="259"/>
      <c r="H355" s="538"/>
      <c r="I355" s="606"/>
    </row>
    <row r="356" spans="1:9" s="422" customFormat="1" ht="12.75" hidden="1" customHeight="1" x14ac:dyDescent="0.2">
      <c r="A356" s="256"/>
      <c r="B356" s="257"/>
      <c r="C356" s="281"/>
      <c r="D356" s="431" t="s">
        <v>408</v>
      </c>
      <c r="E356" s="259"/>
      <c r="F356" s="663"/>
      <c r="G356" s="259"/>
      <c r="H356" s="538"/>
    </row>
    <row r="357" spans="1:9" s="422" customFormat="1" ht="12.75" customHeight="1" x14ac:dyDescent="0.2">
      <c r="A357" s="260">
        <f>A347+1</f>
        <v>38</v>
      </c>
      <c r="B357" s="261">
        <v>4041</v>
      </c>
      <c r="C357" s="282" t="s">
        <v>288</v>
      </c>
      <c r="D357" s="432" t="str">
        <f>$D$5</f>
        <v>FTE FINAL 22</v>
      </c>
      <c r="E357" s="262">
        <f>'4041'!I$128</f>
        <v>-14959.18</v>
      </c>
      <c r="F357" s="662"/>
      <c r="G357" s="262">
        <f>SUBTOTAL(109,E357:F367)</f>
        <v>-14959.18</v>
      </c>
      <c r="H357" s="538"/>
    </row>
    <row r="358" spans="1:9" s="422" customFormat="1" ht="12.75" hidden="1" customHeight="1" x14ac:dyDescent="0.2">
      <c r="A358" s="260"/>
      <c r="B358" s="261"/>
      <c r="C358" s="282"/>
      <c r="D358" s="322" t="s">
        <v>355</v>
      </c>
      <c r="E358" s="262"/>
      <c r="F358" s="662"/>
      <c r="G358" s="262"/>
      <c r="H358" s="538"/>
    </row>
    <row r="359" spans="1:9" s="422" customFormat="1" ht="12.75" hidden="1" customHeight="1" x14ac:dyDescent="0.2">
      <c r="A359" s="260"/>
      <c r="B359" s="261"/>
      <c r="C359" s="282"/>
      <c r="D359" s="735" t="s">
        <v>440</v>
      </c>
      <c r="E359" s="262"/>
      <c r="F359" s="662"/>
      <c r="G359" s="262"/>
      <c r="H359" s="538"/>
      <c r="I359" s="257"/>
    </row>
    <row r="360" spans="1:9" s="422" customFormat="1" ht="12.75" hidden="1" customHeight="1" x14ac:dyDescent="0.2">
      <c r="A360" s="260"/>
      <c r="B360" s="261"/>
      <c r="C360" s="282"/>
      <c r="D360" s="735" t="s">
        <v>439</v>
      </c>
      <c r="E360" s="262"/>
      <c r="F360" s="662"/>
      <c r="G360" s="262"/>
      <c r="H360" s="538"/>
      <c r="I360" s="257"/>
    </row>
    <row r="361" spans="1:9" s="422" customFormat="1" ht="12.75" hidden="1" customHeight="1" x14ac:dyDescent="0.2">
      <c r="A361" s="260"/>
      <c r="B361" s="261"/>
      <c r="C361" s="282"/>
      <c r="D361" s="322" t="s">
        <v>357</v>
      </c>
      <c r="E361" s="262"/>
      <c r="F361" s="662"/>
      <c r="G361" s="262"/>
      <c r="H361" s="538"/>
    </row>
    <row r="362" spans="1:9" s="422" customFormat="1" ht="12.75" hidden="1" customHeight="1" x14ac:dyDescent="0.2">
      <c r="A362" s="260"/>
      <c r="B362" s="261"/>
      <c r="C362" s="282"/>
      <c r="D362" s="322" t="s">
        <v>356</v>
      </c>
      <c r="E362" s="262"/>
      <c r="F362" s="662"/>
      <c r="G362" s="262"/>
      <c r="H362" s="538"/>
    </row>
    <row r="363" spans="1:9" s="422" customFormat="1" ht="12.75" hidden="1" customHeight="1" x14ac:dyDescent="0.2">
      <c r="A363" s="260"/>
      <c r="B363" s="261"/>
      <c r="C363" s="282"/>
      <c r="D363" s="322" t="s">
        <v>368</v>
      </c>
      <c r="E363" s="262"/>
      <c r="F363" s="662"/>
      <c r="G363" s="262"/>
      <c r="H363" s="538"/>
    </row>
    <row r="364" spans="1:9" s="422" customFormat="1" ht="12.75" hidden="1" customHeight="1" x14ac:dyDescent="0.2">
      <c r="A364" s="260"/>
      <c r="B364" s="261"/>
      <c r="C364" s="282"/>
      <c r="D364" s="322" t="s">
        <v>323</v>
      </c>
      <c r="E364" s="262"/>
      <c r="F364" s="662"/>
      <c r="G364" s="262"/>
      <c r="H364" s="538"/>
    </row>
    <row r="365" spans="1:9" s="422" customFormat="1" ht="12.75" hidden="1" customHeight="1" x14ac:dyDescent="0.2">
      <c r="A365" s="260"/>
      <c r="B365" s="261"/>
      <c r="C365" s="282"/>
      <c r="D365" s="322" t="s">
        <v>369</v>
      </c>
      <c r="E365" s="262"/>
      <c r="F365" s="662"/>
      <c r="G365" s="262"/>
      <c r="H365" s="538"/>
    </row>
    <row r="366" spans="1:9" s="422" customFormat="1" ht="12.75" hidden="1" customHeight="1" x14ac:dyDescent="0.2">
      <c r="A366" s="260"/>
      <c r="B366" s="261"/>
      <c r="C366" s="282"/>
      <c r="D366" s="322" t="s">
        <v>427</v>
      </c>
      <c r="E366" s="262"/>
      <c r="F366" s="662"/>
      <c r="G366" s="262"/>
      <c r="H366" s="538"/>
      <c r="I366" s="606"/>
    </row>
    <row r="367" spans="1:9" s="422" customFormat="1" ht="12.75" hidden="1" customHeight="1" x14ac:dyDescent="0.2">
      <c r="A367" s="260"/>
      <c r="B367" s="261"/>
      <c r="C367" s="282"/>
      <c r="D367" s="322" t="s">
        <v>408</v>
      </c>
      <c r="E367" s="262"/>
      <c r="F367" s="662"/>
      <c r="G367" s="262"/>
      <c r="H367" s="538"/>
    </row>
    <row r="368" spans="1:9" s="422" customFormat="1" ht="12.75" customHeight="1" x14ac:dyDescent="0.2">
      <c r="A368" s="256">
        <f>A357+1</f>
        <v>39</v>
      </c>
      <c r="B368" s="408">
        <v>4050</v>
      </c>
      <c r="C368" s="409" t="s">
        <v>279</v>
      </c>
      <c r="D368" s="430" t="str">
        <f>$D$5</f>
        <v>FTE FINAL 22</v>
      </c>
      <c r="E368" s="259">
        <f>'4050'!I$128</f>
        <v>-461.11</v>
      </c>
      <c r="F368" s="663"/>
      <c r="G368" s="259">
        <f>SUBTOTAL(109,E368:F374)</f>
        <v>-461.11</v>
      </c>
      <c r="H368" s="538"/>
    </row>
    <row r="369" spans="1:9" s="422" customFormat="1" ht="12.75" hidden="1" customHeight="1" x14ac:dyDescent="0.2">
      <c r="A369" s="256"/>
      <c r="B369" s="408"/>
      <c r="C369" s="409"/>
      <c r="D369" s="321" t="s">
        <v>355</v>
      </c>
      <c r="E369" s="259"/>
      <c r="F369" s="663"/>
      <c r="G369" s="259"/>
      <c r="H369" s="538"/>
    </row>
    <row r="370" spans="1:9" s="422" customFormat="1" ht="12.75" hidden="1" customHeight="1" x14ac:dyDescent="0.2">
      <c r="A370" s="256"/>
      <c r="B370" s="408"/>
      <c r="C370" s="409"/>
      <c r="D370" s="321" t="s">
        <v>357</v>
      </c>
      <c r="E370" s="259"/>
      <c r="F370" s="663"/>
      <c r="G370" s="259"/>
      <c r="H370" s="538"/>
    </row>
    <row r="371" spans="1:9" s="422" customFormat="1" ht="12.75" hidden="1" customHeight="1" x14ac:dyDescent="0.2">
      <c r="A371" s="256"/>
      <c r="B371" s="257"/>
      <c r="C371" s="281"/>
      <c r="D371" s="321" t="s">
        <v>356</v>
      </c>
      <c r="E371" s="259"/>
      <c r="F371" s="663"/>
      <c r="G371" s="259"/>
      <c r="H371" s="538"/>
    </row>
    <row r="372" spans="1:9" s="422" customFormat="1" ht="12.75" hidden="1" customHeight="1" x14ac:dyDescent="0.2">
      <c r="A372" s="256"/>
      <c r="B372" s="257"/>
      <c r="C372" s="281"/>
      <c r="D372" s="321" t="s">
        <v>368</v>
      </c>
      <c r="E372" s="259"/>
      <c r="F372" s="663"/>
      <c r="G372" s="259"/>
      <c r="H372" s="538"/>
      <c r="I372" s="423"/>
    </row>
    <row r="373" spans="1:9" s="422" customFormat="1" ht="12.75" hidden="1" customHeight="1" x14ac:dyDescent="0.2">
      <c r="A373" s="256"/>
      <c r="B373" s="257"/>
      <c r="C373" s="281"/>
      <c r="D373" s="321" t="s">
        <v>323</v>
      </c>
      <c r="E373" s="259"/>
      <c r="F373" s="663"/>
      <c r="G373" s="259"/>
      <c r="H373" s="538"/>
      <c r="I373" s="603"/>
    </row>
    <row r="374" spans="1:9" s="422" customFormat="1" ht="12.75" hidden="1" customHeight="1" x14ac:dyDescent="0.2">
      <c r="A374" s="256"/>
      <c r="B374" s="257"/>
      <c r="C374" s="281"/>
      <c r="D374" s="431" t="s">
        <v>408</v>
      </c>
      <c r="E374" s="259"/>
      <c r="F374" s="663"/>
      <c r="G374" s="259"/>
      <c r="H374" s="538"/>
    </row>
    <row r="375" spans="1:9" s="422" customFormat="1" ht="12.75" customHeight="1" x14ac:dyDescent="0.2">
      <c r="A375" s="260">
        <f>A368+1</f>
        <v>40</v>
      </c>
      <c r="B375" s="261">
        <v>4051</v>
      </c>
      <c r="C375" s="282" t="s">
        <v>277</v>
      </c>
      <c r="D375" s="432" t="str">
        <f>$D$5</f>
        <v>FTE FINAL 22</v>
      </c>
      <c r="E375" s="262">
        <f>'4051'!I$128</f>
        <v>12245.36</v>
      </c>
      <c r="F375" s="662"/>
      <c r="G375" s="262">
        <f>SUBTOTAL(109,E375:F383)</f>
        <v>12245.36</v>
      </c>
      <c r="H375" s="538"/>
    </row>
    <row r="376" spans="1:9" s="422" customFormat="1" ht="12.75" hidden="1" customHeight="1" x14ac:dyDescent="0.2">
      <c r="A376" s="260"/>
      <c r="B376" s="261"/>
      <c r="C376" s="282"/>
      <c r="D376" s="322" t="s">
        <v>355</v>
      </c>
      <c r="E376" s="262"/>
      <c r="F376" s="662"/>
      <c r="G376" s="262"/>
      <c r="H376" s="538"/>
    </row>
    <row r="377" spans="1:9" s="422" customFormat="1" ht="12.75" hidden="1" customHeight="1" x14ac:dyDescent="0.2">
      <c r="A377" s="260"/>
      <c r="B377" s="261"/>
      <c r="C377" s="282"/>
      <c r="D377" s="322" t="s">
        <v>357</v>
      </c>
      <c r="E377" s="262"/>
      <c r="F377" s="662"/>
      <c r="G377" s="262"/>
      <c r="H377" s="538"/>
    </row>
    <row r="378" spans="1:9" s="422" customFormat="1" ht="12.75" hidden="1" customHeight="1" x14ac:dyDescent="0.2">
      <c r="A378" s="260"/>
      <c r="B378" s="261"/>
      <c r="C378" s="282"/>
      <c r="D378" s="322" t="s">
        <v>356</v>
      </c>
      <c r="E378" s="262"/>
      <c r="F378" s="662"/>
      <c r="G378" s="262"/>
      <c r="H378" s="538"/>
    </row>
    <row r="379" spans="1:9" s="422" customFormat="1" ht="12.75" hidden="1" customHeight="1" x14ac:dyDescent="0.2">
      <c r="A379" s="260"/>
      <c r="B379" s="261"/>
      <c r="C379" s="282"/>
      <c r="D379" s="322" t="s">
        <v>368</v>
      </c>
      <c r="E379" s="262"/>
      <c r="F379" s="662"/>
      <c r="G379" s="262"/>
      <c r="H379" s="538"/>
    </row>
    <row r="380" spans="1:9" s="422" customFormat="1" ht="12.75" hidden="1" customHeight="1" x14ac:dyDescent="0.2">
      <c r="A380" s="260"/>
      <c r="B380" s="261"/>
      <c r="C380" s="282"/>
      <c r="D380" s="322" t="s">
        <v>323</v>
      </c>
      <c r="E380" s="262"/>
      <c r="F380" s="662"/>
      <c r="G380" s="262"/>
      <c r="H380" s="538"/>
    </row>
    <row r="381" spans="1:9" s="422" customFormat="1" ht="12.75" hidden="1" customHeight="1" x14ac:dyDescent="0.2">
      <c r="A381" s="260"/>
      <c r="B381" s="261"/>
      <c r="C381" s="282"/>
      <c r="D381" s="322" t="s">
        <v>369</v>
      </c>
      <c r="E381" s="262"/>
      <c r="F381" s="662"/>
      <c r="G381" s="262"/>
      <c r="H381" s="538"/>
    </row>
    <row r="382" spans="1:9" s="422" customFormat="1" ht="12.75" hidden="1" customHeight="1" x14ac:dyDescent="0.2">
      <c r="A382" s="260"/>
      <c r="B382" s="261"/>
      <c r="C382" s="282"/>
      <c r="D382" s="322" t="s">
        <v>426</v>
      </c>
      <c r="E382" s="262"/>
      <c r="F382" s="662"/>
      <c r="G382" s="262"/>
      <c r="H382" s="538"/>
      <c r="I382" s="606"/>
    </row>
    <row r="383" spans="1:9" s="422" customFormat="1" ht="12.75" hidden="1" customHeight="1" x14ac:dyDescent="0.2">
      <c r="A383" s="260"/>
      <c r="B383" s="261"/>
      <c r="C383" s="282"/>
      <c r="D383" s="322" t="s">
        <v>423</v>
      </c>
      <c r="E383" s="262"/>
      <c r="F383" s="662"/>
      <c r="G383" s="262"/>
      <c r="H383" s="538"/>
    </row>
    <row r="384" spans="1:9" s="422" customFormat="1" ht="12.75" customHeight="1" x14ac:dyDescent="0.2">
      <c r="A384" s="256">
        <f>A375+1</f>
        <v>41</v>
      </c>
      <c r="B384" s="408">
        <v>4061</v>
      </c>
      <c r="C384" s="410" t="s">
        <v>412</v>
      </c>
      <c r="D384" s="430" t="str">
        <f>$D$5</f>
        <v>FTE FINAL 22</v>
      </c>
      <c r="E384" s="259">
        <f>'4061'!I$128</f>
        <v>-1888.49</v>
      </c>
      <c r="F384" s="663"/>
      <c r="G384" s="259">
        <f>SUBTOTAL(109,E384:F392)</f>
        <v>-1888.49</v>
      </c>
      <c r="H384" s="538"/>
    </row>
    <row r="385" spans="1:12" s="422" customFormat="1" ht="12.75" hidden="1" customHeight="1" x14ac:dyDescent="0.2">
      <c r="A385" s="256"/>
      <c r="B385" s="408"/>
      <c r="C385" s="409"/>
      <c r="D385" s="321" t="s">
        <v>355</v>
      </c>
      <c r="E385" s="259"/>
      <c r="F385" s="663"/>
      <c r="G385" s="259"/>
      <c r="H385" s="538"/>
    </row>
    <row r="386" spans="1:12" s="422" customFormat="1" ht="12.75" hidden="1" customHeight="1" x14ac:dyDescent="0.2">
      <c r="A386" s="256"/>
      <c r="B386" s="257"/>
      <c r="C386" s="281"/>
      <c r="D386" s="678" t="s">
        <v>439</v>
      </c>
      <c r="E386" s="259"/>
      <c r="F386" s="663"/>
      <c r="G386" s="259"/>
      <c r="H386" s="538"/>
      <c r="I386" s="257"/>
    </row>
    <row r="387" spans="1:12" s="422" customFormat="1" ht="12.75" hidden="1" customHeight="1" x14ac:dyDescent="0.2">
      <c r="A387" s="256"/>
      <c r="B387" s="408"/>
      <c r="C387" s="409"/>
      <c r="D387" s="321" t="s">
        <v>355</v>
      </c>
      <c r="E387" s="259"/>
      <c r="F387" s="663"/>
      <c r="G387" s="259"/>
      <c r="H387" s="538"/>
    </row>
    <row r="388" spans="1:12" s="422" customFormat="1" ht="12.75" hidden="1" customHeight="1" x14ac:dyDescent="0.2">
      <c r="A388" s="256"/>
      <c r="B388" s="408"/>
      <c r="C388" s="409"/>
      <c r="D388" s="321" t="s">
        <v>357</v>
      </c>
      <c r="E388" s="259"/>
      <c r="F388" s="663"/>
      <c r="G388" s="259"/>
      <c r="H388" s="538"/>
    </row>
    <row r="389" spans="1:12" s="422" customFormat="1" ht="12.75" hidden="1" customHeight="1" x14ac:dyDescent="0.2">
      <c r="A389" s="256"/>
      <c r="B389" s="257"/>
      <c r="C389" s="281"/>
      <c r="D389" s="321" t="s">
        <v>356</v>
      </c>
      <c r="E389" s="259"/>
      <c r="F389" s="663"/>
      <c r="G389" s="259"/>
      <c r="H389" s="538"/>
      <c r="I389" s="257"/>
    </row>
    <row r="390" spans="1:12" s="422" customFormat="1" ht="12.75" hidden="1" customHeight="1" x14ac:dyDescent="0.2">
      <c r="A390" s="256"/>
      <c r="B390" s="257"/>
      <c r="C390" s="281"/>
      <c r="D390" s="321" t="s">
        <v>368</v>
      </c>
      <c r="E390" s="259"/>
      <c r="F390" s="663"/>
      <c r="G390" s="259"/>
      <c r="H390" s="538"/>
    </row>
    <row r="391" spans="1:12" s="422" customFormat="1" ht="12.75" hidden="1" customHeight="1" x14ac:dyDescent="0.2">
      <c r="A391" s="256"/>
      <c r="B391" s="257"/>
      <c r="C391" s="281"/>
      <c r="D391" s="321" t="s">
        <v>323</v>
      </c>
      <c r="E391" s="259"/>
      <c r="F391" s="663"/>
      <c r="G391" s="259"/>
      <c r="H391" s="538"/>
      <c r="I391" s="603"/>
    </row>
    <row r="392" spans="1:12" s="422" customFormat="1" ht="12.75" hidden="1" customHeight="1" x14ac:dyDescent="0.2">
      <c r="A392" s="256"/>
      <c r="B392" s="257"/>
      <c r="C392" s="281"/>
      <c r="D392" s="431" t="s">
        <v>408</v>
      </c>
      <c r="E392" s="259"/>
      <c r="F392" s="663"/>
      <c r="G392" s="259"/>
      <c r="H392" s="538"/>
      <c r="I392" s="603"/>
    </row>
    <row r="393" spans="1:12" s="422" customFormat="1" ht="12.75" customHeight="1" x14ac:dyDescent="0.2">
      <c r="A393" s="260">
        <f>A384+1</f>
        <v>42</v>
      </c>
      <c r="B393" s="261">
        <v>4080</v>
      </c>
      <c r="C393" s="282" t="s">
        <v>304</v>
      </c>
      <c r="D393" s="432" t="str">
        <f>$D$5</f>
        <v>FTE FINAL 22</v>
      </c>
      <c r="E393" s="262">
        <f>'4080'!I$128</f>
        <v>4132.42</v>
      </c>
      <c r="F393" s="662"/>
      <c r="G393" s="262">
        <f>SUBTOTAL(109,E393:F399)</f>
        <v>4132.42</v>
      </c>
      <c r="H393" s="538"/>
    </row>
    <row r="394" spans="1:12" s="422" customFormat="1" ht="12.75" hidden="1" customHeight="1" x14ac:dyDescent="0.2">
      <c r="A394" s="260"/>
      <c r="B394" s="261"/>
      <c r="C394" s="282"/>
      <c r="D394" s="322" t="s">
        <v>355</v>
      </c>
      <c r="E394" s="262"/>
      <c r="F394" s="662"/>
      <c r="G394" s="262"/>
      <c r="H394" s="538"/>
    </row>
    <row r="395" spans="1:12" s="422" customFormat="1" ht="12.75" hidden="1" customHeight="1" x14ac:dyDescent="0.2">
      <c r="A395" s="260"/>
      <c r="B395" s="261"/>
      <c r="C395" s="282"/>
      <c r="D395" s="322" t="s">
        <v>357</v>
      </c>
      <c r="E395" s="262"/>
      <c r="F395" s="662"/>
      <c r="G395" s="262"/>
      <c r="H395" s="538"/>
    </row>
    <row r="396" spans="1:12" s="422" customFormat="1" ht="12.75" hidden="1" customHeight="1" x14ac:dyDescent="0.2">
      <c r="A396" s="260"/>
      <c r="B396" s="261"/>
      <c r="C396" s="282"/>
      <c r="D396" s="322" t="s">
        <v>356</v>
      </c>
      <c r="E396" s="262"/>
      <c r="F396" s="662"/>
      <c r="G396" s="262"/>
      <c r="H396" s="538"/>
    </row>
    <row r="397" spans="1:12" s="422" customFormat="1" ht="12.75" hidden="1" customHeight="1" x14ac:dyDescent="0.2">
      <c r="A397" s="260"/>
      <c r="B397" s="261"/>
      <c r="C397" s="282"/>
      <c r="D397" s="322" t="s">
        <v>368</v>
      </c>
      <c r="E397" s="262"/>
      <c r="F397" s="662"/>
      <c r="G397" s="262"/>
      <c r="H397" s="538"/>
    </row>
    <row r="398" spans="1:12" s="422" customFormat="1" ht="12.75" hidden="1" customHeight="1" x14ac:dyDescent="0.2">
      <c r="A398" s="260"/>
      <c r="B398" s="261"/>
      <c r="C398" s="282"/>
      <c r="D398" s="322" t="s">
        <v>323</v>
      </c>
      <c r="E398" s="262"/>
      <c r="F398" s="662"/>
      <c r="G398" s="262"/>
      <c r="H398" s="538"/>
    </row>
    <row r="399" spans="1:12" s="422" customFormat="1" ht="12.75" hidden="1" customHeight="1" x14ac:dyDescent="0.2">
      <c r="A399" s="260"/>
      <c r="B399" s="261"/>
      <c r="C399" s="282"/>
      <c r="D399" s="322" t="s">
        <v>408</v>
      </c>
      <c r="E399" s="262"/>
      <c r="F399" s="662"/>
      <c r="G399" s="262"/>
      <c r="H399" s="538"/>
    </row>
    <row r="400" spans="1:12" s="422" customFormat="1" ht="12.75" customHeight="1" x14ac:dyDescent="0.2">
      <c r="A400" s="256">
        <f>1+A393</f>
        <v>43</v>
      </c>
      <c r="B400" s="408">
        <v>4081</v>
      </c>
      <c r="C400" s="410" t="s">
        <v>300</v>
      </c>
      <c r="D400" s="430" t="str">
        <f>$D$5</f>
        <v>FTE FINAL 22</v>
      </c>
      <c r="E400" s="259">
        <f>'4081'!I$128</f>
        <v>1369.56</v>
      </c>
      <c r="F400" s="663"/>
      <c r="G400" s="259">
        <f>SUBTOTAL(109,E400:F408)</f>
        <v>1369.56</v>
      </c>
      <c r="H400" s="538"/>
      <c r="L400" s="604"/>
    </row>
    <row r="401" spans="1:12" s="422" customFormat="1" ht="12.75" hidden="1" customHeight="1" x14ac:dyDescent="0.2">
      <c r="A401" s="256"/>
      <c r="B401" s="408"/>
      <c r="C401" s="410"/>
      <c r="D401" s="321" t="s">
        <v>355</v>
      </c>
      <c r="E401" s="259"/>
      <c r="F401" s="663"/>
      <c r="G401" s="259"/>
      <c r="H401" s="538"/>
    </row>
    <row r="402" spans="1:12" s="422" customFormat="1" ht="12.75" hidden="1" customHeight="1" x14ac:dyDescent="0.2">
      <c r="A402" s="256"/>
      <c r="B402" s="257"/>
      <c r="C402" s="281"/>
      <c r="D402" s="678" t="s">
        <v>440</v>
      </c>
      <c r="E402" s="259"/>
      <c r="F402" s="663"/>
      <c r="G402" s="259"/>
      <c r="H402" s="538"/>
      <c r="I402" s="257"/>
    </row>
    <row r="403" spans="1:12" s="422" customFormat="1" ht="12.75" hidden="1" customHeight="1" x14ac:dyDescent="0.2">
      <c r="A403" s="256"/>
      <c r="B403" s="408"/>
      <c r="C403" s="410"/>
      <c r="D403" s="321" t="s">
        <v>357</v>
      </c>
      <c r="E403" s="259"/>
      <c r="F403" s="663"/>
      <c r="G403" s="259"/>
      <c r="H403" s="538"/>
    </row>
    <row r="404" spans="1:12" s="422" customFormat="1" ht="12.75" hidden="1" customHeight="1" x14ac:dyDescent="0.2">
      <c r="A404" s="256"/>
      <c r="B404" s="408"/>
      <c r="C404" s="410"/>
      <c r="D404" s="321" t="s">
        <v>356</v>
      </c>
      <c r="E404" s="259"/>
      <c r="F404" s="663"/>
      <c r="G404" s="259"/>
      <c r="H404" s="538"/>
    </row>
    <row r="405" spans="1:12" s="422" customFormat="1" ht="12.75" hidden="1" customHeight="1" x14ac:dyDescent="0.2">
      <c r="A405" s="256"/>
      <c r="B405" s="408"/>
      <c r="C405" s="410"/>
      <c r="D405" s="321" t="s">
        <v>368</v>
      </c>
      <c r="E405" s="259"/>
      <c r="F405" s="663"/>
      <c r="G405" s="259"/>
      <c r="H405" s="538"/>
    </row>
    <row r="406" spans="1:12" s="422" customFormat="1" ht="12.75" hidden="1" customHeight="1" x14ac:dyDescent="0.2">
      <c r="A406" s="256"/>
      <c r="B406" s="257"/>
      <c r="C406" s="281"/>
      <c r="D406" s="321" t="s">
        <v>323</v>
      </c>
      <c r="E406" s="259"/>
      <c r="F406" s="663"/>
      <c r="G406" s="259"/>
      <c r="H406" s="538"/>
      <c r="I406" s="603"/>
    </row>
    <row r="407" spans="1:12" s="422" customFormat="1" ht="12.75" hidden="1" customHeight="1" x14ac:dyDescent="0.2">
      <c r="A407" s="256"/>
      <c r="B407" s="257"/>
      <c r="C407" s="281"/>
      <c r="D407" s="321" t="s">
        <v>427</v>
      </c>
      <c r="E407" s="259"/>
      <c r="F407" s="663"/>
      <c r="G407" s="259"/>
      <c r="H407" s="538"/>
      <c r="I407" s="606"/>
    </row>
    <row r="408" spans="1:12" s="422" customFormat="1" ht="12.75" hidden="1" customHeight="1" x14ac:dyDescent="0.2">
      <c r="A408" s="256"/>
      <c r="B408" s="257"/>
      <c r="C408" s="281"/>
      <c r="D408" s="431" t="s">
        <v>408</v>
      </c>
      <c r="E408" s="259"/>
      <c r="F408" s="663"/>
      <c r="G408" s="259"/>
      <c r="H408" s="538"/>
      <c r="I408" s="603"/>
    </row>
    <row r="409" spans="1:12" s="422" customFormat="1" ht="12.75" customHeight="1" x14ac:dyDescent="0.2">
      <c r="A409" s="260">
        <f>1+A400</f>
        <v>44</v>
      </c>
      <c r="B409" s="261">
        <v>4090</v>
      </c>
      <c r="C409" s="282" t="s">
        <v>350</v>
      </c>
      <c r="D409" s="432" t="str">
        <f>$D$5</f>
        <v>FTE FINAL 22</v>
      </c>
      <c r="E409" s="262">
        <f>'4090'!I$128</f>
        <v>-9939.7800000000007</v>
      </c>
      <c r="F409" s="662"/>
      <c r="G409" s="262">
        <f>SUBTOTAL(109,E409:F418)</f>
        <v>-9939.7800000000007</v>
      </c>
      <c r="H409" s="538"/>
      <c r="L409" s="604"/>
    </row>
    <row r="410" spans="1:12" s="422" customFormat="1" ht="12.75" hidden="1" customHeight="1" x14ac:dyDescent="0.2">
      <c r="A410" s="260"/>
      <c r="B410" s="261"/>
      <c r="C410" s="282"/>
      <c r="D410" s="322" t="s">
        <v>355</v>
      </c>
      <c r="E410" s="262"/>
      <c r="F410" s="662"/>
      <c r="G410" s="262"/>
      <c r="H410" s="538"/>
    </row>
    <row r="411" spans="1:12" s="422" customFormat="1" ht="12.75" hidden="1" customHeight="1" x14ac:dyDescent="0.2">
      <c r="A411" s="260"/>
      <c r="B411" s="261"/>
      <c r="C411" s="282"/>
      <c r="D411" s="735" t="s">
        <v>440</v>
      </c>
      <c r="E411" s="262"/>
      <c r="F411" s="662"/>
      <c r="G411" s="262"/>
      <c r="H411" s="538"/>
      <c r="I411" s="257"/>
    </row>
    <row r="412" spans="1:12" s="422" customFormat="1" ht="12.75" hidden="1" customHeight="1" x14ac:dyDescent="0.2">
      <c r="A412" s="260"/>
      <c r="B412" s="261"/>
      <c r="C412" s="282"/>
      <c r="D412" s="735" t="s">
        <v>439</v>
      </c>
      <c r="E412" s="262"/>
      <c r="F412" s="662"/>
      <c r="G412" s="262"/>
      <c r="H412" s="538"/>
      <c r="I412" s="257"/>
    </row>
    <row r="413" spans="1:12" s="422" customFormat="1" ht="12.75" hidden="1" customHeight="1" x14ac:dyDescent="0.2">
      <c r="A413" s="260"/>
      <c r="B413" s="261"/>
      <c r="C413" s="282"/>
      <c r="D413" s="322" t="s">
        <v>357</v>
      </c>
      <c r="E413" s="262"/>
      <c r="F413" s="662"/>
      <c r="G413" s="262"/>
      <c r="H413" s="538"/>
    </row>
    <row r="414" spans="1:12" s="422" customFormat="1" ht="12.75" hidden="1" customHeight="1" x14ac:dyDescent="0.2">
      <c r="A414" s="260"/>
      <c r="B414" s="261"/>
      <c r="C414" s="282"/>
      <c r="D414" s="322" t="s">
        <v>356</v>
      </c>
      <c r="E414" s="262"/>
      <c r="F414" s="662"/>
      <c r="G414" s="262"/>
      <c r="H414" s="538"/>
    </row>
    <row r="415" spans="1:12" s="422" customFormat="1" ht="12.75" hidden="1" customHeight="1" x14ac:dyDescent="0.2">
      <c r="A415" s="260"/>
      <c r="B415" s="261"/>
      <c r="C415" s="282"/>
      <c r="D415" s="322" t="s">
        <v>368</v>
      </c>
      <c r="E415" s="262"/>
      <c r="F415" s="662"/>
      <c r="G415" s="262"/>
      <c r="H415" s="538"/>
    </row>
    <row r="416" spans="1:12" s="422" customFormat="1" ht="12.75" hidden="1" customHeight="1" x14ac:dyDescent="0.2">
      <c r="A416" s="260"/>
      <c r="B416" s="261"/>
      <c r="C416" s="282"/>
      <c r="D416" s="322" t="s">
        <v>323</v>
      </c>
      <c r="E416" s="262"/>
      <c r="F416" s="662"/>
      <c r="G416" s="262"/>
      <c r="H416" s="538"/>
    </row>
    <row r="417" spans="1:13" s="422" customFormat="1" ht="12.75" hidden="1" customHeight="1" x14ac:dyDescent="0.2">
      <c r="A417" s="260"/>
      <c r="B417" s="261"/>
      <c r="C417" s="282"/>
      <c r="D417" s="322" t="s">
        <v>427</v>
      </c>
      <c r="E417" s="262"/>
      <c r="F417" s="662"/>
      <c r="G417" s="262"/>
      <c r="H417" s="538"/>
    </row>
    <row r="418" spans="1:13" s="422" customFormat="1" ht="12.75" hidden="1" customHeight="1" x14ac:dyDescent="0.2">
      <c r="A418" s="260"/>
      <c r="B418" s="261"/>
      <c r="C418" s="282"/>
      <c r="D418" s="322" t="s">
        <v>468</v>
      </c>
      <c r="E418" s="262"/>
      <c r="F418" s="662"/>
      <c r="G418" s="262"/>
      <c r="H418" s="538"/>
    </row>
    <row r="419" spans="1:13" s="422" customFormat="1" ht="12.75" customHeight="1" x14ac:dyDescent="0.2">
      <c r="A419" s="256">
        <f>1+A409</f>
        <v>45</v>
      </c>
      <c r="B419" s="408">
        <v>4091</v>
      </c>
      <c r="C419" s="410" t="s">
        <v>351</v>
      </c>
      <c r="D419" s="430" t="str">
        <f>$D$5</f>
        <v>FTE FINAL 22</v>
      </c>
      <c r="E419" s="259">
        <f>'4091'!I$128</f>
        <v>232.22</v>
      </c>
      <c r="F419" s="663"/>
      <c r="G419" s="259">
        <f>SUBTOTAL(109,E419:F427)</f>
        <v>232.22</v>
      </c>
      <c r="H419" s="538"/>
      <c r="M419" s="604"/>
    </row>
    <row r="420" spans="1:13" s="422" customFormat="1" ht="12.75" hidden="1" customHeight="1" x14ac:dyDescent="0.2">
      <c r="A420" s="256"/>
      <c r="B420" s="408"/>
      <c r="C420" s="410"/>
      <c r="D420" s="321" t="s">
        <v>355</v>
      </c>
      <c r="E420" s="259"/>
      <c r="F420" s="663"/>
      <c r="G420" s="259"/>
      <c r="H420" s="538"/>
    </row>
    <row r="421" spans="1:13" s="422" customFormat="1" ht="12.75" hidden="1" customHeight="1" x14ac:dyDescent="0.2">
      <c r="A421" s="256"/>
      <c r="B421" s="257"/>
      <c r="C421" s="281"/>
      <c r="D421" s="678" t="s">
        <v>440</v>
      </c>
      <c r="E421" s="259"/>
      <c r="F421" s="663"/>
      <c r="G421" s="259"/>
      <c r="H421" s="538"/>
      <c r="I421" s="257"/>
    </row>
    <row r="422" spans="1:13" s="422" customFormat="1" ht="12.75" hidden="1" customHeight="1" x14ac:dyDescent="0.2">
      <c r="A422" s="256"/>
      <c r="B422" s="408"/>
      <c r="C422" s="410"/>
      <c r="D422" s="321" t="s">
        <v>357</v>
      </c>
      <c r="E422" s="259"/>
      <c r="F422" s="663"/>
      <c r="G422" s="259"/>
      <c r="H422" s="538"/>
    </row>
    <row r="423" spans="1:13" s="422" customFormat="1" ht="12.75" hidden="1" customHeight="1" x14ac:dyDescent="0.2">
      <c r="A423" s="256"/>
      <c r="B423" s="408"/>
      <c r="C423" s="410"/>
      <c r="D423" s="321" t="s">
        <v>356</v>
      </c>
      <c r="E423" s="259"/>
      <c r="F423" s="663"/>
      <c r="G423" s="259"/>
      <c r="H423" s="538"/>
    </row>
    <row r="424" spans="1:13" s="422" customFormat="1" ht="12.75" hidden="1" customHeight="1" x14ac:dyDescent="0.2">
      <c r="A424" s="256"/>
      <c r="B424" s="408"/>
      <c r="C424" s="410"/>
      <c r="D424" s="321" t="s">
        <v>368</v>
      </c>
      <c r="E424" s="259"/>
      <c r="F424" s="663"/>
      <c r="G424" s="259"/>
      <c r="H424" s="538"/>
      <c r="I424" s="423"/>
    </row>
    <row r="425" spans="1:13" s="422" customFormat="1" ht="12.75" hidden="1" customHeight="1" x14ac:dyDescent="0.2">
      <c r="A425" s="256"/>
      <c r="B425" s="257"/>
      <c r="C425" s="281"/>
      <c r="D425" s="321" t="s">
        <v>323</v>
      </c>
      <c r="E425" s="259"/>
      <c r="F425" s="663"/>
      <c r="G425" s="259"/>
      <c r="H425" s="538"/>
      <c r="I425" s="603"/>
    </row>
    <row r="426" spans="1:13" s="422" customFormat="1" ht="12.75" hidden="1" customHeight="1" x14ac:dyDescent="0.2">
      <c r="A426" s="256"/>
      <c r="B426" s="257"/>
      <c r="C426" s="281"/>
      <c r="D426" s="321" t="s">
        <v>427</v>
      </c>
      <c r="E426" s="259"/>
      <c r="F426" s="663"/>
      <c r="G426" s="259"/>
      <c r="H426" s="538"/>
      <c r="I426" s="606"/>
    </row>
    <row r="427" spans="1:13" s="422" customFormat="1" ht="12.75" hidden="1" customHeight="1" x14ac:dyDescent="0.2">
      <c r="A427" s="256"/>
      <c r="B427" s="257"/>
      <c r="C427" s="281"/>
      <c r="D427" s="431" t="s">
        <v>408</v>
      </c>
      <c r="E427" s="259"/>
      <c r="F427" s="663"/>
      <c r="G427" s="259"/>
      <c r="H427" s="538"/>
    </row>
    <row r="428" spans="1:13" s="422" customFormat="1" ht="12.75" customHeight="1" x14ac:dyDescent="0.2">
      <c r="A428" s="260">
        <f>1+A419</f>
        <v>46</v>
      </c>
      <c r="B428" s="261">
        <v>4100</v>
      </c>
      <c r="C428" s="282" t="s">
        <v>341</v>
      </c>
      <c r="D428" s="432" t="str">
        <f>$D$5</f>
        <v>FTE FINAL 22</v>
      </c>
      <c r="E428" s="262">
        <f>'4100'!I$128</f>
        <v>-746.56</v>
      </c>
      <c r="F428" s="662"/>
      <c r="G428" s="262">
        <f>SUBTOTAL(109,E428:F436)</f>
        <v>-746.56</v>
      </c>
      <c r="H428" s="538"/>
    </row>
    <row r="429" spans="1:13" s="422" customFormat="1" ht="12.75" hidden="1" customHeight="1" x14ac:dyDescent="0.2">
      <c r="A429" s="260"/>
      <c r="B429" s="261"/>
      <c r="C429" s="282"/>
      <c r="D429" s="322" t="s">
        <v>355</v>
      </c>
      <c r="E429" s="262"/>
      <c r="F429" s="662"/>
      <c r="G429" s="262"/>
      <c r="H429" s="538"/>
    </row>
    <row r="430" spans="1:13" s="422" customFormat="1" ht="12.75" hidden="1" customHeight="1" x14ac:dyDescent="0.2">
      <c r="A430" s="260"/>
      <c r="B430" s="261"/>
      <c r="C430" s="282"/>
      <c r="D430" s="735" t="s">
        <v>440</v>
      </c>
      <c r="E430" s="262"/>
      <c r="F430" s="662"/>
      <c r="G430" s="262"/>
      <c r="H430" s="538"/>
      <c r="I430" s="257"/>
    </row>
    <row r="431" spans="1:13" s="422" customFormat="1" ht="12.75" hidden="1" customHeight="1" x14ac:dyDescent="0.2">
      <c r="A431" s="260"/>
      <c r="B431" s="261"/>
      <c r="C431" s="282"/>
      <c r="D431" s="322" t="s">
        <v>357</v>
      </c>
      <c r="E431" s="262"/>
      <c r="F431" s="662"/>
      <c r="G431" s="262"/>
      <c r="H431" s="538"/>
    </row>
    <row r="432" spans="1:13" s="422" customFormat="1" ht="12.75" hidden="1" customHeight="1" x14ac:dyDescent="0.2">
      <c r="A432" s="260"/>
      <c r="B432" s="261"/>
      <c r="C432" s="282"/>
      <c r="D432" s="322" t="s">
        <v>356</v>
      </c>
      <c r="E432" s="262"/>
      <c r="F432" s="662"/>
      <c r="G432" s="262"/>
      <c r="H432" s="538"/>
    </row>
    <row r="433" spans="1:9" s="422" customFormat="1" ht="12.75" hidden="1" customHeight="1" x14ac:dyDescent="0.2">
      <c r="A433" s="260"/>
      <c r="B433" s="261"/>
      <c r="C433" s="282"/>
      <c r="D433" s="322" t="s">
        <v>368</v>
      </c>
      <c r="E433" s="262"/>
      <c r="F433" s="662"/>
      <c r="G433" s="262"/>
      <c r="H433" s="538"/>
    </row>
    <row r="434" spans="1:9" s="422" customFormat="1" ht="12.75" hidden="1" customHeight="1" x14ac:dyDescent="0.2">
      <c r="A434" s="260"/>
      <c r="B434" s="261"/>
      <c r="C434" s="282"/>
      <c r="D434" s="322" t="s">
        <v>323</v>
      </c>
      <c r="E434" s="262"/>
      <c r="F434" s="662"/>
      <c r="G434" s="262"/>
      <c r="H434" s="538"/>
    </row>
    <row r="435" spans="1:9" s="422" customFormat="1" ht="12.75" hidden="1" customHeight="1" x14ac:dyDescent="0.2">
      <c r="A435" s="260"/>
      <c r="B435" s="261"/>
      <c r="C435" s="282"/>
      <c r="D435" s="322" t="s">
        <v>427</v>
      </c>
      <c r="E435" s="262"/>
      <c r="F435" s="662"/>
      <c r="G435" s="262"/>
      <c r="H435" s="538"/>
    </row>
    <row r="436" spans="1:9" s="422" customFormat="1" ht="12.75" hidden="1" customHeight="1" x14ac:dyDescent="0.2">
      <c r="A436" s="260"/>
      <c r="B436" s="261"/>
      <c r="C436" s="282"/>
      <c r="D436" s="322" t="s">
        <v>408</v>
      </c>
      <c r="E436" s="262"/>
      <c r="F436" s="662"/>
      <c r="G436" s="262"/>
      <c r="H436" s="538"/>
    </row>
    <row r="437" spans="1:9" s="422" customFormat="1" ht="12.75" customHeight="1" x14ac:dyDescent="0.2">
      <c r="A437" s="256">
        <f>1+A428</f>
        <v>47</v>
      </c>
      <c r="B437" s="408">
        <v>4102</v>
      </c>
      <c r="C437" s="410" t="s">
        <v>360</v>
      </c>
      <c r="D437" s="435" t="str">
        <f>$D$5</f>
        <v>FTE FINAL 22</v>
      </c>
      <c r="E437" s="259">
        <f>'4102'!I$128</f>
        <v>12696.58</v>
      </c>
      <c r="F437" s="663"/>
      <c r="G437" s="259">
        <f>SUBTOTAL(109,E437:F444)</f>
        <v>12696.58</v>
      </c>
      <c r="H437" s="538"/>
    </row>
    <row r="438" spans="1:9" s="422" customFormat="1" ht="12.75" hidden="1" customHeight="1" x14ac:dyDescent="0.2">
      <c r="A438" s="256"/>
      <c r="B438" s="408"/>
      <c r="C438" s="410"/>
      <c r="D438" s="321" t="s">
        <v>355</v>
      </c>
      <c r="E438" s="259"/>
      <c r="F438" s="663"/>
      <c r="G438" s="259"/>
      <c r="H438" s="538"/>
    </row>
    <row r="439" spans="1:9" s="422" customFormat="1" ht="12.75" hidden="1" customHeight="1" x14ac:dyDescent="0.2">
      <c r="A439" s="256"/>
      <c r="B439" s="257"/>
      <c r="C439" s="281"/>
      <c r="D439" s="678" t="s">
        <v>439</v>
      </c>
      <c r="E439" s="259"/>
      <c r="F439" s="663"/>
      <c r="G439" s="259"/>
      <c r="H439" s="538"/>
      <c r="I439" s="257"/>
    </row>
    <row r="440" spans="1:9" s="422" customFormat="1" ht="12.75" hidden="1" customHeight="1" x14ac:dyDescent="0.2">
      <c r="A440" s="256"/>
      <c r="B440" s="408"/>
      <c r="C440" s="410"/>
      <c r="D440" s="321" t="s">
        <v>357</v>
      </c>
      <c r="E440" s="259"/>
      <c r="F440" s="663"/>
      <c r="G440" s="259"/>
      <c r="H440" s="538"/>
    </row>
    <row r="441" spans="1:9" s="422" customFormat="1" ht="12.75" hidden="1" customHeight="1" x14ac:dyDescent="0.2">
      <c r="A441" s="256"/>
      <c r="B441" s="408"/>
      <c r="C441" s="410"/>
      <c r="D441" s="321" t="s">
        <v>356</v>
      </c>
      <c r="E441" s="259"/>
      <c r="F441" s="663"/>
      <c r="G441" s="259"/>
      <c r="H441" s="538"/>
    </row>
    <row r="442" spans="1:9" s="422" customFormat="1" ht="12.75" hidden="1" customHeight="1" x14ac:dyDescent="0.2">
      <c r="A442" s="256"/>
      <c r="B442" s="408"/>
      <c r="C442" s="410"/>
      <c r="D442" s="321" t="s">
        <v>368</v>
      </c>
      <c r="E442" s="259"/>
      <c r="F442" s="663"/>
      <c r="G442" s="259"/>
      <c r="H442" s="538"/>
      <c r="I442" s="540"/>
    </row>
    <row r="443" spans="1:9" s="422" customFormat="1" ht="12.75" hidden="1" customHeight="1" x14ac:dyDescent="0.2">
      <c r="A443" s="256"/>
      <c r="B443" s="257"/>
      <c r="C443" s="281"/>
      <c r="D443" s="321" t="s">
        <v>323</v>
      </c>
      <c r="E443" s="259"/>
      <c r="F443" s="663"/>
      <c r="G443" s="259"/>
      <c r="H443" s="538"/>
      <c r="I443" s="603"/>
    </row>
    <row r="444" spans="1:9" s="422" customFormat="1" ht="12.75" hidden="1" customHeight="1" x14ac:dyDescent="0.2">
      <c r="A444" s="256"/>
      <c r="B444" s="257"/>
      <c r="C444" s="281"/>
      <c r="D444" s="431" t="s">
        <v>408</v>
      </c>
      <c r="E444" s="259"/>
      <c r="F444" s="663"/>
      <c r="G444" s="259"/>
      <c r="H444" s="538"/>
      <c r="I444" s="603"/>
    </row>
    <row r="445" spans="1:9" s="422" customFormat="1" ht="12.75" customHeight="1" x14ac:dyDescent="0.2">
      <c r="A445" s="260">
        <f>A437+1</f>
        <v>48</v>
      </c>
      <c r="B445" s="261">
        <v>4103</v>
      </c>
      <c r="C445" s="282" t="s">
        <v>386</v>
      </c>
      <c r="D445" s="432" t="str">
        <f>$D$5</f>
        <v>FTE FINAL 22</v>
      </c>
      <c r="E445" s="262">
        <f>'4103'!I$128</f>
        <v>-6282.21</v>
      </c>
      <c r="F445" s="662"/>
      <c r="G445" s="262">
        <f>SUBTOTAL(109,E445:F454)</f>
        <v>-6282.21</v>
      </c>
      <c r="H445" s="538"/>
    </row>
    <row r="446" spans="1:9" s="422" customFormat="1" ht="12.75" hidden="1" customHeight="1" x14ac:dyDescent="0.2">
      <c r="A446" s="260"/>
      <c r="B446" s="261"/>
      <c r="C446" s="282"/>
      <c r="D446" s="322" t="s">
        <v>355</v>
      </c>
      <c r="E446" s="262"/>
      <c r="F446" s="662"/>
      <c r="G446" s="262"/>
      <c r="H446" s="538"/>
    </row>
    <row r="447" spans="1:9" s="422" customFormat="1" ht="12.75" hidden="1" customHeight="1" x14ac:dyDescent="0.2">
      <c r="A447" s="260"/>
      <c r="B447" s="261"/>
      <c r="C447" s="282"/>
      <c r="D447" s="735" t="s">
        <v>440</v>
      </c>
      <c r="E447" s="262"/>
      <c r="F447" s="662"/>
      <c r="G447" s="262"/>
      <c r="H447" s="538"/>
      <c r="I447" s="257"/>
    </row>
    <row r="448" spans="1:9" s="422" customFormat="1" ht="12.75" hidden="1" customHeight="1" x14ac:dyDescent="0.2">
      <c r="A448" s="260"/>
      <c r="B448" s="261"/>
      <c r="C448" s="282"/>
      <c r="D448" s="735" t="s">
        <v>439</v>
      </c>
      <c r="E448" s="262"/>
      <c r="F448" s="662"/>
      <c r="G448" s="262"/>
      <c r="H448" s="538"/>
      <c r="I448" s="257"/>
    </row>
    <row r="449" spans="1:9" s="422" customFormat="1" ht="12.75" hidden="1" customHeight="1" x14ac:dyDescent="0.2">
      <c r="A449" s="260"/>
      <c r="B449" s="261"/>
      <c r="C449" s="282"/>
      <c r="D449" s="322" t="s">
        <v>357</v>
      </c>
      <c r="E449" s="262"/>
      <c r="F449" s="662"/>
      <c r="G449" s="262"/>
      <c r="H449" s="538"/>
    </row>
    <row r="450" spans="1:9" s="422" customFormat="1" ht="12.75" hidden="1" customHeight="1" x14ac:dyDescent="0.2">
      <c r="A450" s="260"/>
      <c r="B450" s="261"/>
      <c r="C450" s="282"/>
      <c r="D450" s="322" t="s">
        <v>356</v>
      </c>
      <c r="E450" s="262"/>
      <c r="F450" s="662"/>
      <c r="G450" s="262"/>
      <c r="H450" s="538"/>
    </row>
    <row r="451" spans="1:9" s="422" customFormat="1" ht="12.75" hidden="1" customHeight="1" x14ac:dyDescent="0.2">
      <c r="A451" s="260"/>
      <c r="B451" s="261"/>
      <c r="C451" s="282"/>
      <c r="D451" s="322" t="s">
        <v>368</v>
      </c>
      <c r="E451" s="262"/>
      <c r="F451" s="662"/>
      <c r="G451" s="262"/>
      <c r="H451" s="538"/>
    </row>
    <row r="452" spans="1:9" s="422" customFormat="1" ht="12.75" hidden="1" customHeight="1" x14ac:dyDescent="0.2">
      <c r="A452" s="260"/>
      <c r="B452" s="261"/>
      <c r="C452" s="282"/>
      <c r="D452" s="322" t="s">
        <v>323</v>
      </c>
      <c r="E452" s="262"/>
      <c r="F452" s="662"/>
      <c r="G452" s="262"/>
      <c r="H452" s="538"/>
    </row>
    <row r="453" spans="1:9" s="422" customFormat="1" ht="12.75" hidden="1" customHeight="1" x14ac:dyDescent="0.2">
      <c r="A453" s="260"/>
      <c r="B453" s="261"/>
      <c r="C453" s="282"/>
      <c r="D453" s="322" t="s">
        <v>427</v>
      </c>
      <c r="E453" s="262"/>
      <c r="F453" s="662"/>
      <c r="G453" s="262"/>
      <c r="H453" s="538"/>
    </row>
    <row r="454" spans="1:9" s="422" customFormat="1" ht="12.75" hidden="1" customHeight="1" x14ac:dyDescent="0.2">
      <c r="A454" s="260"/>
      <c r="B454" s="261"/>
      <c r="C454" s="282"/>
      <c r="D454" s="322" t="s">
        <v>408</v>
      </c>
      <c r="E454" s="262"/>
      <c r="F454" s="662"/>
      <c r="G454" s="262"/>
      <c r="H454" s="538"/>
    </row>
    <row r="455" spans="1:9" s="422" customFormat="1" ht="12.75" customHeight="1" x14ac:dyDescent="0.2">
      <c r="A455" s="256">
        <f>1+A445</f>
        <v>49</v>
      </c>
      <c r="B455" s="408">
        <v>4111</v>
      </c>
      <c r="C455" s="410" t="s">
        <v>405</v>
      </c>
      <c r="D455" s="435" t="str">
        <f>$D$5</f>
        <v>FTE FINAL 22</v>
      </c>
      <c r="E455" s="259">
        <f>'4111'!I$128</f>
        <v>-9779.1</v>
      </c>
      <c r="F455" s="663"/>
      <c r="G455" s="259">
        <f>SUBTOTAL(109,E455:F463)</f>
        <v>-9779.1</v>
      </c>
      <c r="H455" s="538"/>
    </row>
    <row r="456" spans="1:9" s="422" customFormat="1" ht="12.75" hidden="1" customHeight="1" x14ac:dyDescent="0.2">
      <c r="A456" s="256"/>
      <c r="B456" s="408"/>
      <c r="C456" s="410"/>
      <c r="D456" s="321" t="s">
        <v>355</v>
      </c>
      <c r="E456" s="259"/>
      <c r="F456" s="663"/>
      <c r="G456" s="259"/>
      <c r="H456" s="538"/>
    </row>
    <row r="457" spans="1:9" s="422" customFormat="1" ht="12.75" hidden="1" customHeight="1" x14ac:dyDescent="0.2">
      <c r="A457" s="256"/>
      <c r="B457" s="257"/>
      <c r="C457" s="281"/>
      <c r="D457" s="678" t="s">
        <v>440</v>
      </c>
      <c r="E457" s="259"/>
      <c r="F457" s="663"/>
      <c r="G457" s="259"/>
      <c r="H457" s="538"/>
      <c r="I457" s="257"/>
    </row>
    <row r="458" spans="1:9" s="422" customFormat="1" ht="12.75" hidden="1" customHeight="1" x14ac:dyDescent="0.2">
      <c r="A458" s="256"/>
      <c r="B458" s="408"/>
      <c r="C458" s="410"/>
      <c r="D458" s="321" t="s">
        <v>357</v>
      </c>
      <c r="E458" s="259"/>
      <c r="F458" s="663"/>
      <c r="G458" s="259"/>
      <c r="H458" s="538"/>
    </row>
    <row r="459" spans="1:9" s="422" customFormat="1" ht="12.75" hidden="1" customHeight="1" x14ac:dyDescent="0.2">
      <c r="A459" s="256"/>
      <c r="B459" s="408"/>
      <c r="C459" s="410"/>
      <c r="D459" s="321" t="s">
        <v>356</v>
      </c>
      <c r="E459" s="259"/>
      <c r="F459" s="663"/>
      <c r="G459" s="259"/>
      <c r="H459" s="538"/>
    </row>
    <row r="460" spans="1:9" s="422" customFormat="1" ht="12.75" hidden="1" customHeight="1" x14ac:dyDescent="0.2">
      <c r="A460" s="256"/>
      <c r="B460" s="408"/>
      <c r="C460" s="410"/>
      <c r="D460" s="321" t="s">
        <v>368</v>
      </c>
      <c r="E460" s="259"/>
      <c r="F460" s="663"/>
      <c r="G460" s="259"/>
      <c r="H460" s="538"/>
      <c r="I460" s="540"/>
    </row>
    <row r="461" spans="1:9" s="422" customFormat="1" ht="12.75" hidden="1" customHeight="1" x14ac:dyDescent="0.2">
      <c r="A461" s="256"/>
      <c r="B461" s="257"/>
      <c r="C461" s="281"/>
      <c r="D461" s="321" t="s">
        <v>323</v>
      </c>
      <c r="E461" s="259"/>
      <c r="F461" s="663"/>
      <c r="G461" s="259"/>
      <c r="H461" s="538"/>
      <c r="I461" s="603"/>
    </row>
    <row r="462" spans="1:9" s="422" customFormat="1" ht="12.75" hidden="1" customHeight="1" x14ac:dyDescent="0.2">
      <c r="A462" s="256"/>
      <c r="B462" s="257"/>
      <c r="C462" s="281"/>
      <c r="D462" s="321" t="s">
        <v>427</v>
      </c>
      <c r="E462" s="259"/>
      <c r="F462" s="663"/>
      <c r="G462" s="259"/>
      <c r="H462" s="538"/>
      <c r="I462" s="606"/>
    </row>
    <row r="463" spans="1:9" s="422" customFormat="1" ht="12.75" hidden="1" customHeight="1" x14ac:dyDescent="0.2">
      <c r="A463" s="256"/>
      <c r="B463" s="257"/>
      <c r="C463" s="281"/>
      <c r="D463" s="431" t="s">
        <v>408</v>
      </c>
      <c r="E463" s="259"/>
      <c r="F463" s="663"/>
      <c r="G463" s="259"/>
      <c r="H463" s="538"/>
      <c r="I463" s="603"/>
    </row>
    <row r="464" spans="1:9" s="422" customFormat="1" ht="12.75" hidden="1" customHeight="1" x14ac:dyDescent="0.2">
      <c r="A464" s="740" t="s">
        <v>443</v>
      </c>
      <c r="B464" s="261">
        <v>4000</v>
      </c>
      <c r="C464" s="282" t="s">
        <v>444</v>
      </c>
      <c r="D464" s="432" t="str">
        <f>$D$5</f>
        <v>FTE FINAL 22</v>
      </c>
      <c r="E464" s="262">
        <v>0</v>
      </c>
      <c r="F464" s="662"/>
      <c r="G464" s="262">
        <f>SUBTOTAL(109,E464:F465)</f>
        <v>0</v>
      </c>
      <c r="H464" s="538"/>
    </row>
    <row r="465" spans="1:10" s="422" customFormat="1" ht="12.75" hidden="1" customHeight="1" x14ac:dyDescent="0.2">
      <c r="A465" s="260"/>
      <c r="B465" s="261"/>
      <c r="C465" s="282"/>
      <c r="D465" s="322" t="s">
        <v>355</v>
      </c>
      <c r="E465" s="262"/>
      <c r="F465" s="662"/>
      <c r="G465" s="262"/>
      <c r="H465" s="538"/>
    </row>
    <row r="466" spans="1:10" s="540" customFormat="1" ht="12.75" customHeight="1" x14ac:dyDescent="0.2">
      <c r="A466" s="264"/>
      <c r="B466" s="250"/>
      <c r="C466" s="250"/>
      <c r="D466" s="436"/>
      <c r="E466" s="250"/>
      <c r="F466" s="664"/>
      <c r="G466" s="250"/>
      <c r="H466" s="539"/>
    </row>
    <row r="467" spans="1:10" ht="12.75" customHeight="1" thickBot="1" x14ac:dyDescent="0.25">
      <c r="A467" s="250"/>
      <c r="B467" s="252"/>
      <c r="C467" s="280"/>
      <c r="D467" s="436" t="s">
        <v>240</v>
      </c>
      <c r="E467" s="265">
        <f>SUBTOTAL(109,E5:E466)</f>
        <v>-72506.340000000011</v>
      </c>
      <c r="F467" s="265">
        <f>SUBTOTAL(109,F5:F466)</f>
        <v>0</v>
      </c>
      <c r="G467" s="265">
        <f>ROUND(SUM(G5:G466),2)</f>
        <v>-72506.34</v>
      </c>
    </row>
    <row r="468" spans="1:10" ht="12.75" customHeight="1" thickTop="1" x14ac:dyDescent="0.2">
      <c r="A468" s="251"/>
      <c r="B468" s="252"/>
      <c r="C468" s="280"/>
      <c r="D468" s="250"/>
      <c r="E468" s="250"/>
      <c r="G468" s="418">
        <f>ROUND(G467-E467-F467,2)</f>
        <v>0</v>
      </c>
    </row>
    <row r="469" spans="1:10" ht="12.75" hidden="1" customHeight="1" x14ac:dyDescent="0.2">
      <c r="A469" s="251"/>
      <c r="B469" s="252"/>
      <c r="C469" s="280"/>
      <c r="D469" s="250"/>
      <c r="E469" s="250"/>
    </row>
    <row r="470" spans="1:10" ht="12.75" hidden="1" customHeight="1" x14ac:dyDescent="0.2">
      <c r="A470" s="251"/>
      <c r="B470" s="252"/>
      <c r="C470" s="280"/>
      <c r="D470" s="250"/>
      <c r="E470" s="250"/>
    </row>
    <row r="471" spans="1:10" ht="12.75" hidden="1" customHeight="1" x14ac:dyDescent="0.2">
      <c r="A471" s="251"/>
      <c r="B471" s="252"/>
      <c r="C471" s="280"/>
      <c r="D471" s="250"/>
      <c r="E471" s="250"/>
    </row>
    <row r="472" spans="1:10" ht="12.75" hidden="1" customHeight="1" x14ac:dyDescent="0.2">
      <c r="A472" s="251"/>
      <c r="B472" s="252"/>
      <c r="C472" s="280"/>
      <c r="D472" s="250"/>
      <c r="E472" s="250"/>
    </row>
    <row r="473" spans="1:10" ht="12.75" customHeight="1" x14ac:dyDescent="0.2">
      <c r="A473" s="251"/>
      <c r="B473" s="252"/>
      <c r="C473" s="280"/>
      <c r="D473" s="250"/>
      <c r="E473" s="250"/>
    </row>
    <row r="474" spans="1:10" ht="12.75" customHeight="1" x14ac:dyDescent="0.2">
      <c r="A474" s="420"/>
      <c r="B474" s="252"/>
      <c r="C474" s="381"/>
      <c r="D474" s="420" t="s">
        <v>475</v>
      </c>
      <c r="E474" s="263">
        <f>Consolidated!I128</f>
        <v>-72506.340000000011</v>
      </c>
      <c r="G474" s="418">
        <f t="shared" ref="G474:G479" si="0">E474+F474</f>
        <v>-72506.340000000011</v>
      </c>
      <c r="J474" s="418"/>
    </row>
    <row r="475" spans="1:10" ht="12.75" hidden="1" customHeight="1" x14ac:dyDescent="0.2">
      <c r="D475" s="258" t="s">
        <v>355</v>
      </c>
      <c r="F475" s="404">
        <f t="shared" ref="F475:F493" si="1">SUM(SUMIF(D$5:D$466,D475,F$5:F$466))</f>
        <v>0</v>
      </c>
      <c r="G475" s="418">
        <f t="shared" si="0"/>
        <v>0</v>
      </c>
      <c r="J475" s="418"/>
    </row>
    <row r="476" spans="1:10" ht="12.75" hidden="1" customHeight="1" x14ac:dyDescent="0.2">
      <c r="D476" s="752" t="s">
        <v>469</v>
      </c>
      <c r="F476" s="404">
        <f t="shared" si="1"/>
        <v>0</v>
      </c>
      <c r="G476" s="418">
        <f t="shared" si="0"/>
        <v>0</v>
      </c>
      <c r="J476" s="418"/>
    </row>
    <row r="477" spans="1:10" ht="12.75" hidden="1" customHeight="1" x14ac:dyDescent="0.2">
      <c r="D477" s="258" t="s">
        <v>441</v>
      </c>
      <c r="F477" s="404">
        <f t="shared" si="1"/>
        <v>0</v>
      </c>
      <c r="G477" s="418">
        <f t="shared" si="0"/>
        <v>0</v>
      </c>
      <c r="J477" s="418"/>
    </row>
    <row r="478" spans="1:10" ht="12.75" hidden="1" customHeight="1" x14ac:dyDescent="0.2">
      <c r="D478" s="258" t="s">
        <v>442</v>
      </c>
      <c r="F478" s="404">
        <f t="shared" si="1"/>
        <v>0</v>
      </c>
      <c r="G478" s="418">
        <f t="shared" si="0"/>
        <v>0</v>
      </c>
      <c r="J478" s="418"/>
    </row>
    <row r="479" spans="1:10" ht="12.75" hidden="1" customHeight="1" x14ac:dyDescent="0.2">
      <c r="D479" s="734" t="s">
        <v>439</v>
      </c>
      <c r="F479" s="404">
        <f t="shared" si="1"/>
        <v>0</v>
      </c>
      <c r="G479" s="418">
        <f t="shared" si="0"/>
        <v>0</v>
      </c>
      <c r="J479" s="418"/>
    </row>
    <row r="480" spans="1:10" ht="12.75" hidden="1" customHeight="1" x14ac:dyDescent="0.2">
      <c r="D480" s="258" t="s">
        <v>357</v>
      </c>
      <c r="F480" s="404">
        <f t="shared" si="1"/>
        <v>0</v>
      </c>
      <c r="G480" s="418">
        <f t="shared" ref="G480:G485" si="2">E480+F480</f>
        <v>0</v>
      </c>
    </row>
    <row r="481" spans="1:9" ht="12.75" hidden="1" customHeight="1" x14ac:dyDescent="0.2">
      <c r="D481" s="258" t="s">
        <v>421</v>
      </c>
      <c r="F481" s="404">
        <f t="shared" si="1"/>
        <v>0</v>
      </c>
      <c r="G481" s="418">
        <f t="shared" si="2"/>
        <v>0</v>
      </c>
    </row>
    <row r="482" spans="1:9" ht="12.75" hidden="1" customHeight="1" x14ac:dyDescent="0.2">
      <c r="D482" s="248" t="s">
        <v>368</v>
      </c>
      <c r="F482" s="404">
        <f t="shared" si="1"/>
        <v>0</v>
      </c>
      <c r="G482" s="418">
        <f t="shared" si="2"/>
        <v>0</v>
      </c>
    </row>
    <row r="483" spans="1:9" s="422" customFormat="1" ht="12.75" hidden="1" customHeight="1" x14ac:dyDescent="0.2">
      <c r="A483" s="256"/>
      <c r="B483" s="257"/>
      <c r="C483" s="281"/>
      <c r="D483" s="258" t="s">
        <v>323</v>
      </c>
      <c r="E483" s="259"/>
      <c r="F483" s="404">
        <f t="shared" si="1"/>
        <v>0</v>
      </c>
      <c r="G483" s="418">
        <f t="shared" si="2"/>
        <v>0</v>
      </c>
      <c r="H483" s="538"/>
      <c r="I483" s="603"/>
    </row>
    <row r="484" spans="1:9" ht="12.75" hidden="1" customHeight="1" x14ac:dyDescent="0.2">
      <c r="D484" s="596" t="s">
        <v>371</v>
      </c>
      <c r="F484" s="404">
        <f t="shared" si="1"/>
        <v>0</v>
      </c>
      <c r="G484" s="418">
        <f t="shared" si="2"/>
        <v>0</v>
      </c>
    </row>
    <row r="485" spans="1:9" ht="12.75" hidden="1" customHeight="1" x14ac:dyDescent="0.2">
      <c r="D485" s="596" t="s">
        <v>362</v>
      </c>
      <c r="F485" s="404">
        <f t="shared" si="1"/>
        <v>0</v>
      </c>
      <c r="G485" s="418">
        <f t="shared" si="2"/>
        <v>0</v>
      </c>
    </row>
    <row r="486" spans="1:9" ht="12.75" hidden="1" customHeight="1" x14ac:dyDescent="0.2">
      <c r="D486" s="248" t="s">
        <v>294</v>
      </c>
      <c r="F486" s="404">
        <f t="shared" si="1"/>
        <v>0</v>
      </c>
      <c r="G486" s="418">
        <f t="shared" ref="G486:G494" si="3">E486+F486</f>
        <v>0</v>
      </c>
    </row>
    <row r="487" spans="1:9" ht="12.75" hidden="1" customHeight="1" x14ac:dyDescent="0.2">
      <c r="D487" s="248" t="s">
        <v>295</v>
      </c>
      <c r="F487" s="404">
        <f t="shared" si="1"/>
        <v>0</v>
      </c>
      <c r="G487" s="418">
        <f t="shared" si="3"/>
        <v>0</v>
      </c>
    </row>
    <row r="488" spans="1:9" ht="12.75" hidden="1" customHeight="1" x14ac:dyDescent="0.2">
      <c r="D488" s="248" t="s">
        <v>296</v>
      </c>
      <c r="F488" s="404">
        <f t="shared" si="1"/>
        <v>0</v>
      </c>
      <c r="G488" s="418">
        <f t="shared" si="3"/>
        <v>0</v>
      </c>
    </row>
    <row r="489" spans="1:9" ht="12.75" hidden="1" customHeight="1" x14ac:dyDescent="0.2">
      <c r="D489" s="248" t="s">
        <v>401</v>
      </c>
      <c r="F489" s="404">
        <f t="shared" si="1"/>
        <v>0</v>
      </c>
      <c r="G489" s="418">
        <f t="shared" si="3"/>
        <v>0</v>
      </c>
    </row>
    <row r="490" spans="1:9" s="422" customFormat="1" ht="12.75" hidden="1" customHeight="1" x14ac:dyDescent="0.2">
      <c r="A490" s="256"/>
      <c r="B490" s="257"/>
      <c r="C490" s="281"/>
      <c r="D490" s="258" t="s">
        <v>369</v>
      </c>
      <c r="E490" s="259"/>
      <c r="F490" s="404">
        <f t="shared" si="1"/>
        <v>0</v>
      </c>
      <c r="G490" s="418">
        <f t="shared" si="3"/>
        <v>0</v>
      </c>
      <c r="H490" s="538"/>
      <c r="I490" s="248"/>
    </row>
    <row r="491" spans="1:9" ht="12.75" hidden="1" customHeight="1" x14ac:dyDescent="0.2">
      <c r="D491" s="597" t="s">
        <v>426</v>
      </c>
      <c r="F491" s="404">
        <f t="shared" si="1"/>
        <v>0</v>
      </c>
      <c r="G491" s="418">
        <f t="shared" si="3"/>
        <v>0</v>
      </c>
    </row>
    <row r="492" spans="1:9" ht="12.75" hidden="1" customHeight="1" x14ac:dyDescent="0.2">
      <c r="D492" s="597" t="s">
        <v>424</v>
      </c>
      <c r="F492" s="404">
        <f t="shared" si="1"/>
        <v>0</v>
      </c>
      <c r="G492" s="418">
        <f t="shared" si="3"/>
        <v>0</v>
      </c>
    </row>
    <row r="493" spans="1:9" ht="12.75" hidden="1" customHeight="1" x14ac:dyDescent="0.2">
      <c r="D493" s="597" t="s">
        <v>427</v>
      </c>
      <c r="F493" s="404">
        <f t="shared" si="1"/>
        <v>0</v>
      </c>
      <c r="G493" s="418">
        <f t="shared" si="3"/>
        <v>0</v>
      </c>
    </row>
    <row r="494" spans="1:9" ht="12.75" hidden="1" customHeight="1" x14ac:dyDescent="0.2">
      <c r="D494" s="258" t="s">
        <v>302</v>
      </c>
      <c r="E494" s="540"/>
      <c r="F494" s="665">
        <f>SUM(SUMIF(D$5:D$466,"*WPB*",F$5:F$466))</f>
        <v>0</v>
      </c>
      <c r="G494" s="418">
        <f t="shared" si="3"/>
        <v>0</v>
      </c>
    </row>
    <row r="495" spans="1:9" ht="12.75" customHeight="1" x14ac:dyDescent="0.2">
      <c r="D495" s="258"/>
      <c r="E495" s="540"/>
      <c r="F495" s="665"/>
      <c r="G495" s="418"/>
    </row>
    <row r="496" spans="1:9" ht="12.75" customHeight="1" thickBot="1" x14ac:dyDescent="0.25">
      <c r="D496" s="439" t="s">
        <v>316</v>
      </c>
      <c r="E496" s="419">
        <f>SUM(E474:E495)</f>
        <v>-72506.340000000011</v>
      </c>
      <c r="F496" s="419">
        <f>SUM(F474:F495)</f>
        <v>0</v>
      </c>
      <c r="G496" s="419">
        <f>SUM(G474:G495)</f>
        <v>-72506.340000000011</v>
      </c>
    </row>
    <row r="497" spans="3:9" ht="12.75" customHeight="1" thickTop="1" x14ac:dyDescent="0.2">
      <c r="E497" s="418">
        <f>E496-E467</f>
        <v>0</v>
      </c>
      <c r="F497" s="418">
        <f>ROUND(F496-F467,2)</f>
        <v>0</v>
      </c>
      <c r="G497" s="418">
        <f>G496-G467</f>
        <v>0</v>
      </c>
    </row>
    <row r="498" spans="3:9" ht="12.75" customHeight="1" thickBot="1" x14ac:dyDescent="0.25">
      <c r="E498" s="418"/>
      <c r="F498" s="418"/>
      <c r="G498" s="418"/>
      <c r="I498" s="551"/>
    </row>
    <row r="499" spans="3:9" ht="12.75" customHeight="1" thickBot="1" x14ac:dyDescent="0.25">
      <c r="C499" s="759" t="s">
        <v>353</v>
      </c>
      <c r="D499" s="760"/>
      <c r="E499" s="760"/>
      <c r="F499" s="761"/>
      <c r="G499" s="551"/>
      <c r="H499" s="551"/>
      <c r="I499" s="423"/>
    </row>
    <row r="500" spans="3:9" ht="12.75" customHeight="1" x14ac:dyDescent="0.2">
      <c r="C500" s="728"/>
      <c r="D500" s="729"/>
      <c r="E500" s="729"/>
      <c r="F500" s="730"/>
      <c r="G500" s="551"/>
      <c r="H500" s="551"/>
      <c r="I500" s="423"/>
    </row>
    <row r="501" spans="3:9" ht="12.75" customHeight="1" x14ac:dyDescent="0.2">
      <c r="C501" s="755" t="s">
        <v>478</v>
      </c>
      <c r="D501" s="738"/>
      <c r="E501" s="738"/>
      <c r="F501" s="739"/>
      <c r="G501" s="551"/>
      <c r="H501" s="551"/>
      <c r="I501" s="423"/>
    </row>
    <row r="502" spans="3:9" ht="12.75" customHeight="1" x14ac:dyDescent="0.2">
      <c r="C502" s="756" t="s">
        <v>476</v>
      </c>
      <c r="D502" s="738"/>
      <c r="E502" s="738"/>
      <c r="F502" s="739"/>
      <c r="G502" s="551"/>
      <c r="H502" s="551"/>
      <c r="I502" s="423"/>
    </row>
    <row r="503" spans="3:9" ht="12.75" customHeight="1" x14ac:dyDescent="0.2">
      <c r="C503" s="757" t="s">
        <v>477</v>
      </c>
      <c r="D503" s="738"/>
      <c r="E503" s="738"/>
      <c r="F503" s="739"/>
      <c r="G503" s="551"/>
      <c r="H503" s="551"/>
      <c r="I503" s="423"/>
    </row>
    <row r="504" spans="3:9" ht="12.75" customHeight="1" thickBot="1" x14ac:dyDescent="0.25">
      <c r="C504" s="731"/>
      <c r="D504" s="732"/>
      <c r="E504" s="732"/>
      <c r="F504" s="733"/>
      <c r="G504" s="391"/>
      <c r="H504" s="391"/>
    </row>
    <row r="515" spans="3:8" ht="12.75" customHeight="1" x14ac:dyDescent="0.2">
      <c r="C515" s="248"/>
      <c r="E515" s="497"/>
      <c r="F515" s="248"/>
      <c r="H515" s="248"/>
    </row>
    <row r="516" spans="3:8" ht="12.75" customHeight="1" x14ac:dyDescent="0.2">
      <c r="C516" s="248"/>
      <c r="E516" s="497"/>
      <c r="F516" s="248"/>
      <c r="H516" s="248"/>
    </row>
  </sheetData>
  <mergeCells count="2">
    <mergeCell ref="F3:G3"/>
    <mergeCell ref="C499:F499"/>
  </mergeCells>
  <conditionalFormatting sqref="A466 A71:A72 A107:A108 A122:A123 A139:A142 A175:A176 A192:A194 A207:A212 A226:A227 A247:A248 A256:A257 A276:A277 A311:A313 A328:A329 A79:A80 A89:A90 A115:A117 A131:A132 A147:A149 A165:A166 A184:A188 A196 A218:A219 A237:A238 A266:A267 A284:A285 A292:A293 A368:A370 A384:A385 A98:A99 A198:A200 A5:A12 A14:A20 A45:A49 A76 A388 A51:A53 A22:A32 A96 A155:A157 A410 A490 A35:A37 A74 A82 A92:A94 A101 A110 A125:A127 A134 A151 A168 A160 A178 A202 A221 A231 A240 A250 A260 A269 A279 A287 A295 A331 A413:A416">
    <cfRule type="cellIs" dxfId="205" priority="298" operator="equal">
      <formula>0</formula>
    </cfRule>
  </conditionalFormatting>
  <conditionalFormatting sqref="A400:A401 A403:A405">
    <cfRule type="cellIs" dxfId="204" priority="294" operator="equal">
      <formula>0</formula>
    </cfRule>
  </conditionalFormatting>
  <conditionalFormatting sqref="H484:H489 H491:H493 H475:H482">
    <cfRule type="cellIs" dxfId="203" priority="292" stopIfTrue="1" operator="notEqual">
      <formula>0</formula>
    </cfRule>
    <cfRule type="cellIs" dxfId="202" priority="293" stopIfTrue="1" operator="equal">
      <formula>0</formula>
    </cfRule>
  </conditionalFormatting>
  <conditionalFormatting sqref="H494:H495">
    <cfRule type="cellIs" dxfId="201" priority="290" stopIfTrue="1" operator="notEqual">
      <formula>0</formula>
    </cfRule>
    <cfRule type="cellIs" dxfId="200" priority="291" stopIfTrue="1" operator="equal">
      <formula>0</formula>
    </cfRule>
  </conditionalFormatting>
  <conditionalFormatting sqref="A38 A41:A43">
    <cfRule type="cellIs" dxfId="199" priority="287" operator="equal">
      <formula>0</formula>
    </cfRule>
  </conditionalFormatting>
  <conditionalFormatting sqref="A54:A55">
    <cfRule type="cellIs" dxfId="198" priority="286" operator="equal">
      <formula>0</formula>
    </cfRule>
  </conditionalFormatting>
  <conditionalFormatting sqref="A152:A153 A118:A119 A83:A84 A102:A103 A135:A136 A86">
    <cfRule type="cellIs" dxfId="197" priority="283" operator="equal">
      <formula>0</formula>
    </cfRule>
  </conditionalFormatting>
  <conditionalFormatting sqref="A242 A222:A223 A203:A204 A191 A169:A170 A270:A271 A174 A275">
    <cfRule type="cellIs" dxfId="196" priority="282" operator="equal">
      <formula>0</formula>
    </cfRule>
  </conditionalFormatting>
  <conditionalFormatting sqref="A333 A314:A315">
    <cfRule type="cellIs" dxfId="195" priority="278" operator="equal">
      <formula>0</formula>
    </cfRule>
  </conditionalFormatting>
  <conditionalFormatting sqref="A371:A372 A296:A297 A288:A289 A389:A390">
    <cfRule type="cellIs" dxfId="194" priority="281" operator="equal">
      <formula>0</formula>
    </cfRule>
  </conditionalFormatting>
  <conditionalFormatting sqref="A179:A180 A161:A162 A130 A111:A112 A75 A143:A144">
    <cfRule type="cellIs" dxfId="193" priority="280" operator="equal">
      <formula>0</formula>
    </cfRule>
  </conditionalFormatting>
  <conditionalFormatting sqref="A280:A281 A261:A262 A251:A252 A195 A213:A214 A232:A233">
    <cfRule type="cellIs" dxfId="192" priority="279" operator="equal">
      <formula>0</formula>
    </cfRule>
  </conditionalFormatting>
  <conditionalFormatting sqref="A374">
    <cfRule type="cellIs" dxfId="191" priority="262" operator="equal">
      <formula>0</formula>
    </cfRule>
  </conditionalFormatting>
  <conditionalFormatting sqref="A437:A438 A440:A442">
    <cfRule type="cellIs" dxfId="190" priority="265" operator="equal">
      <formula>0</formula>
    </cfRule>
  </conditionalFormatting>
  <conditionalFormatting sqref="A283">
    <cfRule type="cellIs" dxfId="189" priority="264" operator="equal">
      <formula>0</formula>
    </cfRule>
  </conditionalFormatting>
  <conditionalFormatting sqref="A300">
    <cfRule type="cellIs" dxfId="188" priority="263" operator="equal">
      <formula>0</formula>
    </cfRule>
  </conditionalFormatting>
  <conditionalFormatting sqref="A114">
    <cfRule type="cellIs" dxfId="187" priority="253" operator="equal">
      <formula>0</formula>
    </cfRule>
  </conditionalFormatting>
  <conditionalFormatting sqref="A65:A66">
    <cfRule type="cellIs" dxfId="186" priority="254" operator="equal">
      <formula>0</formula>
    </cfRule>
  </conditionalFormatting>
  <conditionalFormatting sqref="A419:A420 A422:A424">
    <cfRule type="cellIs" dxfId="185" priority="256" operator="equal">
      <formula>0</formula>
    </cfRule>
  </conditionalFormatting>
  <conditionalFormatting sqref="A59:A60 A62:A64">
    <cfRule type="cellIs" dxfId="184" priority="255" operator="equal">
      <formula>0</formula>
    </cfRule>
  </conditionalFormatting>
  <conditionalFormatting sqref="A291">
    <cfRule type="cellIs" dxfId="183" priority="245" operator="equal">
      <formula>0</formula>
    </cfRule>
  </conditionalFormatting>
  <conditionalFormatting sqref="A183">
    <cfRule type="cellIs" dxfId="182" priority="243" operator="equal">
      <formula>0</formula>
    </cfRule>
  </conditionalFormatting>
  <conditionalFormatting sqref="A246">
    <cfRule type="cellIs" dxfId="181" priority="242" operator="equal">
      <formula>0</formula>
    </cfRule>
  </conditionalFormatting>
  <conditionalFormatting sqref="A88">
    <cfRule type="cellIs" dxfId="180" priority="244" operator="equal">
      <formula>0</formula>
    </cfRule>
  </conditionalFormatting>
  <conditionalFormatting sqref="A97">
    <cfRule type="cellIs" dxfId="179" priority="239" operator="equal">
      <formula>0</formula>
    </cfRule>
  </conditionalFormatting>
  <conditionalFormatting sqref="A56">
    <cfRule type="cellIs" dxfId="178" priority="236" operator="equal">
      <formula>0</formula>
    </cfRule>
  </conditionalFormatting>
  <conditionalFormatting sqref="A255">
    <cfRule type="cellIs" dxfId="177" priority="228" operator="equal">
      <formula>0</formula>
    </cfRule>
  </conditionalFormatting>
  <conditionalFormatting sqref="A146">
    <cfRule type="cellIs" dxfId="176" priority="232" operator="equal">
      <formula>0</formula>
    </cfRule>
  </conditionalFormatting>
  <conditionalFormatting sqref="A244">
    <cfRule type="cellIs" dxfId="175" priority="230" operator="equal">
      <formula>0</formula>
    </cfRule>
  </conditionalFormatting>
  <conditionalFormatting sqref="A427">
    <cfRule type="cellIs" dxfId="174" priority="217" operator="equal">
      <formula>0</formula>
    </cfRule>
  </conditionalFormatting>
  <conditionalFormatting sqref="A336">
    <cfRule type="cellIs" dxfId="173" priority="218" operator="equal">
      <formula>0</formula>
    </cfRule>
  </conditionalFormatting>
  <conditionalFormatting sqref="A44">
    <cfRule type="cellIs" dxfId="172" priority="215" operator="equal">
      <formula>0</formula>
    </cfRule>
  </conditionalFormatting>
  <conditionalFormatting sqref="A21">
    <cfRule type="cellIs" dxfId="171" priority="216" operator="equal">
      <formula>0</formula>
    </cfRule>
  </conditionalFormatting>
  <conditionalFormatting sqref="A58">
    <cfRule type="cellIs" dxfId="170" priority="214" operator="equal">
      <formula>0</formula>
    </cfRule>
  </conditionalFormatting>
  <conditionalFormatting sqref="A95">
    <cfRule type="cellIs" dxfId="169" priority="210" operator="equal">
      <formula>0</formula>
    </cfRule>
  </conditionalFormatting>
  <conditionalFormatting sqref="A70">
    <cfRule type="cellIs" dxfId="168" priority="213" operator="equal">
      <formula>0</formula>
    </cfRule>
  </conditionalFormatting>
  <conditionalFormatting sqref="A78">
    <cfRule type="cellIs" dxfId="167" priority="212" operator="equal">
      <formula>0</formula>
    </cfRule>
  </conditionalFormatting>
  <conditionalFormatting sqref="A113">
    <cfRule type="cellIs" dxfId="166" priority="208" operator="equal">
      <formula>0</formula>
    </cfRule>
  </conditionalFormatting>
  <conditionalFormatting sqref="A106">
    <cfRule type="cellIs" dxfId="165" priority="209" operator="equal">
      <formula>0</formula>
    </cfRule>
  </conditionalFormatting>
  <conditionalFormatting sqref="A85">
    <cfRule type="cellIs" dxfId="164" priority="211" operator="equal">
      <formula>0</formula>
    </cfRule>
  </conditionalFormatting>
  <conditionalFormatting sqref="A137">
    <cfRule type="cellIs" dxfId="163" priority="205" operator="equal">
      <formula>0</formula>
    </cfRule>
  </conditionalFormatting>
  <conditionalFormatting sqref="A154">
    <cfRule type="cellIs" dxfId="162" priority="203" operator="equal">
      <formula>0</formula>
    </cfRule>
  </conditionalFormatting>
  <conditionalFormatting sqref="A121">
    <cfRule type="cellIs" dxfId="161" priority="207" operator="equal">
      <formula>0</formula>
    </cfRule>
  </conditionalFormatting>
  <conditionalFormatting sqref="A128">
    <cfRule type="cellIs" dxfId="160" priority="206" operator="equal">
      <formula>0</formula>
    </cfRule>
  </conditionalFormatting>
  <conditionalFormatting sqref="A181">
    <cfRule type="cellIs" dxfId="159" priority="200" operator="equal">
      <formula>0</formula>
    </cfRule>
  </conditionalFormatting>
  <conditionalFormatting sqref="A145">
    <cfRule type="cellIs" dxfId="158" priority="204" operator="equal">
      <formula>0</formula>
    </cfRule>
  </conditionalFormatting>
  <conditionalFormatting sqref="A197">
    <cfRule type="cellIs" dxfId="157" priority="198" operator="equal">
      <formula>0</formula>
    </cfRule>
  </conditionalFormatting>
  <conditionalFormatting sqref="A171">
    <cfRule type="cellIs" dxfId="156" priority="201" operator="equal">
      <formula>0</formula>
    </cfRule>
  </conditionalFormatting>
  <conditionalFormatting sqref="A164">
    <cfRule type="cellIs" dxfId="155" priority="202" operator="equal">
      <formula>0</formula>
    </cfRule>
  </conditionalFormatting>
  <conditionalFormatting sqref="A225">
    <cfRule type="cellIs" dxfId="154" priority="195" operator="equal">
      <formula>0</formula>
    </cfRule>
  </conditionalFormatting>
  <conditionalFormatting sqref="A189">
    <cfRule type="cellIs" dxfId="153" priority="199" operator="equal">
      <formula>0</formula>
    </cfRule>
  </conditionalFormatting>
  <conditionalFormatting sqref="A206">
    <cfRule type="cellIs" dxfId="152" priority="197" operator="equal">
      <formula>0</formula>
    </cfRule>
  </conditionalFormatting>
  <conditionalFormatting sqref="A217">
    <cfRule type="cellIs" dxfId="151" priority="196" operator="equal">
      <formula>0</formula>
    </cfRule>
  </conditionalFormatting>
  <conditionalFormatting sqref="A236">
    <cfRule type="cellIs" dxfId="150" priority="194" operator="equal">
      <formula>0</formula>
    </cfRule>
  </conditionalFormatting>
  <conditionalFormatting sqref="A243">
    <cfRule type="cellIs" dxfId="149" priority="193" operator="equal">
      <formula>0</formula>
    </cfRule>
  </conditionalFormatting>
  <conditionalFormatting sqref="A253">
    <cfRule type="cellIs" dxfId="148" priority="192" operator="equal">
      <formula>0</formula>
    </cfRule>
  </conditionalFormatting>
  <conditionalFormatting sqref="A265">
    <cfRule type="cellIs" dxfId="147" priority="191" operator="equal">
      <formula>0</formula>
    </cfRule>
  </conditionalFormatting>
  <conditionalFormatting sqref="A272:A273">
    <cfRule type="cellIs" dxfId="146" priority="190" operator="equal">
      <formula>0</formula>
    </cfRule>
  </conditionalFormatting>
  <conditionalFormatting sqref="A282">
    <cfRule type="cellIs" dxfId="145" priority="189" operator="equal">
      <formula>0</formula>
    </cfRule>
  </conditionalFormatting>
  <conditionalFormatting sqref="A290">
    <cfRule type="cellIs" dxfId="144" priority="188" operator="equal">
      <formula>0</formula>
    </cfRule>
  </conditionalFormatting>
  <conditionalFormatting sqref="A483">
    <cfRule type="cellIs" dxfId="143" priority="169" operator="equal">
      <formula>0</formula>
    </cfRule>
  </conditionalFormatting>
  <conditionalFormatting sqref="A298">
    <cfRule type="cellIs" dxfId="142" priority="186" operator="equal">
      <formula>0</formula>
    </cfRule>
  </conditionalFormatting>
  <conditionalFormatting sqref="A318">
    <cfRule type="cellIs" dxfId="141" priority="164" operator="equal">
      <formula>0</formula>
    </cfRule>
  </conditionalFormatting>
  <conditionalFormatting sqref="A316">
    <cfRule type="cellIs" dxfId="140" priority="184" operator="equal">
      <formula>0</formula>
    </cfRule>
  </conditionalFormatting>
  <conditionalFormatting sqref="A425">
    <cfRule type="cellIs" dxfId="139" priority="172" operator="equal">
      <formula>0</formula>
    </cfRule>
  </conditionalFormatting>
  <conditionalFormatting sqref="A334">
    <cfRule type="cellIs" dxfId="138" priority="182" operator="equal">
      <formula>0</formula>
    </cfRule>
  </conditionalFormatting>
  <conditionalFormatting sqref="A408">
    <cfRule type="cellIs" dxfId="137" priority="174" operator="equal">
      <formula>0</formula>
    </cfRule>
  </conditionalFormatting>
  <conditionalFormatting sqref="A373">
    <cfRule type="cellIs" dxfId="136" priority="179" operator="equal">
      <formula>0</formula>
    </cfRule>
  </conditionalFormatting>
  <conditionalFormatting sqref="A444">
    <cfRule type="cellIs" dxfId="135" priority="170" operator="equal">
      <formula>0</formula>
    </cfRule>
  </conditionalFormatting>
  <conditionalFormatting sqref="A392">
    <cfRule type="cellIs" dxfId="134" priority="177" operator="equal">
      <formula>0</formula>
    </cfRule>
  </conditionalFormatting>
  <conditionalFormatting sqref="A347:A348 A351">
    <cfRule type="cellIs" dxfId="133" priority="163" operator="equal">
      <formula>0</formula>
    </cfRule>
  </conditionalFormatting>
  <conditionalFormatting sqref="A354">
    <cfRule type="cellIs" dxfId="132" priority="159" operator="equal">
      <formula>0</formula>
    </cfRule>
  </conditionalFormatting>
  <conditionalFormatting sqref="A352:A353">
    <cfRule type="cellIs" dxfId="131" priority="162" operator="equal">
      <formula>0</formula>
    </cfRule>
  </conditionalFormatting>
  <conditionalFormatting sqref="A356">
    <cfRule type="cellIs" dxfId="130" priority="161" operator="equal">
      <formula>0</formula>
    </cfRule>
  </conditionalFormatting>
  <conditionalFormatting sqref="A455:A456 A458:A460">
    <cfRule type="cellIs" dxfId="129" priority="153" operator="equal">
      <formula>0</formula>
    </cfRule>
  </conditionalFormatting>
  <conditionalFormatting sqref="A461">
    <cfRule type="cellIs" dxfId="128" priority="152" operator="equal">
      <formula>0</formula>
    </cfRule>
  </conditionalFormatting>
  <conditionalFormatting sqref="A87">
    <cfRule type="cellIs" dxfId="127" priority="145" operator="equal">
      <formula>0</formula>
    </cfRule>
  </conditionalFormatting>
  <conditionalFormatting sqref="A104">
    <cfRule type="cellIs" dxfId="126" priority="144" operator="equal">
      <formula>0</formula>
    </cfRule>
  </conditionalFormatting>
  <conditionalFormatting sqref="A391">
    <cfRule type="cellIs" dxfId="125" priority="140" operator="equal">
      <formula>0</formula>
    </cfRule>
  </conditionalFormatting>
  <conditionalFormatting sqref="A138">
    <cfRule type="cellIs" dxfId="124" priority="138" operator="equal">
      <formula>0</formula>
    </cfRule>
  </conditionalFormatting>
  <conditionalFormatting sqref="A13">
    <cfRule type="cellIs" dxfId="123" priority="135" operator="equal">
      <formula>0</formula>
    </cfRule>
  </conditionalFormatting>
  <conditionalFormatting sqref="A68">
    <cfRule type="cellIs" dxfId="122" priority="133" operator="equal">
      <formula>0</formula>
    </cfRule>
  </conditionalFormatting>
  <conditionalFormatting sqref="A57">
    <cfRule type="cellIs" dxfId="121" priority="134" operator="equal">
      <formula>0</formula>
    </cfRule>
  </conditionalFormatting>
  <conditionalFormatting sqref="A163">
    <cfRule type="cellIs" dxfId="120" priority="129" operator="equal">
      <formula>0</formula>
    </cfRule>
  </conditionalFormatting>
  <conditionalFormatting sqref="A67">
    <cfRule type="cellIs" dxfId="119" priority="136" operator="equal">
      <formula>0</formula>
    </cfRule>
  </conditionalFormatting>
  <conditionalFormatting sqref="A205">
    <cfRule type="cellIs" dxfId="118" priority="128" operator="equal">
      <formula>0</formula>
    </cfRule>
  </conditionalFormatting>
  <conditionalFormatting sqref="A120">
    <cfRule type="cellIs" dxfId="117" priority="130" operator="equal">
      <formula>0</formula>
    </cfRule>
  </conditionalFormatting>
  <conditionalFormatting sqref="A105">
    <cfRule type="cellIs" dxfId="116" priority="131" operator="equal">
      <formula>0</formula>
    </cfRule>
  </conditionalFormatting>
  <conditionalFormatting sqref="A224">
    <cfRule type="cellIs" dxfId="115" priority="126" operator="equal">
      <formula>0</formula>
    </cfRule>
  </conditionalFormatting>
  <conditionalFormatting sqref="A234">
    <cfRule type="cellIs" dxfId="114" priority="125" operator="equal">
      <formula>0</formula>
    </cfRule>
  </conditionalFormatting>
  <conditionalFormatting sqref="A77">
    <cfRule type="cellIs" dxfId="113" priority="132" operator="equal">
      <formula>0</formula>
    </cfRule>
  </conditionalFormatting>
  <conditionalFormatting sqref="A215">
    <cfRule type="cellIs" dxfId="112" priority="127" operator="equal">
      <formula>0</formula>
    </cfRule>
  </conditionalFormatting>
  <conditionalFormatting sqref="A317">
    <cfRule type="cellIs" dxfId="111" priority="120" operator="equal">
      <formula>0</formula>
    </cfRule>
  </conditionalFormatting>
  <conditionalFormatting sqref="A254">
    <cfRule type="cellIs" dxfId="110" priority="124" operator="equal">
      <formula>0</formula>
    </cfRule>
  </conditionalFormatting>
  <conditionalFormatting sqref="A263">
    <cfRule type="cellIs" dxfId="109" priority="123" operator="equal">
      <formula>0</formula>
    </cfRule>
  </conditionalFormatting>
  <conditionalFormatting sqref="A443">
    <cfRule type="cellIs" dxfId="108" priority="112" operator="equal">
      <formula>0</formula>
    </cfRule>
  </conditionalFormatting>
  <conditionalFormatting sqref="A387">
    <cfRule type="cellIs" dxfId="107" priority="105" operator="equal">
      <formula>0</formula>
    </cfRule>
  </conditionalFormatting>
  <conditionalFormatting sqref="A241">
    <cfRule type="cellIs" dxfId="106" priority="101" operator="equal">
      <formula>0</formula>
    </cfRule>
  </conditionalFormatting>
  <conditionalFormatting sqref="A406">
    <cfRule type="cellIs" dxfId="105" priority="115" operator="equal">
      <formula>0</formula>
    </cfRule>
  </conditionalFormatting>
  <conditionalFormatting sqref="A332">
    <cfRule type="cellIs" dxfId="104" priority="100" operator="equal">
      <formula>0</formula>
    </cfRule>
  </conditionalFormatting>
  <conditionalFormatting sqref="A337">
    <cfRule type="cellIs" dxfId="103" priority="96" operator="equal">
      <formula>0</formula>
    </cfRule>
  </conditionalFormatting>
  <conditionalFormatting sqref="A463">
    <cfRule type="cellIs" dxfId="102" priority="110" operator="equal">
      <formula>0</formula>
    </cfRule>
  </conditionalFormatting>
  <conditionalFormatting sqref="A357">
    <cfRule type="cellIs" dxfId="101" priority="95" operator="equal">
      <formula>0</formula>
    </cfRule>
  </conditionalFormatting>
  <conditionalFormatting sqref="A428">
    <cfRule type="cellIs" dxfId="100" priority="91" operator="equal">
      <formula>0</formula>
    </cfRule>
  </conditionalFormatting>
  <conditionalFormatting sqref="A358 A367 A361:A365">
    <cfRule type="cellIs" dxfId="99" priority="86" operator="equal">
      <formula>0</formula>
    </cfRule>
  </conditionalFormatting>
  <conditionalFormatting sqref="A445">
    <cfRule type="cellIs" dxfId="98" priority="90" operator="equal">
      <formula>0</formula>
    </cfRule>
  </conditionalFormatting>
  <conditionalFormatting sqref="A376:A381 A383">
    <cfRule type="cellIs" dxfId="97" priority="85" operator="equal">
      <formula>0</formula>
    </cfRule>
  </conditionalFormatting>
  <conditionalFormatting sqref="A301">
    <cfRule type="cellIs" dxfId="96" priority="98" operator="equal">
      <formula>0</formula>
    </cfRule>
  </conditionalFormatting>
  <conditionalFormatting sqref="A319">
    <cfRule type="cellIs" dxfId="95" priority="97" operator="equal">
      <formula>0</formula>
    </cfRule>
  </conditionalFormatting>
  <conditionalFormatting sqref="A375">
    <cfRule type="cellIs" dxfId="94" priority="94" operator="equal">
      <formula>0</formula>
    </cfRule>
  </conditionalFormatting>
  <conditionalFormatting sqref="A446 A454 A449:A452">
    <cfRule type="cellIs" dxfId="93" priority="81" operator="equal">
      <formula>0</formula>
    </cfRule>
  </conditionalFormatting>
  <conditionalFormatting sqref="A182">
    <cfRule type="cellIs" dxfId="92" priority="78" operator="equal">
      <formula>0</formula>
    </cfRule>
  </conditionalFormatting>
  <conditionalFormatting sqref="A409">
    <cfRule type="cellIs" dxfId="91" priority="92" operator="equal">
      <formula>0</formula>
    </cfRule>
  </conditionalFormatting>
  <conditionalFormatting sqref="A302 A310 A304:A307">
    <cfRule type="cellIs" dxfId="90" priority="89" operator="equal">
      <formula>0</formula>
    </cfRule>
  </conditionalFormatting>
  <conditionalFormatting sqref="A394:A399">
    <cfRule type="cellIs" dxfId="89" priority="84" operator="equal">
      <formula>0</formula>
    </cfRule>
  </conditionalFormatting>
  <conditionalFormatting sqref="A393">
    <cfRule type="cellIs" dxfId="88" priority="93" operator="equal">
      <formula>0</formula>
    </cfRule>
  </conditionalFormatting>
  <conditionalFormatting sqref="A338 A346 A341:A344">
    <cfRule type="cellIs" dxfId="87" priority="87" operator="equal">
      <formula>0</formula>
    </cfRule>
  </conditionalFormatting>
  <conditionalFormatting sqref="A320 A327 A322:A325">
    <cfRule type="cellIs" dxfId="86" priority="88" operator="equal">
      <formula>0</formula>
    </cfRule>
  </conditionalFormatting>
  <conditionalFormatting sqref="A418">
    <cfRule type="cellIs" dxfId="85" priority="83" operator="equal">
      <formula>0</formula>
    </cfRule>
  </conditionalFormatting>
  <conditionalFormatting sqref="A429 A436 A431:A434">
    <cfRule type="cellIs" dxfId="84" priority="82" operator="equal">
      <formula>0</formula>
    </cfRule>
  </conditionalFormatting>
  <conditionalFormatting sqref="A172:A173">
    <cfRule type="cellIs" dxfId="83" priority="79" operator="equal">
      <formula>0</formula>
    </cfRule>
  </conditionalFormatting>
  <conditionalFormatting sqref="A190">
    <cfRule type="cellIs" dxfId="82" priority="77" operator="equal">
      <formula>0</formula>
    </cfRule>
  </conditionalFormatting>
  <conditionalFormatting sqref="A382">
    <cfRule type="cellIs" dxfId="81" priority="74" operator="equal">
      <formula>0</formula>
    </cfRule>
  </conditionalFormatting>
  <conditionalFormatting sqref="A129">
    <cfRule type="cellIs" dxfId="80" priority="80" operator="equal">
      <formula>0</formula>
    </cfRule>
  </conditionalFormatting>
  <conditionalFormatting sqref="A50">
    <cfRule type="cellIs" dxfId="79" priority="73" operator="equal">
      <formula>0</formula>
    </cfRule>
  </conditionalFormatting>
  <conditionalFormatting sqref="A335">
    <cfRule type="cellIs" dxfId="78" priority="76" operator="equal">
      <formula>0</formula>
    </cfRule>
  </conditionalFormatting>
  <conditionalFormatting sqref="A308">
    <cfRule type="cellIs" dxfId="77" priority="75" operator="equal">
      <formula>0</formula>
    </cfRule>
  </conditionalFormatting>
  <conditionalFormatting sqref="A69">
    <cfRule type="cellIs" dxfId="76" priority="72" operator="equal">
      <formula>0</formula>
    </cfRule>
  </conditionalFormatting>
  <conditionalFormatting sqref="A235">
    <cfRule type="cellIs" dxfId="75" priority="70" operator="equal">
      <formula>0</formula>
    </cfRule>
  </conditionalFormatting>
  <conditionalFormatting sqref="A245">
    <cfRule type="cellIs" dxfId="74" priority="69" operator="equal">
      <formula>0</formula>
    </cfRule>
  </conditionalFormatting>
  <conditionalFormatting sqref="A299">
    <cfRule type="cellIs" dxfId="73" priority="65" operator="equal">
      <formula>0</formula>
    </cfRule>
  </conditionalFormatting>
  <conditionalFormatting sqref="A216">
    <cfRule type="cellIs" dxfId="72" priority="71" operator="equal">
      <formula>0</formula>
    </cfRule>
  </conditionalFormatting>
  <conditionalFormatting sqref="A355">
    <cfRule type="cellIs" dxfId="71" priority="60" operator="equal">
      <formula>0</formula>
    </cfRule>
  </conditionalFormatting>
  <conditionalFormatting sqref="A426">
    <cfRule type="cellIs" dxfId="70" priority="55" operator="equal">
      <formula>0</formula>
    </cfRule>
  </conditionalFormatting>
  <conditionalFormatting sqref="A264">
    <cfRule type="cellIs" dxfId="69" priority="68" operator="equal">
      <formula>0</formula>
    </cfRule>
  </conditionalFormatting>
  <conditionalFormatting sqref="A435">
    <cfRule type="cellIs" dxfId="68" priority="54" operator="equal">
      <formula>0</formula>
    </cfRule>
  </conditionalFormatting>
  <conditionalFormatting sqref="A274">
    <cfRule type="cellIs" dxfId="67" priority="66" operator="equal">
      <formula>0</formula>
    </cfRule>
  </conditionalFormatting>
  <conditionalFormatting sqref="A309">
    <cfRule type="cellIs" dxfId="66" priority="63" operator="equal">
      <formula>0</formula>
    </cfRule>
  </conditionalFormatting>
  <conditionalFormatting sqref="A326">
    <cfRule type="cellIs" dxfId="65" priority="62" operator="equal">
      <formula>0</formula>
    </cfRule>
  </conditionalFormatting>
  <conditionalFormatting sqref="A345">
    <cfRule type="cellIs" dxfId="64" priority="61" operator="equal">
      <formula>0</formula>
    </cfRule>
  </conditionalFormatting>
  <conditionalFormatting sqref="A366">
    <cfRule type="cellIs" dxfId="63" priority="59" operator="equal">
      <formula>0</formula>
    </cfRule>
  </conditionalFormatting>
  <conditionalFormatting sqref="A407">
    <cfRule type="cellIs" dxfId="62" priority="58" operator="equal">
      <formula>0</formula>
    </cfRule>
  </conditionalFormatting>
  <conditionalFormatting sqref="A417">
    <cfRule type="cellIs" dxfId="61" priority="56" operator="equal">
      <formula>0</formula>
    </cfRule>
  </conditionalFormatting>
  <conditionalFormatting sqref="A453">
    <cfRule type="cellIs" dxfId="60" priority="53" operator="equal">
      <formula>0</formula>
    </cfRule>
  </conditionalFormatting>
  <conditionalFormatting sqref="A462">
    <cfRule type="cellIs" dxfId="59" priority="52" operator="equal">
      <formula>0</formula>
    </cfRule>
  </conditionalFormatting>
  <conditionalFormatting sqref="A33">
    <cfRule type="cellIs" dxfId="58" priority="51" operator="equal">
      <formula>0</formula>
    </cfRule>
  </conditionalFormatting>
  <conditionalFormatting sqref="A39">
    <cfRule type="cellIs" dxfId="57" priority="50" operator="equal">
      <formula>0</formula>
    </cfRule>
  </conditionalFormatting>
  <conditionalFormatting sqref="A40">
    <cfRule type="cellIs" dxfId="56" priority="49" operator="equal">
      <formula>0</formula>
    </cfRule>
  </conditionalFormatting>
  <conditionalFormatting sqref="A73">
    <cfRule type="cellIs" dxfId="55" priority="48" operator="equal">
      <formula>0</formula>
    </cfRule>
  </conditionalFormatting>
  <conditionalFormatting sqref="A81">
    <cfRule type="cellIs" dxfId="54" priority="47" operator="equal">
      <formula>0</formula>
    </cfRule>
  </conditionalFormatting>
  <conditionalFormatting sqref="A91">
    <cfRule type="cellIs" dxfId="53" priority="46" operator="equal">
      <formula>0</formula>
    </cfRule>
  </conditionalFormatting>
  <conditionalFormatting sqref="A100">
    <cfRule type="cellIs" dxfId="52" priority="45" operator="equal">
      <formula>0</formula>
    </cfRule>
  </conditionalFormatting>
  <conditionalFormatting sqref="A109">
    <cfRule type="cellIs" dxfId="51" priority="44" operator="equal">
      <formula>0</formula>
    </cfRule>
  </conditionalFormatting>
  <conditionalFormatting sqref="A124">
    <cfRule type="cellIs" dxfId="50" priority="43" operator="equal">
      <formula>0</formula>
    </cfRule>
  </conditionalFormatting>
  <conditionalFormatting sqref="A133">
    <cfRule type="cellIs" dxfId="49" priority="42" operator="equal">
      <formula>0</formula>
    </cfRule>
  </conditionalFormatting>
  <conditionalFormatting sqref="A150">
    <cfRule type="cellIs" dxfId="48" priority="41" operator="equal">
      <formula>0</formula>
    </cfRule>
  </conditionalFormatting>
  <conditionalFormatting sqref="A167">
    <cfRule type="cellIs" dxfId="47" priority="40" operator="equal">
      <formula>0</formula>
    </cfRule>
  </conditionalFormatting>
  <conditionalFormatting sqref="A159">
    <cfRule type="cellIs" dxfId="46" priority="38" operator="equal">
      <formula>0</formula>
    </cfRule>
  </conditionalFormatting>
  <conditionalFormatting sqref="A158">
    <cfRule type="cellIs" dxfId="45" priority="37" operator="equal">
      <formula>0</formula>
    </cfRule>
  </conditionalFormatting>
  <conditionalFormatting sqref="A177">
    <cfRule type="cellIs" dxfId="44" priority="36" operator="equal">
      <formula>0</formula>
    </cfRule>
  </conditionalFormatting>
  <conditionalFormatting sqref="A201">
    <cfRule type="cellIs" dxfId="43" priority="35" operator="equal">
      <formula>0</formula>
    </cfRule>
  </conditionalFormatting>
  <conditionalFormatting sqref="A220">
    <cfRule type="cellIs" dxfId="42" priority="34" operator="equal">
      <formula>0</formula>
    </cfRule>
  </conditionalFormatting>
  <conditionalFormatting sqref="A228:A230">
    <cfRule type="cellIs" dxfId="41" priority="33" operator="equal">
      <formula>0</formula>
    </cfRule>
  </conditionalFormatting>
  <conditionalFormatting sqref="A239">
    <cfRule type="cellIs" dxfId="40" priority="32" operator="equal">
      <formula>0</formula>
    </cfRule>
  </conditionalFormatting>
  <conditionalFormatting sqref="A249">
    <cfRule type="cellIs" dxfId="39" priority="31" operator="equal">
      <formula>0</formula>
    </cfRule>
  </conditionalFormatting>
  <conditionalFormatting sqref="A258">
    <cfRule type="cellIs" dxfId="38" priority="30" operator="equal">
      <formula>0</formula>
    </cfRule>
  </conditionalFormatting>
  <conditionalFormatting sqref="A259">
    <cfRule type="cellIs" dxfId="37" priority="29" operator="equal">
      <formula>0</formula>
    </cfRule>
  </conditionalFormatting>
  <conditionalFormatting sqref="A268">
    <cfRule type="cellIs" dxfId="36" priority="28" operator="equal">
      <formula>0</formula>
    </cfRule>
  </conditionalFormatting>
  <conditionalFormatting sqref="A286">
    <cfRule type="cellIs" dxfId="35" priority="26" operator="equal">
      <formula>0</formula>
    </cfRule>
  </conditionalFormatting>
  <conditionalFormatting sqref="A278">
    <cfRule type="cellIs" dxfId="34" priority="27" operator="equal">
      <formula>0</formula>
    </cfRule>
  </conditionalFormatting>
  <conditionalFormatting sqref="A464:A465">
    <cfRule type="cellIs" dxfId="33" priority="25" operator="equal">
      <formula>0</formula>
    </cfRule>
  </conditionalFormatting>
  <conditionalFormatting sqref="A294">
    <cfRule type="cellIs" dxfId="32" priority="23" operator="equal">
      <formula>0</formula>
    </cfRule>
  </conditionalFormatting>
  <conditionalFormatting sqref="A303">
    <cfRule type="cellIs" dxfId="31" priority="22" operator="equal">
      <formula>0</formula>
    </cfRule>
  </conditionalFormatting>
  <conditionalFormatting sqref="A321">
    <cfRule type="cellIs" dxfId="30" priority="21" operator="equal">
      <formula>0</formula>
    </cfRule>
  </conditionalFormatting>
  <conditionalFormatting sqref="A330">
    <cfRule type="cellIs" dxfId="29" priority="20" operator="equal">
      <formula>0</formula>
    </cfRule>
  </conditionalFormatting>
  <conditionalFormatting sqref="A339">
    <cfRule type="cellIs" dxfId="28" priority="17" operator="equal">
      <formula>0</formula>
    </cfRule>
  </conditionalFormatting>
  <conditionalFormatting sqref="A349">
    <cfRule type="cellIs" dxfId="27" priority="15" operator="equal">
      <formula>0</formula>
    </cfRule>
  </conditionalFormatting>
  <conditionalFormatting sqref="A340">
    <cfRule type="cellIs" dxfId="26" priority="18" operator="equal">
      <formula>0</formula>
    </cfRule>
  </conditionalFormatting>
  <conditionalFormatting sqref="A360">
    <cfRule type="cellIs" dxfId="25" priority="14" operator="equal">
      <formula>0</formula>
    </cfRule>
  </conditionalFormatting>
  <conditionalFormatting sqref="A359">
    <cfRule type="cellIs" dxfId="24" priority="13" operator="equal">
      <formula>0</formula>
    </cfRule>
  </conditionalFormatting>
  <conditionalFormatting sqref="A350">
    <cfRule type="cellIs" dxfId="23" priority="16" operator="equal">
      <formula>0</formula>
    </cfRule>
  </conditionalFormatting>
  <conditionalFormatting sqref="A402">
    <cfRule type="cellIs" dxfId="22" priority="11" operator="equal">
      <formula>0</formula>
    </cfRule>
  </conditionalFormatting>
  <conditionalFormatting sqref="A386">
    <cfRule type="cellIs" dxfId="21" priority="12" operator="equal">
      <formula>0</formula>
    </cfRule>
  </conditionalFormatting>
  <conditionalFormatting sqref="A412">
    <cfRule type="cellIs" dxfId="20" priority="10" operator="equal">
      <formula>0</formula>
    </cfRule>
  </conditionalFormatting>
  <conditionalFormatting sqref="A411">
    <cfRule type="cellIs" dxfId="19" priority="9" operator="equal">
      <formula>0</formula>
    </cfRule>
  </conditionalFormatting>
  <conditionalFormatting sqref="A421">
    <cfRule type="cellIs" dxfId="18" priority="8" operator="equal">
      <formula>0</formula>
    </cfRule>
  </conditionalFormatting>
  <conditionalFormatting sqref="A439">
    <cfRule type="cellIs" dxfId="17" priority="6" operator="equal">
      <formula>0</formula>
    </cfRule>
  </conditionalFormatting>
  <conditionalFormatting sqref="A448">
    <cfRule type="cellIs" dxfId="16" priority="5" operator="equal">
      <formula>0</formula>
    </cfRule>
  </conditionalFormatting>
  <conditionalFormatting sqref="A430">
    <cfRule type="cellIs" dxfId="15" priority="7" operator="equal">
      <formula>0</formula>
    </cfRule>
  </conditionalFormatting>
  <conditionalFormatting sqref="A447">
    <cfRule type="cellIs" dxfId="14" priority="4" operator="equal">
      <formula>0</formula>
    </cfRule>
  </conditionalFormatting>
  <conditionalFormatting sqref="A457">
    <cfRule type="cellIs" dxfId="13" priority="3" operator="equal">
      <formula>0</formula>
    </cfRule>
  </conditionalFormatting>
  <conditionalFormatting sqref="A61">
    <cfRule type="cellIs" dxfId="12" priority="2" operator="equal">
      <formula>0</formula>
    </cfRule>
  </conditionalFormatting>
  <conditionalFormatting sqref="A34">
    <cfRule type="cellIs" dxfId="11" priority="1" operator="equal">
      <formula>0</formula>
    </cfRule>
  </conditionalFormatting>
  <pageMargins left="1" right="0.1" top="0.5" bottom="0.5" header="0" footer="0.1"/>
  <pageSetup scale="82" fitToHeight="2" orientation="portrait" r:id="rId1"/>
  <headerFooter>
    <oddFooter>&amp;L&amp;8&amp;Z&amp;F&amp;R&amp;8&amp;P /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U202"/>
  <sheetViews>
    <sheetView showGridLines="0" zoomScale="90" zoomScaleNormal="90" workbookViewId="0">
      <pane ySplit="1" topLeftCell="A98"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160</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133.12</v>
      </c>
      <c r="D13" s="190">
        <v>130.85</v>
      </c>
      <c r="E13" s="245">
        <f>IF(D$29=0,C13*2,C13+D13)</f>
        <v>263.97000000000003</v>
      </c>
      <c r="F13" s="819">
        <f>'0664'!F13:G13</f>
        <v>1.1259999999999999</v>
      </c>
      <c r="G13" s="819"/>
      <c r="H13" s="194">
        <f>ROUND(E13*F13,4)</f>
        <v>297.23020000000002</v>
      </c>
      <c r="I13" s="140">
        <f t="shared" ref="I13:I28" si="0">ROUND(ROUND(H13*$C$8,4)*($H$8),2)</f>
        <v>1354870.78</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20.47</v>
      </c>
      <c r="D14" s="192">
        <v>24</v>
      </c>
      <c r="E14" s="147">
        <f t="shared" ref="E14:E28" si="3">IF(D$29=0,C14*2,C14+D14)</f>
        <v>44.47</v>
      </c>
      <c r="F14" s="814">
        <f>'0664'!F14:G14</f>
        <v>1.1259999999999999</v>
      </c>
      <c r="G14" s="814"/>
      <c r="H14" s="99">
        <f t="shared" ref="H14:H28" si="4">ROUND(E14*F14,4)</f>
        <v>50.0732</v>
      </c>
      <c r="I14" s="120">
        <f t="shared" si="0"/>
        <v>228249.74</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203.73</v>
      </c>
      <c r="D15" s="192">
        <v>201.7</v>
      </c>
      <c r="E15" s="147">
        <f t="shared" si="3"/>
        <v>405.42999999999995</v>
      </c>
      <c r="F15" s="814">
        <f>'0664'!F15:G15</f>
        <v>1</v>
      </c>
      <c r="G15" s="814"/>
      <c r="H15" s="99">
        <f t="shared" si="4"/>
        <v>405.43</v>
      </c>
      <c r="I15" s="120">
        <f t="shared" si="0"/>
        <v>1848080.24</v>
      </c>
      <c r="N15" s="840" t="s">
        <v>31</v>
      </c>
      <c r="O15" s="840"/>
      <c r="P15" s="841">
        <f t="shared" si="1"/>
        <v>0</v>
      </c>
      <c r="Q15" s="841"/>
      <c r="R15" s="842">
        <v>1</v>
      </c>
      <c r="S15" s="842"/>
      <c r="T15" s="114">
        <f t="shared" si="5"/>
        <v>0</v>
      </c>
      <c r="U15" s="115">
        <f t="shared" si="2"/>
        <v>0</v>
      </c>
    </row>
    <row r="16" spans="1:21" x14ac:dyDescent="0.25">
      <c r="A16" s="764" t="s">
        <v>32</v>
      </c>
      <c r="B16" s="764"/>
      <c r="C16" s="192">
        <v>42.53</v>
      </c>
      <c r="D16" s="192">
        <v>43.09</v>
      </c>
      <c r="E16" s="147">
        <f t="shared" si="3"/>
        <v>85.62</v>
      </c>
      <c r="F16" s="814">
        <f>'0664'!F16:G16</f>
        <v>1</v>
      </c>
      <c r="G16" s="814"/>
      <c r="H16" s="99">
        <f t="shared" si="4"/>
        <v>85.62</v>
      </c>
      <c r="I16" s="120">
        <f t="shared" si="0"/>
        <v>390283.48</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0.5</v>
      </c>
      <c r="D19" s="192">
        <v>0</v>
      </c>
      <c r="E19" s="147">
        <f t="shared" si="3"/>
        <v>0.5</v>
      </c>
      <c r="F19" s="814">
        <f>'0664'!F19:G19</f>
        <v>3.6480000000000001</v>
      </c>
      <c r="G19" s="814"/>
      <c r="H19" s="99">
        <f t="shared" si="4"/>
        <v>1.8240000000000001</v>
      </c>
      <c r="I19" s="120">
        <f t="shared" si="0"/>
        <v>8314.3799999999992</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44.23</v>
      </c>
      <c r="D25" s="192">
        <v>44.63</v>
      </c>
      <c r="E25" s="147">
        <f t="shared" si="3"/>
        <v>88.86</v>
      </c>
      <c r="F25" s="814">
        <f>'0664'!F25:G25</f>
        <v>1.1990000000000001</v>
      </c>
      <c r="G25" s="814"/>
      <c r="H25" s="99">
        <f t="shared" si="4"/>
        <v>106.5431</v>
      </c>
      <c r="I25" s="120">
        <f t="shared" si="0"/>
        <v>485657.69</v>
      </c>
      <c r="N25" s="840" t="s">
        <v>116</v>
      </c>
      <c r="O25" s="840"/>
      <c r="P25" s="841">
        <f t="shared" si="1"/>
        <v>0</v>
      </c>
      <c r="Q25" s="841"/>
      <c r="R25" s="842">
        <v>1</v>
      </c>
      <c r="S25" s="842"/>
      <c r="T25" s="114">
        <f t="shared" si="5"/>
        <v>0</v>
      </c>
      <c r="U25" s="115">
        <f t="shared" si="2"/>
        <v>0</v>
      </c>
    </row>
    <row r="26" spans="1:21" x14ac:dyDescent="0.25">
      <c r="A26" s="764" t="s">
        <v>117</v>
      </c>
      <c r="B26" s="764"/>
      <c r="C26" s="192">
        <v>17.149999999999999</v>
      </c>
      <c r="D26" s="192">
        <v>17.72</v>
      </c>
      <c r="E26" s="147">
        <f t="shared" si="3"/>
        <v>34.869999999999997</v>
      </c>
      <c r="F26" s="814">
        <f>'0664'!F26:G26</f>
        <v>1.1990000000000001</v>
      </c>
      <c r="G26" s="814"/>
      <c r="H26" s="99">
        <f t="shared" si="4"/>
        <v>41.809100000000001</v>
      </c>
      <c r="I26" s="120">
        <f t="shared" si="0"/>
        <v>190579.31</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461.73</v>
      </c>
      <c r="D29" s="113">
        <f>SUM(D13:D28)</f>
        <v>461.99</v>
      </c>
      <c r="E29" s="113">
        <f>SUM(E13:E28)</f>
        <v>923.72</v>
      </c>
      <c r="F29" s="820"/>
      <c r="G29" s="820"/>
      <c r="H29" s="118">
        <f>SUM(H13:H28)</f>
        <v>988.52960000000007</v>
      </c>
      <c r="I29" s="113">
        <f>SUM(I13:I28)</f>
        <v>4506035.6199999992</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988.52960000000007</v>
      </c>
      <c r="F45" s="36"/>
      <c r="G45" s="128"/>
      <c r="H45" s="129" t="s">
        <v>131</v>
      </c>
      <c r="I45" s="113">
        <f>SUM(I43,I29)</f>
        <v>4506035.6199999992</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15.98</v>
      </c>
      <c r="D50" s="192">
        <v>19.18</v>
      </c>
      <c r="E50" s="147">
        <f>IF(D$59=0,C50*2,C50+D50)</f>
        <v>35.159999999999997</v>
      </c>
      <c r="F50" s="40" t="s">
        <v>21</v>
      </c>
      <c r="G50" s="52">
        <v>251</v>
      </c>
      <c r="H50" s="485">
        <f>'0664'!H50</f>
        <v>1047</v>
      </c>
      <c r="I50" s="120">
        <f>ROUND(E50*H50,2)</f>
        <v>36812.519999999997</v>
      </c>
      <c r="N50" s="863" t="s">
        <v>28</v>
      </c>
      <c r="O50" s="863"/>
      <c r="P50" s="864"/>
      <c r="Q50" s="864"/>
      <c r="R50" s="42" t="s">
        <v>21</v>
      </c>
      <c r="S50" s="43">
        <v>251</v>
      </c>
      <c r="T50" s="138">
        <f>H50</f>
        <v>1047</v>
      </c>
      <c r="U50" s="139">
        <f>ROUND(P50*T50,0)</f>
        <v>0</v>
      </c>
    </row>
    <row r="51" spans="1:21" x14ac:dyDescent="0.25">
      <c r="A51" s="792"/>
      <c r="B51" s="792"/>
      <c r="C51" s="192">
        <v>3.99</v>
      </c>
      <c r="D51" s="192">
        <v>4.42</v>
      </c>
      <c r="E51" s="147">
        <f t="shared" ref="E51:E58" si="10">IF(D$59=0,C51*2,C51+D51)</f>
        <v>8.41</v>
      </c>
      <c r="F51" s="52" t="s">
        <v>21</v>
      </c>
      <c r="G51" s="52">
        <v>252</v>
      </c>
      <c r="H51" s="485">
        <f>'0664'!H51</f>
        <v>3380</v>
      </c>
      <c r="I51" s="120">
        <f t="shared" ref="I51:I58" si="11">ROUND(E51*H51,2)</f>
        <v>28425.8</v>
      </c>
      <c r="N51" s="863"/>
      <c r="O51" s="863"/>
      <c r="P51" s="865"/>
      <c r="Q51" s="865"/>
      <c r="R51" s="43" t="s">
        <v>21</v>
      </c>
      <c r="S51" s="43">
        <v>252</v>
      </c>
      <c r="T51" s="138">
        <f t="shared" ref="T51:T58" si="12">H51</f>
        <v>3380</v>
      </c>
      <c r="U51" s="139">
        <f t="shared" ref="U51:U58" si="13">ROUND(P51*T51,0)</f>
        <v>0</v>
      </c>
    </row>
    <row r="52" spans="1:21" x14ac:dyDescent="0.25">
      <c r="A52" s="792"/>
      <c r="B52" s="792"/>
      <c r="C52" s="192">
        <v>0.5</v>
      </c>
      <c r="D52" s="192">
        <v>0.4</v>
      </c>
      <c r="E52" s="147">
        <f t="shared" si="10"/>
        <v>0.9</v>
      </c>
      <c r="F52" s="52" t="s">
        <v>21</v>
      </c>
      <c r="G52" s="52">
        <v>253</v>
      </c>
      <c r="H52" s="485">
        <f>'0664'!H52</f>
        <v>6896</v>
      </c>
      <c r="I52" s="120">
        <f t="shared" si="11"/>
        <v>6206.4</v>
      </c>
      <c r="N52" s="863"/>
      <c r="O52" s="863"/>
      <c r="P52" s="865"/>
      <c r="Q52" s="865"/>
      <c r="R52" s="43" t="s">
        <v>21</v>
      </c>
      <c r="S52" s="43">
        <v>253</v>
      </c>
      <c r="T52" s="138">
        <f t="shared" si="12"/>
        <v>6896</v>
      </c>
      <c r="U52" s="139">
        <f t="shared" si="13"/>
        <v>0</v>
      </c>
    </row>
    <row r="53" spans="1:21" x14ac:dyDescent="0.25">
      <c r="A53" s="792"/>
      <c r="B53" s="792"/>
      <c r="C53" s="192">
        <v>42.03</v>
      </c>
      <c r="D53" s="192">
        <v>42.18</v>
      </c>
      <c r="E53" s="147">
        <f t="shared" si="10"/>
        <v>84.210000000000008</v>
      </c>
      <c r="F53" s="143" t="s">
        <v>14</v>
      </c>
      <c r="G53" s="52">
        <v>251</v>
      </c>
      <c r="H53" s="485">
        <f>'0664'!H53</f>
        <v>1173</v>
      </c>
      <c r="I53" s="120">
        <f t="shared" si="11"/>
        <v>98778.33</v>
      </c>
      <c r="N53" s="863"/>
      <c r="O53" s="863"/>
      <c r="P53" s="865"/>
      <c r="Q53" s="865"/>
      <c r="R53" s="45" t="s">
        <v>14</v>
      </c>
      <c r="S53" s="43">
        <v>251</v>
      </c>
      <c r="T53" s="138">
        <f t="shared" si="12"/>
        <v>1173</v>
      </c>
      <c r="U53" s="139">
        <f t="shared" si="13"/>
        <v>0</v>
      </c>
    </row>
    <row r="54" spans="1:21" x14ac:dyDescent="0.25">
      <c r="A54" s="792"/>
      <c r="B54" s="792"/>
      <c r="C54" s="192">
        <v>0.5</v>
      </c>
      <c r="D54" s="192">
        <v>0.91</v>
      </c>
      <c r="E54" s="147">
        <f t="shared" si="10"/>
        <v>1.4100000000000001</v>
      </c>
      <c r="F54" s="143" t="s">
        <v>14</v>
      </c>
      <c r="G54" s="52">
        <v>252</v>
      </c>
      <c r="H54" s="485">
        <f>'0664'!H54</f>
        <v>3506</v>
      </c>
      <c r="I54" s="120">
        <f t="shared" si="11"/>
        <v>4943.46</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63</v>
      </c>
      <c r="D59" s="116">
        <f>SUM(D50:D58)</f>
        <v>67.09</v>
      </c>
      <c r="E59" s="116">
        <f>SUM(E50:E58)</f>
        <v>130.09</v>
      </c>
      <c r="F59" s="767" t="s">
        <v>78</v>
      </c>
      <c r="G59" s="767"/>
      <c r="H59" s="767"/>
      <c r="I59" s="116">
        <f>SUM(I50:I58)</f>
        <v>175166.50999999998</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923.72</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4.8419999999999999E-3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988.52960000000007</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4.6090000000000002E-3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4.8419999999999999E-3</v>
      </c>
      <c r="I68" s="120">
        <f>ROUND(F68*H68,2)</f>
        <v>203507.21</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4.8419999999999999E-3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4.8419999999999999E-3</v>
      </c>
      <c r="I71" s="120">
        <f>IF(D71="Y",ROUND(F71*H71,2),0)</f>
        <v>709.87</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4.8419999999999999E-3</v>
      </c>
      <c r="I72" s="120">
        <f>ROUND(F72*H72,2)</f>
        <v>54898.16</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4.8419999999999999E-3</v>
      </c>
      <c r="I73" s="120">
        <f>ROUND(F73*H73,2)</f>
        <v>67218.509999999995</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4.8419999999999999E-3</v>
      </c>
      <c r="I77" s="120">
        <f t="shared" ref="I77:I82" si="14">ROUND(F77*H77,2)</f>
        <v>36133.629999999997</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4.8419999999999999E-3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4.6090000000000002E-3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4.6090000000000002E-3</v>
      </c>
      <c r="I80" s="120">
        <f t="shared" si="14"/>
        <v>39465.89</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4.6090000000000002E-3</v>
      </c>
      <c r="I81" s="120">
        <f t="shared" si="14"/>
        <v>777368.82</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4.6090000000000002E-3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171551.26</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4.8419999999999999E-3</v>
      </c>
      <c r="I84" s="120">
        <f>ROUND(F84*H84,2)</f>
        <v>104656.65</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455.6705</v>
      </c>
      <c r="D89" s="781"/>
      <c r="E89" s="54">
        <f>H8</f>
        <v>1.0424</v>
      </c>
      <c r="F89" s="545">
        <f>'0664'!F89</f>
        <v>966.9</v>
      </c>
      <c r="G89" s="186" t="s">
        <v>13</v>
      </c>
      <c r="H89" s="120">
        <f>ROUND(C89*E89*F89,2)</f>
        <v>459268.73</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532.85910000000001</v>
      </c>
      <c r="D90" s="781"/>
      <c r="E90" s="54">
        <f>H8</f>
        <v>1.0424</v>
      </c>
      <c r="F90" s="545">
        <f>'0664'!F90</f>
        <v>923.19</v>
      </c>
      <c r="G90" s="186" t="s">
        <v>13</v>
      </c>
      <c r="H90" s="120">
        <f>ROUND(C90*E90*F90,2)</f>
        <v>512788.03</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988.52960000000007</v>
      </c>
      <c r="D92" s="782"/>
      <c r="E92" s="168"/>
      <c r="F92" s="168"/>
      <c r="G92" s="168"/>
      <c r="H92" s="169" t="s">
        <v>145</v>
      </c>
      <c r="I92" s="120">
        <f>IF(A1=75,0,H91+H90+H89)</f>
        <v>972056.76</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372</v>
      </c>
      <c r="D98" s="192">
        <v>376</v>
      </c>
      <c r="E98" s="147">
        <f>(C98+D98)/2</f>
        <v>374</v>
      </c>
      <c r="F98" s="173" t="s">
        <v>39</v>
      </c>
      <c r="G98" s="546">
        <f>'0664'!G98</f>
        <v>486</v>
      </c>
      <c r="I98" s="120">
        <f>ROUND(G98*E98,2)</f>
        <v>181764</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7290532.8899999987</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7"/>
      <c r="H118" s="188">
        <f>IF(H116=1,I116,I114)</f>
        <v>7290532.8899999987</v>
      </c>
      <c r="I118" s="113">
        <f>ROUND(IF(E29=0,0,IF(E29&gt;250,-(((250/E29)*H118)*IF(G118="H",0.02,0.05)),IF(G118="H",-0.02*H118,-0.05*H118))),2)</f>
        <v>-98657.24</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7191875.6499999985</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-7197273.0800000001</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-5397.4300000015646</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-5397.43</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IF(G118="H",(H118*0.02)+I118,(H118*0.05)+I118)</f>
        <v>265869.40449999995</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78:P78"/>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R105:S105"/>
    <mergeCell ref="A98:B98"/>
    <mergeCell ref="N98:O98"/>
    <mergeCell ref="P98:R98"/>
    <mergeCell ref="A99:B99"/>
    <mergeCell ref="N99:O99"/>
    <mergeCell ref="P99:R99"/>
    <mergeCell ref="R107:S107"/>
    <mergeCell ref="A102:C102"/>
    <mergeCell ref="F102:I102"/>
    <mergeCell ref="N102:U102"/>
    <mergeCell ref="C103:E103"/>
    <mergeCell ref="F104:G104"/>
    <mergeCell ref="A105:B105"/>
    <mergeCell ref="F105:G105"/>
    <mergeCell ref="N105:O105"/>
    <mergeCell ref="P105:Q105"/>
    <mergeCell ref="R108:S108"/>
    <mergeCell ref="A109:B109"/>
    <mergeCell ref="N109:O109"/>
    <mergeCell ref="A106:B106"/>
    <mergeCell ref="F106:G106"/>
    <mergeCell ref="N106:O106"/>
    <mergeCell ref="P106:Q106"/>
    <mergeCell ref="R106:S106"/>
    <mergeCell ref="A107:B107"/>
    <mergeCell ref="F107:G107"/>
    <mergeCell ref="N135:U135"/>
    <mergeCell ref="N115:U115"/>
    <mergeCell ref="N112:P112"/>
    <mergeCell ref="A112:C112"/>
    <mergeCell ref="F112:H112"/>
    <mergeCell ref="N113:T113"/>
    <mergeCell ref="A114:H114"/>
    <mergeCell ref="A115:G115"/>
    <mergeCell ref="N116:U116"/>
    <mergeCell ref="A116:G116"/>
    <mergeCell ref="A111:C111"/>
    <mergeCell ref="F111:H111"/>
    <mergeCell ref="N111:P111"/>
    <mergeCell ref="A108:B108"/>
    <mergeCell ref="F108:G108"/>
    <mergeCell ref="N108:O108"/>
    <mergeCell ref="P108:Q108"/>
    <mergeCell ref="N107:O107"/>
    <mergeCell ref="P107:Q107"/>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sheetPr>
  <dimension ref="A1:U202"/>
  <sheetViews>
    <sheetView showGridLines="0" zoomScale="90" zoomScaleNormal="90" workbookViewId="0">
      <pane ySplit="1" topLeftCell="A83"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162</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70.53</v>
      </c>
      <c r="D13" s="192">
        <v>69.67</v>
      </c>
      <c r="E13" s="245">
        <f>IF(D$29=0,C13*2,C13+D13)</f>
        <v>140.19999999999999</v>
      </c>
      <c r="F13" s="819">
        <f>'0664'!F13:G13</f>
        <v>1.1259999999999999</v>
      </c>
      <c r="G13" s="819"/>
      <c r="H13" s="194">
        <f>ROUND(E13*F13,4)</f>
        <v>157.86519999999999</v>
      </c>
      <c r="I13" s="140">
        <f t="shared" ref="I13:I28" si="0">ROUND(ROUND(H13*$C$8,4)*($H$8),2)</f>
        <v>719600.32</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11.06</v>
      </c>
      <c r="D14" s="192">
        <v>12.53</v>
      </c>
      <c r="E14" s="147">
        <f t="shared" ref="E14:E28" si="3">IF(D$29=0,C14*2,C14+D14)</f>
        <v>23.59</v>
      </c>
      <c r="F14" s="814">
        <f>'0664'!F14:G14</f>
        <v>1.1259999999999999</v>
      </c>
      <c r="G14" s="814"/>
      <c r="H14" s="99">
        <f t="shared" ref="H14:H28" si="4">ROUND(E14*F14,4)</f>
        <v>26.5623</v>
      </c>
      <c r="I14" s="120">
        <f t="shared" si="0"/>
        <v>121079.5</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135.66999999999999</v>
      </c>
      <c r="D15" s="192">
        <v>136.41999999999999</v>
      </c>
      <c r="E15" s="147">
        <f t="shared" si="3"/>
        <v>272.08999999999997</v>
      </c>
      <c r="F15" s="814">
        <f>'0664'!F15:G15</f>
        <v>1</v>
      </c>
      <c r="G15" s="814"/>
      <c r="H15" s="99">
        <f t="shared" si="4"/>
        <v>272.08999999999997</v>
      </c>
      <c r="I15" s="120">
        <f t="shared" si="0"/>
        <v>1240273.67</v>
      </c>
      <c r="N15" s="840" t="s">
        <v>31</v>
      </c>
      <c r="O15" s="840"/>
      <c r="P15" s="841">
        <f t="shared" si="1"/>
        <v>0</v>
      </c>
      <c r="Q15" s="841"/>
      <c r="R15" s="842">
        <v>1</v>
      </c>
      <c r="S15" s="842"/>
      <c r="T15" s="114">
        <f t="shared" si="5"/>
        <v>0</v>
      </c>
      <c r="U15" s="115">
        <f t="shared" si="2"/>
        <v>0</v>
      </c>
    </row>
    <row r="16" spans="1:21" x14ac:dyDescent="0.25">
      <c r="A16" s="764" t="s">
        <v>32</v>
      </c>
      <c r="B16" s="764"/>
      <c r="C16" s="192">
        <v>33.89</v>
      </c>
      <c r="D16" s="192">
        <v>31.93</v>
      </c>
      <c r="E16" s="147">
        <f t="shared" si="3"/>
        <v>65.819999999999993</v>
      </c>
      <c r="F16" s="814">
        <f>'0664'!F16:G16</f>
        <v>1</v>
      </c>
      <c r="G16" s="814"/>
      <c r="H16" s="99">
        <f t="shared" si="4"/>
        <v>65.819999999999993</v>
      </c>
      <c r="I16" s="120">
        <f t="shared" si="0"/>
        <v>300028.71000000002</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2.52</v>
      </c>
      <c r="D25" s="192">
        <v>2.94</v>
      </c>
      <c r="E25" s="147">
        <f t="shared" si="3"/>
        <v>5.46</v>
      </c>
      <c r="F25" s="814">
        <f>'0664'!F25:G25</f>
        <v>1.1990000000000001</v>
      </c>
      <c r="G25" s="814"/>
      <c r="H25" s="99">
        <f t="shared" si="4"/>
        <v>6.5465</v>
      </c>
      <c r="I25" s="120">
        <f t="shared" si="0"/>
        <v>29841.05</v>
      </c>
      <c r="N25" s="840" t="s">
        <v>116</v>
      </c>
      <c r="O25" s="840"/>
      <c r="P25" s="841">
        <f t="shared" si="1"/>
        <v>0</v>
      </c>
      <c r="Q25" s="841"/>
      <c r="R25" s="842">
        <v>1</v>
      </c>
      <c r="S25" s="842"/>
      <c r="T25" s="114">
        <f t="shared" si="5"/>
        <v>0</v>
      </c>
      <c r="U25" s="115">
        <f t="shared" si="2"/>
        <v>0</v>
      </c>
    </row>
    <row r="26" spans="1:21" x14ac:dyDescent="0.25">
      <c r="A26" s="764" t="s">
        <v>117</v>
      </c>
      <c r="B26" s="764"/>
      <c r="C26" s="192">
        <v>1.08</v>
      </c>
      <c r="D26" s="192">
        <v>1.25</v>
      </c>
      <c r="E26" s="147">
        <f t="shared" si="3"/>
        <v>2.33</v>
      </c>
      <c r="F26" s="814">
        <f>'0664'!F26:G26</f>
        <v>1.1990000000000001</v>
      </c>
      <c r="G26" s="814"/>
      <c r="H26" s="99">
        <f t="shared" si="4"/>
        <v>2.7936999999999999</v>
      </c>
      <c r="I26" s="120">
        <f t="shared" si="0"/>
        <v>12734.58</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254.75</v>
      </c>
      <c r="D29" s="113">
        <f>SUM(D13:D28)</f>
        <v>254.74</v>
      </c>
      <c r="E29" s="113">
        <f>SUM(E13:E28)</f>
        <v>509.48999999999995</v>
      </c>
      <c r="F29" s="820"/>
      <c r="G29" s="820"/>
      <c r="H29" s="118">
        <f>SUM(H13:H28)</f>
        <v>531.67769999999985</v>
      </c>
      <c r="I29" s="113">
        <f>SUM(I13:I28)</f>
        <v>2423557.8299999996</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531.67769999999985</v>
      </c>
      <c r="F45" s="36"/>
      <c r="G45" s="128"/>
      <c r="H45" s="129" t="s">
        <v>131</v>
      </c>
      <c r="I45" s="113">
        <f>SUM(I43,I29)</f>
        <v>2423557.8299999996</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9.5500000000000007</v>
      </c>
      <c r="D50" s="192">
        <v>10.53</v>
      </c>
      <c r="E50" s="147">
        <f>IF(D$59=0,C50*2,C50+D50)</f>
        <v>20.079999999999998</v>
      </c>
      <c r="F50" s="40" t="s">
        <v>21</v>
      </c>
      <c r="G50" s="52">
        <v>251</v>
      </c>
      <c r="H50" s="485">
        <f>'0664'!H50</f>
        <v>1047</v>
      </c>
      <c r="I50" s="120">
        <f>ROUND(E50*H50,2)</f>
        <v>21023.759999999998</v>
      </c>
      <c r="N50" s="863" t="s">
        <v>28</v>
      </c>
      <c r="O50" s="863"/>
      <c r="P50" s="864"/>
      <c r="Q50" s="864"/>
      <c r="R50" s="42" t="s">
        <v>21</v>
      </c>
      <c r="S50" s="43">
        <v>251</v>
      </c>
      <c r="T50" s="138">
        <f>H50</f>
        <v>1047</v>
      </c>
      <c r="U50" s="139">
        <f>ROUND(P50*T50,0)</f>
        <v>0</v>
      </c>
    </row>
    <row r="51" spans="1:21" x14ac:dyDescent="0.25">
      <c r="A51" s="792"/>
      <c r="B51" s="792"/>
      <c r="C51" s="192">
        <v>1.51</v>
      </c>
      <c r="D51" s="192">
        <v>2</v>
      </c>
      <c r="E51" s="147">
        <f t="shared" ref="E51:E58" si="10">IF(D$59=0,C51*2,C51+D51)</f>
        <v>3.51</v>
      </c>
      <c r="F51" s="52" t="s">
        <v>21</v>
      </c>
      <c r="G51" s="52">
        <v>252</v>
      </c>
      <c r="H51" s="485">
        <f>'0664'!H51</f>
        <v>3380</v>
      </c>
      <c r="I51" s="120">
        <f t="shared" ref="I51:I58" si="11">ROUND(E51*H51,2)</f>
        <v>11863.8</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27.91</v>
      </c>
      <c r="D53" s="192">
        <v>26.93</v>
      </c>
      <c r="E53" s="147">
        <f t="shared" si="10"/>
        <v>54.84</v>
      </c>
      <c r="F53" s="143" t="s">
        <v>14</v>
      </c>
      <c r="G53" s="52">
        <v>251</v>
      </c>
      <c r="H53" s="485">
        <f>'0664'!H53</f>
        <v>1173</v>
      </c>
      <c r="I53" s="120">
        <f t="shared" si="11"/>
        <v>64327.32</v>
      </c>
      <c r="N53" s="863"/>
      <c r="O53" s="863"/>
      <c r="P53" s="865"/>
      <c r="Q53" s="865"/>
      <c r="R53" s="45" t="s">
        <v>14</v>
      </c>
      <c r="S53" s="43">
        <v>251</v>
      </c>
      <c r="T53" s="138">
        <f t="shared" si="12"/>
        <v>1173</v>
      </c>
      <c r="U53" s="139">
        <f t="shared" si="13"/>
        <v>0</v>
      </c>
    </row>
    <row r="54" spans="1:21" x14ac:dyDescent="0.25">
      <c r="A54" s="792"/>
      <c r="B54" s="792"/>
      <c r="C54" s="192">
        <v>5.98</v>
      </c>
      <c r="D54" s="192">
        <v>5</v>
      </c>
      <c r="E54" s="147">
        <f t="shared" si="10"/>
        <v>10.98</v>
      </c>
      <c r="F54" s="143" t="s">
        <v>14</v>
      </c>
      <c r="G54" s="52">
        <v>252</v>
      </c>
      <c r="H54" s="485">
        <f>'0664'!H54</f>
        <v>3506</v>
      </c>
      <c r="I54" s="120">
        <f t="shared" si="11"/>
        <v>38495.879999999997</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44.95</v>
      </c>
      <c r="D59" s="116">
        <f>SUM(D50:D58)</f>
        <v>44.46</v>
      </c>
      <c r="E59" s="116">
        <f>SUM(E50:E58)</f>
        <v>89.410000000000011</v>
      </c>
      <c r="F59" s="767" t="s">
        <v>78</v>
      </c>
      <c r="G59" s="767"/>
      <c r="H59" s="767"/>
      <c r="I59" s="116">
        <f>SUM(I50:I58)</f>
        <v>135710.76</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509.48999999999995</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2.6710000000000002E-3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531.67769999999985</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2.4789999999999999E-3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2.6710000000000002E-3</v>
      </c>
      <c r="I68" s="120">
        <f>ROUND(F68*H68,2)</f>
        <v>112261</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2.6710000000000002E-3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2.6710000000000002E-3</v>
      </c>
      <c r="I71" s="120">
        <f>IF(D71="Y",ROUND(F71*H71,2),0)</f>
        <v>391.59</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2.6710000000000002E-3</v>
      </c>
      <c r="I72" s="120">
        <f>ROUND(F72*H72,2)</f>
        <v>30283.56</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2.6710000000000002E-3</v>
      </c>
      <c r="I73" s="120">
        <f>ROUND(F73*H73,2)</f>
        <v>37079.85</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2.6710000000000002E-3</v>
      </c>
      <c r="I77" s="120">
        <f t="shared" ref="I77:I82" si="14">ROUND(F77*H77,2)</f>
        <v>19932.45</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2.6710000000000002E-3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2.4789999999999999E-3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2.4789999999999999E-3</v>
      </c>
      <c r="I80" s="120">
        <f t="shared" si="14"/>
        <v>21227.15</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2.4789999999999999E-3</v>
      </c>
      <c r="I81" s="120">
        <f t="shared" si="14"/>
        <v>418116.14</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2.4789999999999999E-3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95327.87</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2.6710000000000002E-3</v>
      </c>
      <c r="I84" s="120">
        <f>ROUND(F84*H84,2)</f>
        <v>57731.91</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190.97399999999999</v>
      </c>
      <c r="D89" s="781"/>
      <c r="E89" s="54">
        <f>H8</f>
        <v>1.0424</v>
      </c>
      <c r="F89" s="545">
        <f>'0664'!F89</f>
        <v>966.9</v>
      </c>
      <c r="G89" s="186" t="s">
        <v>13</v>
      </c>
      <c r="H89" s="120">
        <f>ROUND(C89*E89*F89,2)</f>
        <v>192482.04</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340.70369999999997</v>
      </c>
      <c r="D90" s="781"/>
      <c r="E90" s="54">
        <f>H8</f>
        <v>1.0424</v>
      </c>
      <c r="F90" s="545">
        <f>'0664'!F90</f>
        <v>923.19</v>
      </c>
      <c r="G90" s="186" t="s">
        <v>13</v>
      </c>
      <c r="H90" s="120">
        <f>ROUND(C90*E90*F90,2)</f>
        <v>327870.5</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531.67769999999996</v>
      </c>
      <c r="D92" s="782"/>
      <c r="E92" s="168"/>
      <c r="F92" s="168"/>
      <c r="G92" s="168"/>
      <c r="H92" s="169" t="s">
        <v>145</v>
      </c>
      <c r="I92" s="120">
        <f>IF(A1=75,0,H91+H90+H89)</f>
        <v>520352.54000000004</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0</v>
      </c>
      <c r="D98" s="192">
        <v>1</v>
      </c>
      <c r="E98" s="147">
        <f>(C98+D98)/2</f>
        <v>0.5</v>
      </c>
      <c r="F98" s="173" t="s">
        <v>39</v>
      </c>
      <c r="G98" s="546">
        <f>'0664'!G98</f>
        <v>486</v>
      </c>
      <c r="I98" s="120">
        <f>ROUND(G98*E98,2)</f>
        <v>243</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3872215.6499999994</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7" t="s">
        <v>306</v>
      </c>
      <c r="H118" s="188">
        <f>IF(H116=1,I116,I114)</f>
        <v>3872215.6499999994</v>
      </c>
      <c r="I118" s="113">
        <f>ROUND(IF(E29=0,0,IF(E29&gt;250,-(((250/E29)*H118)*IF(G118="H",0.02,0.05)),IF(G118="H",-0.02*H118,-0.05*H118))),2)</f>
        <v>-38000.9</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3834214.7499999995</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-3836016.89</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-1802.140000000596</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-1802.14</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IF(G118="H",(H118*0.02)+I118,(H118*0.05)+I118)</f>
        <v>39443.412999999993</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78:P78"/>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N105:O105"/>
    <mergeCell ref="P105:Q105"/>
    <mergeCell ref="R105:S105"/>
    <mergeCell ref="P106:Q106"/>
    <mergeCell ref="R106:S106"/>
    <mergeCell ref="A98:B98"/>
    <mergeCell ref="N98:O98"/>
    <mergeCell ref="P98:R98"/>
    <mergeCell ref="A99:B99"/>
    <mergeCell ref="N99:O99"/>
    <mergeCell ref="P99:R99"/>
    <mergeCell ref="A102:C102"/>
    <mergeCell ref="F102:I102"/>
    <mergeCell ref="N102:U102"/>
    <mergeCell ref="N135:U135"/>
    <mergeCell ref="N115:U115"/>
    <mergeCell ref="N112:P112"/>
    <mergeCell ref="A112:C112"/>
    <mergeCell ref="F112:H112"/>
    <mergeCell ref="N113:T113"/>
    <mergeCell ref="A114:H114"/>
    <mergeCell ref="F111:H111"/>
    <mergeCell ref="N111:P111"/>
    <mergeCell ref="A11:B11"/>
    <mergeCell ref="A115:G115"/>
    <mergeCell ref="N116:U116"/>
    <mergeCell ref="A116:G116"/>
    <mergeCell ref="R108:S108"/>
    <mergeCell ref="A106:B106"/>
    <mergeCell ref="F106:G106"/>
    <mergeCell ref="N106:O106"/>
    <mergeCell ref="A111:C111"/>
    <mergeCell ref="A107:B107"/>
    <mergeCell ref="F107:G107"/>
    <mergeCell ref="N107:O107"/>
    <mergeCell ref="P107:Q107"/>
    <mergeCell ref="R107:S107"/>
    <mergeCell ref="A108:B108"/>
    <mergeCell ref="F108:G108"/>
    <mergeCell ref="N108:O108"/>
    <mergeCell ref="P108:Q108"/>
    <mergeCell ref="A109:B109"/>
    <mergeCell ref="N109:O109"/>
    <mergeCell ref="C103:E103"/>
    <mergeCell ref="F104:G104"/>
    <mergeCell ref="A105:B105"/>
    <mergeCell ref="F105:G105"/>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A1:U202"/>
  <sheetViews>
    <sheetView showGridLines="0" zoomScale="90" zoomScaleNormal="90" workbookViewId="0">
      <pane ySplit="1" topLeftCell="A95"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163</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0.5</v>
      </c>
      <c r="D13" s="192">
        <v>0</v>
      </c>
      <c r="E13" s="245">
        <f>IF(D$29=0,C13*2,C13+D13)</f>
        <v>0.5</v>
      </c>
      <c r="F13" s="819">
        <f>'0664'!F13:G13</f>
        <v>1.1259999999999999</v>
      </c>
      <c r="G13" s="819"/>
      <c r="H13" s="194">
        <f>ROUND(E13*F13,4)</f>
        <v>0.56299999999999994</v>
      </c>
      <c r="I13" s="140">
        <f t="shared" ref="I13:I28" si="0">ROUND(ROUND(H13*$C$8,4)*($H$8),2)</f>
        <v>2566.33</v>
      </c>
      <c r="N13" s="843" t="s">
        <v>29</v>
      </c>
      <c r="O13" s="843"/>
      <c r="P13" s="841">
        <f t="shared" ref="P13:P28" si="1">IF($H$116=1,E13,0)</f>
        <v>0.5</v>
      </c>
      <c r="Q13" s="841"/>
      <c r="R13" s="844">
        <v>1</v>
      </c>
      <c r="S13" s="844"/>
      <c r="T13" s="114">
        <f>ROUND(P13*R13,4)</f>
        <v>0.5</v>
      </c>
      <c r="U13" s="115">
        <f t="shared" ref="U13:U28" si="2">ROUND(ROUND(T13*$C$8,4)*($H$8),0)</f>
        <v>2279</v>
      </c>
    </row>
    <row r="14" spans="1:21" x14ac:dyDescent="0.25">
      <c r="A14" s="764" t="s">
        <v>30</v>
      </c>
      <c r="B14" s="764"/>
      <c r="C14" s="192">
        <v>2.5</v>
      </c>
      <c r="D14" s="192">
        <v>2</v>
      </c>
      <c r="E14" s="147">
        <f t="shared" ref="E14:E28" si="3">IF(D$29=0,C14*2,C14+D14)</f>
        <v>4.5</v>
      </c>
      <c r="F14" s="814">
        <f>'0664'!F14:G14</f>
        <v>1.1259999999999999</v>
      </c>
      <c r="G14" s="814"/>
      <c r="H14" s="99">
        <f t="shared" ref="H14:H28" si="4">ROUND(E14*F14,4)</f>
        <v>5.0670000000000002</v>
      </c>
      <c r="I14" s="120">
        <f t="shared" si="0"/>
        <v>23097.01</v>
      </c>
      <c r="J14" s="81" t="str">
        <f>IF(ROUND(E14,2)=ROUND(SUM(E50:E52),2)," ","CHECK PK-3 LINES BELOW")</f>
        <v xml:space="preserve"> </v>
      </c>
      <c r="N14" s="840" t="s">
        <v>30</v>
      </c>
      <c r="O14" s="840"/>
      <c r="P14" s="841">
        <f t="shared" si="1"/>
        <v>4.5</v>
      </c>
      <c r="Q14" s="841"/>
      <c r="R14" s="842">
        <v>1</v>
      </c>
      <c r="S14" s="842"/>
      <c r="T14" s="114">
        <f t="shared" ref="T14:T28" si="5">ROUND(P14*R14,4)</f>
        <v>4.5</v>
      </c>
      <c r="U14" s="115">
        <f t="shared" si="2"/>
        <v>20512</v>
      </c>
    </row>
    <row r="15" spans="1:21" x14ac:dyDescent="0.25">
      <c r="A15" s="764" t="s">
        <v>31</v>
      </c>
      <c r="B15" s="764"/>
      <c r="C15" s="192">
        <v>0.5</v>
      </c>
      <c r="D15" s="192">
        <v>0</v>
      </c>
      <c r="E15" s="147">
        <f t="shared" si="3"/>
        <v>0.5</v>
      </c>
      <c r="F15" s="814">
        <f>'0664'!F15:G15</f>
        <v>1</v>
      </c>
      <c r="G15" s="814"/>
      <c r="H15" s="99">
        <f t="shared" si="4"/>
        <v>0.5</v>
      </c>
      <c r="I15" s="120">
        <f t="shared" si="0"/>
        <v>2279.16</v>
      </c>
      <c r="N15" s="840" t="s">
        <v>31</v>
      </c>
      <c r="O15" s="840"/>
      <c r="P15" s="841">
        <f t="shared" si="1"/>
        <v>0.5</v>
      </c>
      <c r="Q15" s="841"/>
      <c r="R15" s="842">
        <v>1</v>
      </c>
      <c r="S15" s="842"/>
      <c r="T15" s="114">
        <f t="shared" si="5"/>
        <v>0.5</v>
      </c>
      <c r="U15" s="115">
        <f t="shared" si="2"/>
        <v>2279</v>
      </c>
    </row>
    <row r="16" spans="1:21" x14ac:dyDescent="0.25">
      <c r="A16" s="764" t="s">
        <v>32</v>
      </c>
      <c r="B16" s="764"/>
      <c r="C16" s="192">
        <v>11</v>
      </c>
      <c r="D16" s="192">
        <v>11.5</v>
      </c>
      <c r="E16" s="147">
        <f t="shared" si="3"/>
        <v>22.5</v>
      </c>
      <c r="F16" s="814">
        <f>'0664'!F16:G16</f>
        <v>1</v>
      </c>
      <c r="G16" s="814"/>
      <c r="H16" s="99">
        <f t="shared" si="4"/>
        <v>22.5</v>
      </c>
      <c r="I16" s="120">
        <f t="shared" si="0"/>
        <v>102562.23</v>
      </c>
      <c r="J16" s="81" t="str">
        <f>IF(ROUND(E16,2)=ROUND(SUM(E53:E55),2)," ","CHECK 4-8 LINES BELOW")</f>
        <v xml:space="preserve"> </v>
      </c>
      <c r="N16" s="840" t="s">
        <v>32</v>
      </c>
      <c r="O16" s="840"/>
      <c r="P16" s="841">
        <f t="shared" si="1"/>
        <v>22.5</v>
      </c>
      <c r="Q16" s="841"/>
      <c r="R16" s="842">
        <v>1</v>
      </c>
      <c r="S16" s="842"/>
      <c r="T16" s="114">
        <f t="shared" si="5"/>
        <v>22.5</v>
      </c>
      <c r="U16" s="115">
        <f t="shared" si="2"/>
        <v>102562</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22</v>
      </c>
      <c r="D18" s="192">
        <v>23</v>
      </c>
      <c r="E18" s="147">
        <f t="shared" si="3"/>
        <v>45</v>
      </c>
      <c r="F18" s="814">
        <f>'0664'!F18:G18</f>
        <v>1.01</v>
      </c>
      <c r="G18" s="814"/>
      <c r="H18" s="99">
        <f t="shared" si="4"/>
        <v>45.45</v>
      </c>
      <c r="I18" s="120">
        <f t="shared" si="0"/>
        <v>207175.71</v>
      </c>
      <c r="J18" s="81" t="str">
        <f>IF(ROUND(E18,2)=ROUND(SUM(E56:E58),2)," ","CHECK 4-8 LINES BELOW")</f>
        <v xml:space="preserve"> </v>
      </c>
      <c r="N18" s="840" t="s">
        <v>34</v>
      </c>
      <c r="O18" s="840"/>
      <c r="P18" s="841">
        <f t="shared" si="1"/>
        <v>45</v>
      </c>
      <c r="Q18" s="841"/>
      <c r="R18" s="842">
        <v>1</v>
      </c>
      <c r="S18" s="842"/>
      <c r="T18" s="114">
        <f t="shared" si="5"/>
        <v>45</v>
      </c>
      <c r="U18" s="117">
        <f t="shared" si="2"/>
        <v>205124</v>
      </c>
    </row>
    <row r="19" spans="1:21" x14ac:dyDescent="0.25">
      <c r="A19" s="764" t="s">
        <v>110</v>
      </c>
      <c r="B19" s="764"/>
      <c r="C19" s="192">
        <v>49.49</v>
      </c>
      <c r="D19" s="192">
        <v>50.97</v>
      </c>
      <c r="E19" s="147">
        <f t="shared" si="3"/>
        <v>100.46000000000001</v>
      </c>
      <c r="F19" s="814">
        <f>'0664'!F19:G19</f>
        <v>3.6480000000000001</v>
      </c>
      <c r="G19" s="814"/>
      <c r="H19" s="99">
        <f t="shared" si="4"/>
        <v>366.47809999999998</v>
      </c>
      <c r="I19" s="120">
        <f t="shared" si="0"/>
        <v>1670524.96</v>
      </c>
      <c r="N19" s="840" t="s">
        <v>110</v>
      </c>
      <c r="O19" s="840"/>
      <c r="P19" s="841">
        <f t="shared" si="1"/>
        <v>100.46000000000001</v>
      </c>
      <c r="Q19" s="841"/>
      <c r="R19" s="842">
        <v>1</v>
      </c>
      <c r="S19" s="842"/>
      <c r="T19" s="114">
        <f t="shared" si="5"/>
        <v>100.46</v>
      </c>
      <c r="U19" s="115">
        <f t="shared" si="2"/>
        <v>457929</v>
      </c>
    </row>
    <row r="20" spans="1:21" x14ac:dyDescent="0.25">
      <c r="A20" s="764" t="s">
        <v>111</v>
      </c>
      <c r="B20" s="764"/>
      <c r="C20" s="192">
        <v>36.5</v>
      </c>
      <c r="D20" s="192">
        <v>35</v>
      </c>
      <c r="E20" s="147">
        <f t="shared" si="3"/>
        <v>71.5</v>
      </c>
      <c r="F20" s="814">
        <f>'0664'!F20:G20</f>
        <v>3.6480000000000001</v>
      </c>
      <c r="G20" s="814"/>
      <c r="H20" s="99">
        <f t="shared" si="4"/>
        <v>260.83199999999999</v>
      </c>
      <c r="I20" s="120">
        <f t="shared" si="0"/>
        <v>1188956.08</v>
      </c>
      <c r="N20" s="840" t="s">
        <v>111</v>
      </c>
      <c r="O20" s="840"/>
      <c r="P20" s="841">
        <f t="shared" si="1"/>
        <v>71.5</v>
      </c>
      <c r="Q20" s="841"/>
      <c r="R20" s="842">
        <v>1</v>
      </c>
      <c r="S20" s="842"/>
      <c r="T20" s="114">
        <f t="shared" si="5"/>
        <v>71.5</v>
      </c>
      <c r="U20" s="115">
        <f t="shared" si="2"/>
        <v>325920</v>
      </c>
    </row>
    <row r="21" spans="1:21" x14ac:dyDescent="0.25">
      <c r="A21" s="764" t="s">
        <v>112</v>
      </c>
      <c r="B21" s="764"/>
      <c r="C21" s="192">
        <v>26</v>
      </c>
      <c r="D21" s="192">
        <v>25.5</v>
      </c>
      <c r="E21" s="147">
        <f t="shared" si="3"/>
        <v>51.5</v>
      </c>
      <c r="F21" s="814">
        <f>'0664'!F21:G21</f>
        <v>3.6480000000000001</v>
      </c>
      <c r="G21" s="814"/>
      <c r="H21" s="99">
        <f t="shared" si="4"/>
        <v>187.87200000000001</v>
      </c>
      <c r="I21" s="120">
        <f t="shared" si="0"/>
        <v>856380.96</v>
      </c>
      <c r="N21" s="840" t="s">
        <v>112</v>
      </c>
      <c r="O21" s="840"/>
      <c r="P21" s="841">
        <f t="shared" si="1"/>
        <v>51.5</v>
      </c>
      <c r="Q21" s="841"/>
      <c r="R21" s="842">
        <v>1</v>
      </c>
      <c r="S21" s="842"/>
      <c r="T21" s="114">
        <f t="shared" si="5"/>
        <v>51.5</v>
      </c>
      <c r="U21" s="115">
        <f t="shared" si="2"/>
        <v>234754</v>
      </c>
    </row>
    <row r="22" spans="1:21" x14ac:dyDescent="0.25">
      <c r="A22" s="764" t="s">
        <v>113</v>
      </c>
      <c r="B22" s="764"/>
      <c r="C22" s="192">
        <v>7</v>
      </c>
      <c r="D22" s="192">
        <v>6.5</v>
      </c>
      <c r="E22" s="147">
        <f t="shared" si="3"/>
        <v>13.5</v>
      </c>
      <c r="F22" s="814">
        <f>'0664'!F22:G22</f>
        <v>5.34</v>
      </c>
      <c r="G22" s="814"/>
      <c r="H22" s="99">
        <f t="shared" si="4"/>
        <v>72.09</v>
      </c>
      <c r="I22" s="120">
        <f t="shared" si="0"/>
        <v>328609.39</v>
      </c>
      <c r="N22" s="840" t="s">
        <v>113</v>
      </c>
      <c r="O22" s="840"/>
      <c r="P22" s="841">
        <f t="shared" si="1"/>
        <v>13.5</v>
      </c>
      <c r="Q22" s="841"/>
      <c r="R22" s="842">
        <v>1</v>
      </c>
      <c r="S22" s="842"/>
      <c r="T22" s="114">
        <f t="shared" si="5"/>
        <v>13.5</v>
      </c>
      <c r="U22" s="115">
        <f t="shared" si="2"/>
        <v>61537</v>
      </c>
    </row>
    <row r="23" spans="1:21" x14ac:dyDescent="0.25">
      <c r="A23" s="764" t="s">
        <v>114</v>
      </c>
      <c r="B23" s="764"/>
      <c r="C23" s="192">
        <v>16</v>
      </c>
      <c r="D23" s="192">
        <v>16</v>
      </c>
      <c r="E23" s="147">
        <f t="shared" si="3"/>
        <v>32</v>
      </c>
      <c r="F23" s="814">
        <f>'0664'!F23:G23</f>
        <v>5.34</v>
      </c>
      <c r="G23" s="814"/>
      <c r="H23" s="99">
        <f t="shared" si="4"/>
        <v>170.88</v>
      </c>
      <c r="I23" s="120">
        <f t="shared" si="0"/>
        <v>778925.96</v>
      </c>
      <c r="N23" s="840" t="s">
        <v>114</v>
      </c>
      <c r="O23" s="840"/>
      <c r="P23" s="841">
        <f t="shared" si="1"/>
        <v>32</v>
      </c>
      <c r="Q23" s="841"/>
      <c r="R23" s="842">
        <v>1</v>
      </c>
      <c r="S23" s="842"/>
      <c r="T23" s="114">
        <f t="shared" si="5"/>
        <v>32</v>
      </c>
      <c r="U23" s="115">
        <f t="shared" si="2"/>
        <v>145866</v>
      </c>
    </row>
    <row r="24" spans="1:21" x14ac:dyDescent="0.25">
      <c r="A24" s="764" t="s">
        <v>115</v>
      </c>
      <c r="B24" s="764"/>
      <c r="C24" s="192">
        <v>17</v>
      </c>
      <c r="D24" s="192">
        <v>15.5</v>
      </c>
      <c r="E24" s="147">
        <f t="shared" si="3"/>
        <v>32.5</v>
      </c>
      <c r="F24" s="814">
        <f>'0664'!F24:G24</f>
        <v>5.34</v>
      </c>
      <c r="G24" s="814"/>
      <c r="H24" s="99">
        <f t="shared" si="4"/>
        <v>173.55</v>
      </c>
      <c r="I24" s="120">
        <f t="shared" si="0"/>
        <v>791096.68</v>
      </c>
      <c r="N24" s="840" t="s">
        <v>115</v>
      </c>
      <c r="O24" s="840"/>
      <c r="P24" s="841">
        <f t="shared" si="1"/>
        <v>32.5</v>
      </c>
      <c r="Q24" s="841"/>
      <c r="R24" s="842">
        <v>1</v>
      </c>
      <c r="S24" s="842"/>
      <c r="T24" s="114">
        <f t="shared" si="5"/>
        <v>32.5</v>
      </c>
      <c r="U24" s="115">
        <f t="shared" si="2"/>
        <v>148145</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188.49</v>
      </c>
      <c r="D29" s="113">
        <f>SUM(D13:D28)</f>
        <v>185.97</v>
      </c>
      <c r="E29" s="113">
        <f>SUM(E13:E28)</f>
        <v>374.46000000000004</v>
      </c>
      <c r="F29" s="820"/>
      <c r="G29" s="820"/>
      <c r="H29" s="118">
        <f>SUM(H13:H28)</f>
        <v>1305.7820999999999</v>
      </c>
      <c r="I29" s="113">
        <f>SUM(I13:I28)</f>
        <v>5952174.4699999997</v>
      </c>
      <c r="N29" s="850" t="s">
        <v>5</v>
      </c>
      <c r="O29" s="850"/>
      <c r="P29" s="851">
        <f>SUM(P13:P28)</f>
        <v>374.46000000000004</v>
      </c>
      <c r="Q29" s="851"/>
      <c r="R29" s="852"/>
      <c r="S29" s="852"/>
      <c r="T29" s="119">
        <f>SUM(T13:T28)</f>
        <v>374.46</v>
      </c>
      <c r="U29" s="115">
        <f>SUM(U13:U28)</f>
        <v>1706907</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1305.7820999999999</v>
      </c>
      <c r="F45" s="36"/>
      <c r="G45" s="128"/>
      <c r="H45" s="129" t="s">
        <v>131</v>
      </c>
      <c r="I45" s="113">
        <f>SUM(I43,I29)</f>
        <v>5952174.4699999997</v>
      </c>
      <c r="N45" s="855" t="s">
        <v>56</v>
      </c>
      <c r="O45" s="855"/>
      <c r="P45" s="855"/>
      <c r="Q45" s="855"/>
      <c r="R45" s="37">
        <f>R43+T29</f>
        <v>374.46</v>
      </c>
      <c r="S45" s="852" t="s">
        <v>54</v>
      </c>
      <c r="T45" s="852"/>
      <c r="U45" s="130">
        <f>SUM(U43,U29)</f>
        <v>1706907</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2.5</v>
      </c>
      <c r="D52" s="192">
        <v>2</v>
      </c>
      <c r="E52" s="147">
        <f t="shared" si="10"/>
        <v>4.5</v>
      </c>
      <c r="F52" s="52" t="s">
        <v>21</v>
      </c>
      <c r="G52" s="52">
        <v>253</v>
      </c>
      <c r="H52" s="485">
        <f>'0664'!H52</f>
        <v>6896</v>
      </c>
      <c r="I52" s="120">
        <f t="shared" si="11"/>
        <v>31032</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11</v>
      </c>
      <c r="D55" s="192">
        <v>11.5</v>
      </c>
      <c r="E55" s="147">
        <f t="shared" si="10"/>
        <v>22.5</v>
      </c>
      <c r="F55" s="143" t="s">
        <v>14</v>
      </c>
      <c r="G55" s="52">
        <v>253</v>
      </c>
      <c r="H55" s="485">
        <f>'0664'!H55</f>
        <v>7023</v>
      </c>
      <c r="I55" s="120">
        <f t="shared" si="11"/>
        <v>158017.5</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2</v>
      </c>
      <c r="D57" s="192">
        <v>2.5099999999999998</v>
      </c>
      <c r="E57" s="147">
        <f t="shared" si="10"/>
        <v>4.51</v>
      </c>
      <c r="F57" s="143" t="s">
        <v>15</v>
      </c>
      <c r="G57" s="52">
        <v>252</v>
      </c>
      <c r="H57" s="485">
        <f>'0664'!H57</f>
        <v>3168</v>
      </c>
      <c r="I57" s="120">
        <f t="shared" si="11"/>
        <v>14287.68</v>
      </c>
      <c r="N57" s="863"/>
      <c r="O57" s="863"/>
      <c r="P57" s="865"/>
      <c r="Q57" s="865"/>
      <c r="R57" s="45" t="s">
        <v>15</v>
      </c>
      <c r="S57" s="43">
        <v>252</v>
      </c>
      <c r="T57" s="138">
        <f t="shared" si="12"/>
        <v>3168</v>
      </c>
      <c r="U57" s="139">
        <f t="shared" si="13"/>
        <v>0</v>
      </c>
    </row>
    <row r="58" spans="1:21" ht="16.5" thickBot="1" x14ac:dyDescent="0.3">
      <c r="A58" s="792"/>
      <c r="B58" s="792"/>
      <c r="C58" s="192">
        <v>20</v>
      </c>
      <c r="D58" s="192">
        <v>20.49</v>
      </c>
      <c r="E58" s="147">
        <f t="shared" si="10"/>
        <v>40.489999999999995</v>
      </c>
      <c r="F58" s="143" t="s">
        <v>15</v>
      </c>
      <c r="G58" s="52">
        <v>253</v>
      </c>
      <c r="H58" s="485">
        <f>'0664'!H58</f>
        <v>6685</v>
      </c>
      <c r="I58" s="120">
        <f t="shared" si="11"/>
        <v>270675.65000000002</v>
      </c>
      <c r="N58" s="863"/>
      <c r="O58" s="863"/>
      <c r="P58" s="866"/>
      <c r="Q58" s="866"/>
      <c r="R58" s="45" t="s">
        <v>15</v>
      </c>
      <c r="S58" s="43">
        <v>253</v>
      </c>
      <c r="T58" s="138">
        <f t="shared" si="12"/>
        <v>6685</v>
      </c>
      <c r="U58" s="141">
        <f t="shared" si="13"/>
        <v>0</v>
      </c>
    </row>
    <row r="59" spans="1:21" ht="16.5" thickBot="1" x14ac:dyDescent="0.3">
      <c r="A59" s="767" t="s">
        <v>16</v>
      </c>
      <c r="B59" s="767"/>
      <c r="C59" s="116">
        <f>SUM(C50:C58)</f>
        <v>35.5</v>
      </c>
      <c r="D59" s="116">
        <f>SUM(D50:D58)</f>
        <v>36.5</v>
      </c>
      <c r="E59" s="116">
        <f>SUM(E50:E58)</f>
        <v>72</v>
      </c>
      <c r="F59" s="767" t="s">
        <v>78</v>
      </c>
      <c r="G59" s="767"/>
      <c r="H59" s="767"/>
      <c r="I59" s="116">
        <f>SUM(I50:I58)</f>
        <v>474012.83</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374.46000000000004</v>
      </c>
      <c r="D62" s="882" t="s">
        <v>137</v>
      </c>
      <c r="E62" s="882"/>
      <c r="F62" s="882"/>
      <c r="G62" s="882"/>
      <c r="H62" s="542">
        <f>'0664'!H62</f>
        <v>190754.06</v>
      </c>
      <c r="I62" s="144"/>
      <c r="N62" s="860" t="s">
        <v>327</v>
      </c>
      <c r="O62" s="840"/>
      <c r="P62" s="46">
        <f>P29</f>
        <v>374.46000000000004</v>
      </c>
      <c r="Q62" s="861" t="s">
        <v>79</v>
      </c>
      <c r="R62" s="861"/>
      <c r="S62" s="861"/>
      <c r="T62" s="862">
        <f>H62</f>
        <v>190754.06</v>
      </c>
      <c r="U62" s="862"/>
    </row>
    <row r="63" spans="1:21" x14ac:dyDescent="0.25">
      <c r="B63" s="86"/>
      <c r="G63" s="47" t="s">
        <v>13</v>
      </c>
      <c r="H63" s="145">
        <f>ROUND(C62/H62,6)</f>
        <v>1.9629999999999999E-3</v>
      </c>
      <c r="I63" s="146"/>
      <c r="N63" s="840" t="s">
        <v>19</v>
      </c>
      <c r="O63" s="840"/>
      <c r="P63" s="840"/>
      <c r="Q63" s="840"/>
      <c r="R63" s="840"/>
      <c r="S63" s="840"/>
      <c r="T63" s="868">
        <f>ROUND(P62/T62,6)</f>
        <v>1.9629999999999999E-3</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1305.7820999999999</v>
      </c>
      <c r="D65" s="882" t="s">
        <v>142</v>
      </c>
      <c r="E65" s="882"/>
      <c r="F65" s="882"/>
      <c r="G65" s="882"/>
      <c r="H65" s="543">
        <f>'0664'!H65</f>
        <v>214462.41</v>
      </c>
      <c r="I65" s="147"/>
      <c r="N65" s="840" t="s">
        <v>81</v>
      </c>
      <c r="O65" s="840"/>
      <c r="P65" s="46">
        <f>R45</f>
        <v>374.46</v>
      </c>
      <c r="Q65" s="861" t="s">
        <v>80</v>
      </c>
      <c r="R65" s="861"/>
      <c r="S65" s="861"/>
      <c r="T65" s="862">
        <f>H65</f>
        <v>214462.41</v>
      </c>
      <c r="U65" s="862"/>
    </row>
    <row r="66" spans="1:21" s="38" customFormat="1" x14ac:dyDescent="0.25">
      <c r="A66" s="148"/>
      <c r="G66" s="48" t="s">
        <v>13</v>
      </c>
      <c r="H66" s="149">
        <f>ROUND(C65/H65,6)</f>
        <v>6.0889999999999998E-3</v>
      </c>
      <c r="I66" s="149"/>
      <c r="N66" s="845" t="s">
        <v>20</v>
      </c>
      <c r="O66" s="845"/>
      <c r="P66" s="845"/>
      <c r="Q66" s="845"/>
      <c r="R66" s="845"/>
      <c r="S66" s="845"/>
      <c r="T66" s="867">
        <f>ROUND(P65/T65,6)</f>
        <v>1.7459999999999999E-3</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1.9629999999999999E-3</v>
      </c>
      <c r="I68" s="120">
        <f>ROUND(F68*H68,2)</f>
        <v>82504.06</v>
      </c>
      <c r="N68" s="840" t="s">
        <v>87</v>
      </c>
      <c r="O68" s="840"/>
      <c r="P68" s="840"/>
      <c r="Q68" s="50"/>
      <c r="R68" s="156">
        <f>F68</f>
        <v>42029577</v>
      </c>
      <c r="S68" s="42" t="s">
        <v>6</v>
      </c>
      <c r="T68" s="157">
        <f>T63</f>
        <v>1.9629999999999999E-3</v>
      </c>
      <c r="U68" s="115">
        <f>ROUND(R68*T68,0)</f>
        <v>82504</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1.9629999999999999E-3</v>
      </c>
      <c r="I70" s="120">
        <f>ROUND(F70*H70,2)</f>
        <v>0</v>
      </c>
      <c r="N70" s="51"/>
      <c r="O70" s="51"/>
      <c r="P70" s="51"/>
      <c r="Q70" s="50"/>
      <c r="R70" s="156">
        <f>F70</f>
        <v>0</v>
      </c>
      <c r="S70" s="42" t="s">
        <v>6</v>
      </c>
      <c r="T70" s="157">
        <f>T63</f>
        <v>1.9629999999999999E-3</v>
      </c>
      <c r="U70" s="115">
        <f>ROUND(R70*T70,0)</f>
        <v>0</v>
      </c>
    </row>
    <row r="71" spans="1:21" x14ac:dyDescent="0.25">
      <c r="A71" s="765" t="s">
        <v>85</v>
      </c>
      <c r="B71" s="764"/>
      <c r="C71" s="764"/>
      <c r="D71" s="556" t="s">
        <v>358</v>
      </c>
      <c r="E71" s="610" t="s">
        <v>372</v>
      </c>
      <c r="F71" s="544">
        <f>'0664'!F71</f>
        <v>146607</v>
      </c>
      <c r="G71" s="40" t="s">
        <v>6</v>
      </c>
      <c r="H71" s="155">
        <f>H63</f>
        <v>1.9629999999999999E-3</v>
      </c>
      <c r="I71" s="120">
        <f>IF(D71="Y",ROUND(F71*H71,2),0)</f>
        <v>287.79000000000002</v>
      </c>
      <c r="N71" s="840" t="s">
        <v>85</v>
      </c>
      <c r="O71" s="840"/>
      <c r="P71" s="840"/>
      <c r="Q71" s="50"/>
      <c r="R71" s="156">
        <f>F71</f>
        <v>146607</v>
      </c>
      <c r="S71" s="42" t="s">
        <v>6</v>
      </c>
      <c r="T71" s="157">
        <f>T63</f>
        <v>1.9629999999999999E-3</v>
      </c>
      <c r="U71" s="115">
        <f>ROUND(R71*T71,0)</f>
        <v>288</v>
      </c>
    </row>
    <row r="72" spans="1:21" x14ac:dyDescent="0.25">
      <c r="A72" s="764" t="s">
        <v>84</v>
      </c>
      <c r="B72" s="764"/>
      <c r="C72" s="764"/>
      <c r="D72" s="86"/>
      <c r="E72" s="71" t="s">
        <v>3</v>
      </c>
      <c r="F72" s="544">
        <f>'0664'!F72</f>
        <v>11337910</v>
      </c>
      <c r="G72" s="40" t="s">
        <v>6</v>
      </c>
      <c r="H72" s="155">
        <f>H63</f>
        <v>1.9629999999999999E-3</v>
      </c>
      <c r="I72" s="120">
        <f>ROUND(F72*H72,2)</f>
        <v>22256.32</v>
      </c>
      <c r="N72" s="840" t="s">
        <v>84</v>
      </c>
      <c r="O72" s="840"/>
      <c r="P72" s="840"/>
      <c r="Q72" s="50"/>
      <c r="R72" s="156">
        <f>F72</f>
        <v>11337910</v>
      </c>
      <c r="S72" s="42" t="s">
        <v>6</v>
      </c>
      <c r="T72" s="157">
        <f>T63</f>
        <v>1.9629999999999999E-3</v>
      </c>
      <c r="U72" s="115">
        <f>ROUND(R72*T72,0)</f>
        <v>22256</v>
      </c>
    </row>
    <row r="73" spans="1:21" x14ac:dyDescent="0.25">
      <c r="A73" s="765" t="s">
        <v>83</v>
      </c>
      <c r="B73" s="764"/>
      <c r="C73" s="764"/>
      <c r="D73" s="86"/>
      <c r="E73" s="71" t="s">
        <v>3</v>
      </c>
      <c r="F73" s="544">
        <f>'0664'!F73</f>
        <v>13882385</v>
      </c>
      <c r="G73" s="40" t="s">
        <v>6</v>
      </c>
      <c r="H73" s="155">
        <f>H63</f>
        <v>1.9629999999999999E-3</v>
      </c>
      <c r="I73" s="120">
        <f>ROUND(F73*H73,2)</f>
        <v>27251.119999999999</v>
      </c>
      <c r="N73" s="840" t="s">
        <v>83</v>
      </c>
      <c r="O73" s="840"/>
      <c r="P73" s="840"/>
      <c r="Q73" s="50"/>
      <c r="R73" s="159">
        <f>F73</f>
        <v>13882385</v>
      </c>
      <c r="S73" s="42" t="s">
        <v>6</v>
      </c>
      <c r="T73" s="157">
        <f>T63</f>
        <v>1.9629999999999999E-3</v>
      </c>
      <c r="U73" s="115">
        <f>ROUND(R73*T73,0)</f>
        <v>27251</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1.9629999999999999E-3</v>
      </c>
      <c r="I77" s="120">
        <f t="shared" ref="I77:I82" si="14">ROUND(F77*H77,2)</f>
        <v>14648.97</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1.9629999999999999E-3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6.0889999999999998E-3</v>
      </c>
      <c r="I79" s="120">
        <f t="shared" si="14"/>
        <v>0</v>
      </c>
      <c r="N79" s="860" t="s">
        <v>414</v>
      </c>
      <c r="O79" s="840"/>
      <c r="P79" s="840"/>
      <c r="Q79" s="50"/>
      <c r="R79" s="159">
        <f t="shared" si="15"/>
        <v>0</v>
      </c>
      <c r="S79" s="42" t="s">
        <v>6</v>
      </c>
      <c r="T79" s="157">
        <f>T66</f>
        <v>1.7459999999999999E-3</v>
      </c>
      <c r="U79" s="115">
        <f t="shared" si="16"/>
        <v>0</v>
      </c>
    </row>
    <row r="80" spans="1:21" x14ac:dyDescent="0.25">
      <c r="A80" s="765" t="s">
        <v>415</v>
      </c>
      <c r="B80" s="764"/>
      <c r="C80" s="764"/>
      <c r="D80" s="86"/>
      <c r="E80" s="71" t="s">
        <v>4</v>
      </c>
      <c r="F80" s="544">
        <f>'0664'!F80</f>
        <v>8562788</v>
      </c>
      <c r="G80" s="40" t="s">
        <v>6</v>
      </c>
      <c r="H80" s="155">
        <f>H66</f>
        <v>6.0889999999999998E-3</v>
      </c>
      <c r="I80" s="120">
        <f t="shared" si="14"/>
        <v>52138.82</v>
      </c>
      <c r="N80" s="860" t="s">
        <v>415</v>
      </c>
      <c r="O80" s="840"/>
      <c r="P80" s="840"/>
      <c r="Q80" s="50"/>
      <c r="R80" s="159">
        <f t="shared" si="15"/>
        <v>8562788</v>
      </c>
      <c r="S80" s="42" t="s">
        <v>6</v>
      </c>
      <c r="T80" s="157">
        <f>T66</f>
        <v>1.7459999999999999E-3</v>
      </c>
      <c r="U80" s="115">
        <f t="shared" si="16"/>
        <v>14951</v>
      </c>
    </row>
    <row r="81" spans="1:21" x14ac:dyDescent="0.25">
      <c r="A81" s="765" t="s">
        <v>419</v>
      </c>
      <c r="B81" s="764"/>
      <c r="C81" s="764"/>
      <c r="D81" s="86"/>
      <c r="E81" s="71" t="s">
        <v>4</v>
      </c>
      <c r="F81" s="544">
        <f>'0664'!F81</f>
        <v>168663228</v>
      </c>
      <c r="G81" s="40" t="s">
        <v>6</v>
      </c>
      <c r="H81" s="155">
        <f>H66</f>
        <v>6.0889999999999998E-3</v>
      </c>
      <c r="I81" s="120">
        <f t="shared" si="14"/>
        <v>1026990.4</v>
      </c>
      <c r="N81" s="860" t="s">
        <v>419</v>
      </c>
      <c r="O81" s="840"/>
      <c r="P81" s="840"/>
      <c r="Q81" s="50"/>
      <c r="R81" s="159">
        <f t="shared" si="15"/>
        <v>168663228</v>
      </c>
      <c r="S81" s="42" t="s">
        <v>6</v>
      </c>
      <c r="T81" s="157">
        <f>T66</f>
        <v>1.7459999999999999E-3</v>
      </c>
      <c r="U81" s="115">
        <f t="shared" si="16"/>
        <v>294486</v>
      </c>
    </row>
    <row r="82" spans="1:21" x14ac:dyDescent="0.25">
      <c r="A82" s="765" t="s">
        <v>420</v>
      </c>
      <c r="B82" s="764"/>
      <c r="C82" s="764"/>
      <c r="D82" s="86"/>
      <c r="E82" s="71" t="s">
        <v>4</v>
      </c>
      <c r="F82" s="544">
        <f>'0664'!F82</f>
        <v>0</v>
      </c>
      <c r="G82" s="40" t="s">
        <v>6</v>
      </c>
      <c r="H82" s="155">
        <f>H66</f>
        <v>6.0889999999999998E-3</v>
      </c>
      <c r="I82" s="120">
        <f t="shared" si="14"/>
        <v>0</v>
      </c>
      <c r="N82" s="860" t="s">
        <v>420</v>
      </c>
      <c r="O82" s="840"/>
      <c r="P82" s="840"/>
      <c r="Q82" s="50"/>
      <c r="R82" s="156">
        <f t="shared" si="15"/>
        <v>0</v>
      </c>
      <c r="S82" s="42" t="s">
        <v>6</v>
      </c>
      <c r="T82" s="157">
        <f>T66</f>
        <v>1.7459999999999999E-3</v>
      </c>
      <c r="U82" s="115">
        <f t="shared" si="16"/>
        <v>0</v>
      </c>
    </row>
    <row r="83" spans="1:21" x14ac:dyDescent="0.25">
      <c r="A83" s="717" t="s">
        <v>425</v>
      </c>
      <c r="B83" s="443"/>
      <c r="C83" s="443"/>
      <c r="D83" s="443"/>
      <c r="E83" s="683" t="s">
        <v>45</v>
      </c>
      <c r="F83" s="544"/>
      <c r="G83" s="445"/>
      <c r="H83" s="155"/>
      <c r="I83" s="120">
        <v>237074.58</v>
      </c>
      <c r="N83" s="719" t="s">
        <v>425</v>
      </c>
      <c r="O83" s="444"/>
      <c r="P83" s="444"/>
      <c r="Q83" s="50"/>
      <c r="R83" s="159">
        <f t="shared" si="15"/>
        <v>0</v>
      </c>
      <c r="S83" s="446" t="s">
        <v>6</v>
      </c>
      <c r="T83" s="157">
        <f>T66</f>
        <v>1.7459999999999999E-3</v>
      </c>
      <c r="U83" s="115">
        <f>IF($H$116=1,I83,0)</f>
        <v>237074.58</v>
      </c>
    </row>
    <row r="84" spans="1:21" x14ac:dyDescent="0.25">
      <c r="A84" s="765" t="s">
        <v>457</v>
      </c>
      <c r="B84" s="764"/>
      <c r="C84" s="764"/>
      <c r="D84" s="744"/>
      <c r="E84" s="747" t="s">
        <v>3</v>
      </c>
      <c r="F84" s="544">
        <f>'0664'!F84</f>
        <v>21614343</v>
      </c>
      <c r="G84" s="749" t="s">
        <v>6</v>
      </c>
      <c r="H84" s="155">
        <f>H63</f>
        <v>1.9629999999999999E-3</v>
      </c>
      <c r="I84" s="120">
        <f>ROUND(F84*H84,2)</f>
        <v>42428.959999999999</v>
      </c>
      <c r="N84" s="860" t="s">
        <v>457</v>
      </c>
      <c r="O84" s="840"/>
      <c r="P84" s="840"/>
      <c r="Q84" s="50"/>
      <c r="R84" s="156">
        <f>F84</f>
        <v>21614343</v>
      </c>
      <c r="S84" s="751" t="s">
        <v>6</v>
      </c>
      <c r="T84" s="157">
        <f>T68</f>
        <v>1.9629999999999999E-3</v>
      </c>
      <c r="U84" s="115">
        <f>ROUND(R84*T84,0)</f>
        <v>42429</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444.19809999999995</v>
      </c>
      <c r="D89" s="781"/>
      <c r="E89" s="54">
        <f>H8</f>
        <v>1.0424</v>
      </c>
      <c r="F89" s="545">
        <f>'0664'!F89</f>
        <v>966.9</v>
      </c>
      <c r="G89" s="186" t="s">
        <v>13</v>
      </c>
      <c r="H89" s="120">
        <f>ROUND(C89*E89*F89,2)</f>
        <v>447705.74</v>
      </c>
      <c r="I89" s="124"/>
      <c r="N89" s="56" t="s">
        <v>22</v>
      </c>
      <c r="O89" s="57">
        <f>T13+T14+T19+T22+T25</f>
        <v>118.96</v>
      </c>
      <c r="P89" s="875">
        <f>T8</f>
        <v>1.0424</v>
      </c>
      <c r="Q89" s="875"/>
      <c r="R89" s="58">
        <f>F89</f>
        <v>966.9</v>
      </c>
      <c r="S89" s="59" t="s">
        <v>13</v>
      </c>
      <c r="T89" s="159">
        <f>ROUND(O89*P89*R89,0)</f>
        <v>119899</v>
      </c>
      <c r="U89" s="121"/>
    </row>
    <row r="90" spans="1:21" x14ac:dyDescent="0.25">
      <c r="A90" s="60"/>
      <c r="B90" s="60" t="s">
        <v>149</v>
      </c>
      <c r="C90" s="781">
        <f>H15+H16+H20+H23+H26</f>
        <v>454.71199999999999</v>
      </c>
      <c r="D90" s="781"/>
      <c r="E90" s="54">
        <f>H8</f>
        <v>1.0424</v>
      </c>
      <c r="F90" s="545">
        <f>'0664'!F90</f>
        <v>923.19</v>
      </c>
      <c r="G90" s="186" t="s">
        <v>13</v>
      </c>
      <c r="H90" s="120">
        <f>ROUND(C90*E90*F90,2)</f>
        <v>437584.48</v>
      </c>
      <c r="I90" s="61"/>
      <c r="N90" s="62" t="s">
        <v>14</v>
      </c>
      <c r="O90" s="57">
        <f>T15+T16+T20+T23+T26</f>
        <v>126.5</v>
      </c>
      <c r="P90" s="875">
        <f>T8</f>
        <v>1.0424</v>
      </c>
      <c r="Q90" s="875"/>
      <c r="R90" s="58">
        <f>F90</f>
        <v>923.19</v>
      </c>
      <c r="S90" s="59" t="s">
        <v>13</v>
      </c>
      <c r="T90" s="159">
        <f>ROUND(O90*P90*R90,0)</f>
        <v>121735</v>
      </c>
      <c r="U90" s="63"/>
    </row>
    <row r="91" spans="1:21" ht="16.5" thickBot="1" x14ac:dyDescent="0.3">
      <c r="A91" s="64"/>
      <c r="B91" s="64" t="s">
        <v>148</v>
      </c>
      <c r="C91" s="781">
        <f>H17+H18+H21+H24+H27+H28</f>
        <v>406.87200000000001</v>
      </c>
      <c r="D91" s="781"/>
      <c r="E91" s="54">
        <f>H8</f>
        <v>1.0424</v>
      </c>
      <c r="F91" s="545">
        <f>'0664'!F91</f>
        <v>925.42</v>
      </c>
      <c r="G91" s="186" t="s">
        <v>13</v>
      </c>
      <c r="H91" s="113">
        <f>ROUND(C91*E91*F91,2)</f>
        <v>392492.25</v>
      </c>
      <c r="I91" s="61"/>
      <c r="N91" s="65" t="s">
        <v>15</v>
      </c>
      <c r="O91" s="66">
        <f>T17+T18+T21+T24+T27+T28</f>
        <v>129</v>
      </c>
      <c r="P91" s="875">
        <f>T8</f>
        <v>1.0424</v>
      </c>
      <c r="Q91" s="875"/>
      <c r="R91" s="58">
        <f>F91</f>
        <v>925.42</v>
      </c>
      <c r="S91" s="59" t="s">
        <v>13</v>
      </c>
      <c r="T91" s="159">
        <f>ROUND(O91*P91*R91,0)</f>
        <v>124441</v>
      </c>
      <c r="U91" s="63"/>
    </row>
    <row r="92" spans="1:21" ht="16.5" thickBot="1" x14ac:dyDescent="0.3">
      <c r="A92" s="67"/>
      <c r="B92" s="167" t="s">
        <v>147</v>
      </c>
      <c r="C92" s="782">
        <f>SUM(C89:C91)</f>
        <v>1305.7820999999999</v>
      </c>
      <c r="D92" s="782"/>
      <c r="E92" s="168"/>
      <c r="F92" s="168"/>
      <c r="G92" s="168"/>
      <c r="H92" s="169" t="s">
        <v>145</v>
      </c>
      <c r="I92" s="120">
        <f>IF(A1=75,0,H91+H90+H89)</f>
        <v>1277782.47</v>
      </c>
      <c r="N92" s="70" t="s">
        <v>122</v>
      </c>
      <c r="O92" s="69">
        <f>SUM(O89:O91)</f>
        <v>374.46</v>
      </c>
      <c r="P92" s="876" t="s">
        <v>18</v>
      </c>
      <c r="Q92" s="877"/>
      <c r="R92" s="877"/>
      <c r="S92" s="877"/>
      <c r="T92" s="877"/>
      <c r="U92" s="115">
        <f>IF(N1=75,0,T91+T90+T89)</f>
        <v>366075</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1</v>
      </c>
      <c r="D98" s="192">
        <v>4</v>
      </c>
      <c r="E98" s="147">
        <f>(C98+D98)/2</f>
        <v>2.5</v>
      </c>
      <c r="F98" s="173" t="s">
        <v>39</v>
      </c>
      <c r="G98" s="546">
        <f>'0664'!G98</f>
        <v>486</v>
      </c>
      <c r="I98" s="120">
        <f>ROUND(G98*E98,2)</f>
        <v>1215</v>
      </c>
      <c r="N98" s="873" t="s">
        <v>66</v>
      </c>
      <c r="O98" s="873"/>
      <c r="P98" s="874">
        <f>IF(H116=1,E98,0)</f>
        <v>2.5</v>
      </c>
      <c r="Q98" s="874"/>
      <c r="R98" s="874"/>
      <c r="S98" s="102" t="s">
        <v>39</v>
      </c>
      <c r="T98" s="72">
        <f>G98</f>
        <v>486</v>
      </c>
      <c r="U98" s="115">
        <f>ROUND(T98*P98,0)</f>
        <v>1215</v>
      </c>
    </row>
    <row r="99" spans="1:21" x14ac:dyDescent="0.25">
      <c r="A99" s="767" t="s">
        <v>82</v>
      </c>
      <c r="B99" s="767"/>
      <c r="C99" s="192">
        <v>0</v>
      </c>
      <c r="D99" s="192">
        <v>4</v>
      </c>
      <c r="E99" s="147">
        <f>(C99+D99)/2</f>
        <v>2</v>
      </c>
      <c r="F99" s="173" t="s">
        <v>39</v>
      </c>
      <c r="G99" s="546">
        <f>'0664'!G99</f>
        <v>1498</v>
      </c>
      <c r="I99" s="120">
        <f>ROUND(G99*E99,2)</f>
        <v>2996</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2753007.58</v>
      </c>
    </row>
    <row r="114" spans="1:21" ht="16.5" thickTop="1" x14ac:dyDescent="0.25">
      <c r="A114" s="767" t="s">
        <v>8</v>
      </c>
      <c r="B114" s="767"/>
      <c r="C114" s="767"/>
      <c r="D114" s="767"/>
      <c r="E114" s="767"/>
      <c r="F114" s="767"/>
      <c r="G114" s="767"/>
      <c r="H114" s="767"/>
      <c r="I114" s="120">
        <f>SUM(I112,I111,I109,I99,I98,I92,I84,I82,I81,I83,I80,I79,I78,I77,I75,I74,I73,I72,I71,I70,I68,I59,I45)</f>
        <v>9213761.7899999991</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f>IF(E29=0,"",IF((E14+E16+SUM(E18:E24))/E29&gt;0.75,1,""))</f>
        <v>1</v>
      </c>
      <c r="I116" s="147">
        <f>U113</f>
        <v>2753007.58</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2753007.58</v>
      </c>
      <c r="I118" s="113">
        <f>ROUND(IF(E29=0,0,IF(E29&gt;250,-(((250/E29)*H118)*IF(G118="H",0.02,0.05)),IF(G118="H",-0.02*H118,-0.05*H118))),2)</f>
        <v>-91899.25</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9121862.5399999991</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-9122471.9800000004</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-609.4400000013411</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-609.44000000000005</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IF(G118="H",(H118*0.02)+I118,(H118*0.05)+I118)</f>
        <v>45751.129000000015</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78:P78"/>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R105:S105"/>
    <mergeCell ref="A98:B98"/>
    <mergeCell ref="N98:O98"/>
    <mergeCell ref="P98:R98"/>
    <mergeCell ref="A99:B99"/>
    <mergeCell ref="N99:O99"/>
    <mergeCell ref="P99:R99"/>
    <mergeCell ref="R107:S107"/>
    <mergeCell ref="A102:C102"/>
    <mergeCell ref="F102:I102"/>
    <mergeCell ref="N102:U102"/>
    <mergeCell ref="C103:E103"/>
    <mergeCell ref="F104:G104"/>
    <mergeCell ref="A105:B105"/>
    <mergeCell ref="F105:G105"/>
    <mergeCell ref="N105:O105"/>
    <mergeCell ref="P105:Q105"/>
    <mergeCell ref="A108:B108"/>
    <mergeCell ref="F108:G108"/>
    <mergeCell ref="N108:O108"/>
    <mergeCell ref="P108:Q108"/>
    <mergeCell ref="F112:H112"/>
    <mergeCell ref="R108:S108"/>
    <mergeCell ref="A109:B109"/>
    <mergeCell ref="N109:O109"/>
    <mergeCell ref="A106:B106"/>
    <mergeCell ref="F106:G106"/>
    <mergeCell ref="N106:O106"/>
    <mergeCell ref="P106:Q106"/>
    <mergeCell ref="R106:S106"/>
    <mergeCell ref="A107:B107"/>
    <mergeCell ref="F107:G107"/>
    <mergeCell ref="N107:O107"/>
    <mergeCell ref="P107:Q107"/>
    <mergeCell ref="N116:U116"/>
    <mergeCell ref="A116:G116"/>
    <mergeCell ref="N135:U135"/>
    <mergeCell ref="N115:U115"/>
    <mergeCell ref="A111:C111"/>
    <mergeCell ref="F111:H111"/>
    <mergeCell ref="N111:P111"/>
    <mergeCell ref="N112:P112"/>
    <mergeCell ref="A112:C112"/>
    <mergeCell ref="N113:T113"/>
    <mergeCell ref="A114:H114"/>
    <mergeCell ref="A115:G115"/>
  </mergeCells>
  <pageMargins left="0.1" right="0.1" top="0.5" bottom="0.5" header="0" footer="0.1"/>
  <pageSetup scale="70" fitToHeight="3" orientation="portrait" r:id="rId1"/>
  <headerFooter alignWithMargins="0">
    <oddFooter>&amp;L&amp;8&amp;Z&amp;F&amp;R&amp;P of &amp;N</oddFooter>
  </headerFooter>
  <rowBreaks count="1" manualBreakCount="1">
    <brk id="134" max="16383" man="1"/>
  </rowBreaks>
  <colBreaks count="1" manualBreakCount="1">
    <brk id="9"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sheetPr>
  <dimension ref="A1:U202"/>
  <sheetViews>
    <sheetView showGridLines="0" zoomScale="90" zoomScaleNormal="90" workbookViewId="0">
      <pane ySplit="1" topLeftCell="A98"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409</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6.5</v>
      </c>
      <c r="D18" s="192">
        <v>6.5</v>
      </c>
      <c r="E18" s="147">
        <f t="shared" si="3"/>
        <v>13</v>
      </c>
      <c r="F18" s="814">
        <f>'0664'!F18:G18</f>
        <v>1.01</v>
      </c>
      <c r="G18" s="814"/>
      <c r="H18" s="99">
        <f t="shared" si="4"/>
        <v>13.13</v>
      </c>
      <c r="I18" s="120">
        <f t="shared" si="0"/>
        <v>59850.76</v>
      </c>
      <c r="J18" s="81" t="str">
        <f>IF(ROUND(E18,2)=ROUND(SUM(E56:E58),2)," ","CHECK 4-8 LINES BELOW")</f>
        <v xml:space="preserve"> </v>
      </c>
      <c r="N18" s="840" t="s">
        <v>34</v>
      </c>
      <c r="O18" s="840"/>
      <c r="P18" s="841">
        <f t="shared" si="1"/>
        <v>13</v>
      </c>
      <c r="Q18" s="841"/>
      <c r="R18" s="842">
        <v>1</v>
      </c>
      <c r="S18" s="842"/>
      <c r="T18" s="114">
        <f t="shared" si="5"/>
        <v>13</v>
      </c>
      <c r="U18" s="117">
        <f t="shared" si="2"/>
        <v>59258</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24.5</v>
      </c>
      <c r="D21" s="192">
        <v>22</v>
      </c>
      <c r="E21" s="147">
        <f t="shared" si="3"/>
        <v>46.5</v>
      </c>
      <c r="F21" s="814">
        <f>'0664'!F21:G21</f>
        <v>3.6480000000000001</v>
      </c>
      <c r="G21" s="814"/>
      <c r="H21" s="99">
        <f t="shared" si="4"/>
        <v>169.63200000000001</v>
      </c>
      <c r="I21" s="120">
        <f t="shared" si="0"/>
        <v>773237.17</v>
      </c>
      <c r="N21" s="840" t="s">
        <v>112</v>
      </c>
      <c r="O21" s="840"/>
      <c r="P21" s="841">
        <f t="shared" si="1"/>
        <v>46.5</v>
      </c>
      <c r="Q21" s="841"/>
      <c r="R21" s="842">
        <v>1</v>
      </c>
      <c r="S21" s="842"/>
      <c r="T21" s="114">
        <f t="shared" si="5"/>
        <v>46.5</v>
      </c>
      <c r="U21" s="115">
        <f t="shared" si="2"/>
        <v>211962</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30</v>
      </c>
      <c r="D24" s="192">
        <v>30</v>
      </c>
      <c r="E24" s="147">
        <f t="shared" si="3"/>
        <v>60</v>
      </c>
      <c r="F24" s="814">
        <f>'0664'!F24:G24</f>
        <v>5.34</v>
      </c>
      <c r="G24" s="814"/>
      <c r="H24" s="99">
        <f t="shared" si="4"/>
        <v>320.39999999999998</v>
      </c>
      <c r="I24" s="120">
        <f t="shared" si="0"/>
        <v>1460486.17</v>
      </c>
      <c r="N24" s="840" t="s">
        <v>115</v>
      </c>
      <c r="O24" s="840"/>
      <c r="P24" s="841">
        <f t="shared" si="1"/>
        <v>60</v>
      </c>
      <c r="Q24" s="841"/>
      <c r="R24" s="842">
        <v>1</v>
      </c>
      <c r="S24" s="842"/>
      <c r="T24" s="114">
        <f t="shared" si="5"/>
        <v>60</v>
      </c>
      <c r="U24" s="115">
        <f t="shared" si="2"/>
        <v>273499</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61</v>
      </c>
      <c r="D29" s="113">
        <f>SUM(D13:D28)</f>
        <v>58.5</v>
      </c>
      <c r="E29" s="113">
        <f>SUM(E13:E28)</f>
        <v>119.5</v>
      </c>
      <c r="F29" s="820"/>
      <c r="G29" s="820"/>
      <c r="H29" s="118">
        <f>SUM(H13:H28)</f>
        <v>503.16199999999998</v>
      </c>
      <c r="I29" s="113">
        <f>SUM(I13:I28)</f>
        <v>2293574.1</v>
      </c>
      <c r="N29" s="850" t="s">
        <v>5</v>
      </c>
      <c r="O29" s="850"/>
      <c r="P29" s="851">
        <f>SUM(P13:P28)</f>
        <v>119.5</v>
      </c>
      <c r="Q29" s="851"/>
      <c r="R29" s="852"/>
      <c r="S29" s="852"/>
      <c r="T29" s="119">
        <f>SUM(T13:T28)</f>
        <v>119.5</v>
      </c>
      <c r="U29" s="115">
        <f>SUM(U13:U28)</f>
        <v>544719</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503.16199999999998</v>
      </c>
      <c r="F45" s="36"/>
      <c r="G45" s="128"/>
      <c r="H45" s="129" t="s">
        <v>131</v>
      </c>
      <c r="I45" s="113">
        <f>SUM(I43,I29)</f>
        <v>2293574.1</v>
      </c>
      <c r="N45" s="855" t="s">
        <v>56</v>
      </c>
      <c r="O45" s="855"/>
      <c r="P45" s="855"/>
      <c r="Q45" s="855"/>
      <c r="R45" s="37">
        <f>R43+T29</f>
        <v>119.5</v>
      </c>
      <c r="S45" s="852" t="s">
        <v>54</v>
      </c>
      <c r="T45" s="852"/>
      <c r="U45" s="130">
        <f>SUM(U43,U29)</f>
        <v>544719</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7"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6.5</v>
      </c>
      <c r="D58" s="192">
        <v>6.5</v>
      </c>
      <c r="E58" s="147">
        <f>IF(D$59=0,C58*2,C58+D58)</f>
        <v>13</v>
      </c>
      <c r="F58" s="143" t="s">
        <v>15</v>
      </c>
      <c r="G58" s="52">
        <v>253</v>
      </c>
      <c r="H58" s="485">
        <f>'0664'!H58</f>
        <v>6685</v>
      </c>
      <c r="I58" s="120">
        <f t="shared" si="11"/>
        <v>86905</v>
      </c>
      <c r="N58" s="863"/>
      <c r="O58" s="863"/>
      <c r="P58" s="866"/>
      <c r="Q58" s="866"/>
      <c r="R58" s="45" t="s">
        <v>15</v>
      </c>
      <c r="S58" s="43">
        <v>253</v>
      </c>
      <c r="T58" s="138">
        <f t="shared" si="12"/>
        <v>6685</v>
      </c>
      <c r="U58" s="141">
        <f t="shared" si="13"/>
        <v>0</v>
      </c>
    </row>
    <row r="59" spans="1:21" ht="16.5" thickBot="1" x14ac:dyDescent="0.3">
      <c r="A59" s="767" t="s">
        <v>16</v>
      </c>
      <c r="B59" s="767"/>
      <c r="C59" s="116">
        <f>SUM(C50:C58)</f>
        <v>6.5</v>
      </c>
      <c r="D59" s="116">
        <f>SUM(D50:D58)</f>
        <v>6.5</v>
      </c>
      <c r="E59" s="116">
        <f>SUM(E50:E58)</f>
        <v>13</v>
      </c>
      <c r="F59" s="767" t="s">
        <v>78</v>
      </c>
      <c r="G59" s="767"/>
      <c r="H59" s="767"/>
      <c r="I59" s="116">
        <f>SUM(I50:I58)</f>
        <v>86905</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119.5</v>
      </c>
      <c r="D62" s="882" t="s">
        <v>137</v>
      </c>
      <c r="E62" s="882"/>
      <c r="F62" s="882"/>
      <c r="G62" s="882"/>
      <c r="H62" s="542">
        <f>'0664'!H62</f>
        <v>190754.06</v>
      </c>
      <c r="I62" s="144"/>
      <c r="N62" s="860" t="s">
        <v>327</v>
      </c>
      <c r="O62" s="840"/>
      <c r="P62" s="46">
        <f>P29</f>
        <v>119.5</v>
      </c>
      <c r="Q62" s="861" t="s">
        <v>79</v>
      </c>
      <c r="R62" s="861"/>
      <c r="S62" s="861"/>
      <c r="T62" s="862">
        <f>H62</f>
        <v>190754.06</v>
      </c>
      <c r="U62" s="862"/>
    </row>
    <row r="63" spans="1:21" x14ac:dyDescent="0.25">
      <c r="B63" s="86"/>
      <c r="G63" s="47" t="s">
        <v>13</v>
      </c>
      <c r="H63" s="145">
        <f>ROUND(C62/H62,6)</f>
        <v>6.2600000000000004E-4</v>
      </c>
      <c r="I63" s="146"/>
      <c r="N63" s="840" t="s">
        <v>19</v>
      </c>
      <c r="O63" s="840"/>
      <c r="P63" s="840"/>
      <c r="Q63" s="840"/>
      <c r="R63" s="840"/>
      <c r="S63" s="840"/>
      <c r="T63" s="868">
        <f>ROUND(P62/T62,6)</f>
        <v>6.2600000000000004E-4</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503.16199999999998</v>
      </c>
      <c r="D65" s="882" t="s">
        <v>142</v>
      </c>
      <c r="E65" s="882"/>
      <c r="F65" s="882"/>
      <c r="G65" s="882"/>
      <c r="H65" s="543">
        <f>'0664'!H65</f>
        <v>214462.41</v>
      </c>
      <c r="I65" s="147"/>
      <c r="N65" s="840" t="s">
        <v>81</v>
      </c>
      <c r="O65" s="840"/>
      <c r="P65" s="46">
        <f>R45</f>
        <v>119.5</v>
      </c>
      <c r="Q65" s="861" t="s">
        <v>80</v>
      </c>
      <c r="R65" s="861"/>
      <c r="S65" s="861"/>
      <c r="T65" s="862">
        <f>H65</f>
        <v>214462.41</v>
      </c>
      <c r="U65" s="862"/>
    </row>
    <row r="66" spans="1:21" s="38" customFormat="1" x14ac:dyDescent="0.25">
      <c r="A66" s="148"/>
      <c r="G66" s="48" t="s">
        <v>13</v>
      </c>
      <c r="H66" s="149">
        <f>ROUND(C65/H65,6)</f>
        <v>2.346E-3</v>
      </c>
      <c r="I66" s="149"/>
      <c r="N66" s="845" t="s">
        <v>20</v>
      </c>
      <c r="O66" s="845"/>
      <c r="P66" s="845"/>
      <c r="Q66" s="845"/>
      <c r="R66" s="845"/>
      <c r="S66" s="845"/>
      <c r="T66" s="867">
        <f>ROUND(P65/T65,6)</f>
        <v>5.5699999999999999E-4</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6.2600000000000004E-4</v>
      </c>
      <c r="I68" s="120">
        <f>ROUND(F68*H68,2)</f>
        <v>26310.52</v>
      </c>
      <c r="N68" s="840" t="s">
        <v>87</v>
      </c>
      <c r="O68" s="840"/>
      <c r="P68" s="840"/>
      <c r="Q68" s="50"/>
      <c r="R68" s="156">
        <f>F68</f>
        <v>42029577</v>
      </c>
      <c r="S68" s="42" t="s">
        <v>6</v>
      </c>
      <c r="T68" s="157">
        <f>T63</f>
        <v>6.2600000000000004E-4</v>
      </c>
      <c r="U68" s="115">
        <f>ROUND(R68*T68,0)</f>
        <v>26311</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6.2600000000000004E-4</v>
      </c>
      <c r="I70" s="120">
        <f>ROUND(F70*H70,2)</f>
        <v>0</v>
      </c>
      <c r="N70" s="51"/>
      <c r="O70" s="51"/>
      <c r="P70" s="51"/>
      <c r="Q70" s="50"/>
      <c r="R70" s="156">
        <f>F70</f>
        <v>0</v>
      </c>
      <c r="S70" s="42" t="s">
        <v>6</v>
      </c>
      <c r="T70" s="157">
        <f>T63</f>
        <v>6.2600000000000004E-4</v>
      </c>
      <c r="U70" s="115">
        <f>ROUND(R70*T70,0)</f>
        <v>0</v>
      </c>
    </row>
    <row r="71" spans="1:21" x14ac:dyDescent="0.25">
      <c r="A71" s="764" t="s">
        <v>85</v>
      </c>
      <c r="B71" s="764"/>
      <c r="C71" s="764"/>
      <c r="D71" s="556" t="s">
        <v>358</v>
      </c>
      <c r="E71" s="610" t="s">
        <v>372</v>
      </c>
      <c r="F71" s="544">
        <f>'0664'!F71</f>
        <v>146607</v>
      </c>
      <c r="G71" s="40" t="s">
        <v>6</v>
      </c>
      <c r="H71" s="155">
        <f>H63</f>
        <v>6.2600000000000004E-4</v>
      </c>
      <c r="I71" s="120">
        <f>IF(D71="Y",ROUND(F71*H71,2),0)</f>
        <v>91.78</v>
      </c>
      <c r="N71" s="840" t="s">
        <v>85</v>
      </c>
      <c r="O71" s="840"/>
      <c r="P71" s="840"/>
      <c r="Q71" s="50"/>
      <c r="R71" s="156">
        <f>F71</f>
        <v>146607</v>
      </c>
      <c r="S71" s="42" t="s">
        <v>6</v>
      </c>
      <c r="T71" s="157">
        <f>T63</f>
        <v>6.2600000000000004E-4</v>
      </c>
      <c r="U71" s="115">
        <f>ROUND(R71*T71,0)</f>
        <v>92</v>
      </c>
    </row>
    <row r="72" spans="1:21" x14ac:dyDescent="0.25">
      <c r="A72" s="764" t="s">
        <v>84</v>
      </c>
      <c r="B72" s="764"/>
      <c r="C72" s="764"/>
      <c r="D72" s="86"/>
      <c r="E72" s="71" t="s">
        <v>3</v>
      </c>
      <c r="F72" s="544">
        <f>'0664'!F72</f>
        <v>11337910</v>
      </c>
      <c r="G72" s="40" t="s">
        <v>6</v>
      </c>
      <c r="H72" s="155">
        <f>H63</f>
        <v>6.2600000000000004E-4</v>
      </c>
      <c r="I72" s="120">
        <f>ROUND(F72*H72,2)</f>
        <v>7097.53</v>
      </c>
      <c r="N72" s="840" t="s">
        <v>84</v>
      </c>
      <c r="O72" s="840"/>
      <c r="P72" s="840"/>
      <c r="Q72" s="50"/>
      <c r="R72" s="156">
        <f>F72</f>
        <v>11337910</v>
      </c>
      <c r="S72" s="42" t="s">
        <v>6</v>
      </c>
      <c r="T72" s="157">
        <f>T63</f>
        <v>6.2600000000000004E-4</v>
      </c>
      <c r="U72" s="115">
        <f>ROUND(R72*T72,0)</f>
        <v>7098</v>
      </c>
    </row>
    <row r="73" spans="1:21" x14ac:dyDescent="0.25">
      <c r="A73" s="764" t="s">
        <v>83</v>
      </c>
      <c r="B73" s="764"/>
      <c r="C73" s="764"/>
      <c r="D73" s="86"/>
      <c r="E73" s="71" t="s">
        <v>3</v>
      </c>
      <c r="F73" s="544">
        <f>'0664'!F73</f>
        <v>13882385</v>
      </c>
      <c r="G73" s="40" t="s">
        <v>6</v>
      </c>
      <c r="H73" s="155">
        <f>H63</f>
        <v>6.2600000000000004E-4</v>
      </c>
      <c r="I73" s="120">
        <f>ROUND(F73*H73,2)</f>
        <v>8690.3700000000008</v>
      </c>
      <c r="N73" s="840" t="s">
        <v>83</v>
      </c>
      <c r="O73" s="840"/>
      <c r="P73" s="840"/>
      <c r="Q73" s="50"/>
      <c r="R73" s="159">
        <f>F73</f>
        <v>13882385</v>
      </c>
      <c r="S73" s="42" t="s">
        <v>6</v>
      </c>
      <c r="T73" s="157">
        <f>T63</f>
        <v>6.2600000000000004E-4</v>
      </c>
      <c r="U73" s="115">
        <f>ROUND(R73*T73,0)</f>
        <v>8690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6.2600000000000004E-4</v>
      </c>
      <c r="I77" s="120">
        <f t="shared" ref="I77:I82" si="14">ROUND(F77*H77,2)</f>
        <v>4671.55</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6.2600000000000004E-4</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2.346E-3</v>
      </c>
      <c r="I79" s="120">
        <f t="shared" si="14"/>
        <v>0</v>
      </c>
      <c r="N79" s="860" t="s">
        <v>414</v>
      </c>
      <c r="O79" s="840"/>
      <c r="P79" s="840"/>
      <c r="Q79" s="50"/>
      <c r="R79" s="159">
        <f t="shared" si="15"/>
        <v>0</v>
      </c>
      <c r="S79" s="42" t="s">
        <v>6</v>
      </c>
      <c r="T79" s="157">
        <f>T66</f>
        <v>5.5699999999999999E-4</v>
      </c>
      <c r="U79" s="115">
        <f t="shared" si="16"/>
        <v>0</v>
      </c>
    </row>
    <row r="80" spans="1:21" x14ac:dyDescent="0.25">
      <c r="A80" s="765" t="s">
        <v>415</v>
      </c>
      <c r="B80" s="764"/>
      <c r="C80" s="764"/>
      <c r="D80" s="86"/>
      <c r="E80" s="71" t="s">
        <v>4</v>
      </c>
      <c r="F80" s="544">
        <f>'0664'!F80</f>
        <v>8562788</v>
      </c>
      <c r="G80" s="40" t="s">
        <v>6</v>
      </c>
      <c r="H80" s="155">
        <f>H66</f>
        <v>2.346E-3</v>
      </c>
      <c r="I80" s="120">
        <f t="shared" si="14"/>
        <v>20088.3</v>
      </c>
      <c r="N80" s="860" t="s">
        <v>415</v>
      </c>
      <c r="O80" s="840"/>
      <c r="P80" s="840"/>
      <c r="Q80" s="50"/>
      <c r="R80" s="159">
        <f t="shared" si="15"/>
        <v>8562788</v>
      </c>
      <c r="S80" s="42" t="s">
        <v>6</v>
      </c>
      <c r="T80" s="157">
        <f>T66</f>
        <v>5.5699999999999999E-4</v>
      </c>
      <c r="U80" s="115">
        <f t="shared" si="16"/>
        <v>4769</v>
      </c>
    </row>
    <row r="81" spans="1:21" x14ac:dyDescent="0.25">
      <c r="A81" s="765" t="s">
        <v>419</v>
      </c>
      <c r="B81" s="764"/>
      <c r="C81" s="764"/>
      <c r="D81" s="86"/>
      <c r="E81" s="71" t="s">
        <v>4</v>
      </c>
      <c r="F81" s="544">
        <f>'0664'!F81</f>
        <v>168663228</v>
      </c>
      <c r="G81" s="40" t="s">
        <v>6</v>
      </c>
      <c r="H81" s="155">
        <f>H66</f>
        <v>2.346E-3</v>
      </c>
      <c r="I81" s="120">
        <f t="shared" si="14"/>
        <v>395683.93</v>
      </c>
      <c r="N81" s="860" t="s">
        <v>419</v>
      </c>
      <c r="O81" s="840"/>
      <c r="P81" s="840"/>
      <c r="Q81" s="50"/>
      <c r="R81" s="159">
        <f t="shared" si="15"/>
        <v>168663228</v>
      </c>
      <c r="S81" s="42" t="s">
        <v>6</v>
      </c>
      <c r="T81" s="157">
        <f>T66</f>
        <v>5.5699999999999999E-4</v>
      </c>
      <c r="U81" s="115">
        <f t="shared" si="16"/>
        <v>93945</v>
      </c>
    </row>
    <row r="82" spans="1:21" x14ac:dyDescent="0.25">
      <c r="A82" s="765" t="s">
        <v>420</v>
      </c>
      <c r="B82" s="764"/>
      <c r="C82" s="764"/>
      <c r="D82" s="86"/>
      <c r="E82" s="71" t="s">
        <v>4</v>
      </c>
      <c r="F82" s="544">
        <f>'0664'!F82</f>
        <v>0</v>
      </c>
      <c r="G82" s="40" t="s">
        <v>6</v>
      </c>
      <c r="H82" s="155">
        <f>H66</f>
        <v>2.346E-3</v>
      </c>
      <c r="I82" s="120">
        <f t="shared" si="14"/>
        <v>0</v>
      </c>
      <c r="N82" s="860" t="s">
        <v>420</v>
      </c>
      <c r="O82" s="840"/>
      <c r="P82" s="840"/>
      <c r="Q82" s="50"/>
      <c r="R82" s="156">
        <f t="shared" si="15"/>
        <v>0</v>
      </c>
      <c r="S82" s="42" t="s">
        <v>6</v>
      </c>
      <c r="T82" s="157">
        <f>T66</f>
        <v>5.5699999999999999E-4</v>
      </c>
      <c r="U82" s="115">
        <f t="shared" si="16"/>
        <v>0</v>
      </c>
    </row>
    <row r="83" spans="1:21" x14ac:dyDescent="0.25">
      <c r="A83" s="717" t="s">
        <v>425</v>
      </c>
      <c r="B83" s="443"/>
      <c r="C83" s="443"/>
      <c r="D83" s="443"/>
      <c r="E83" s="683" t="s">
        <v>45</v>
      </c>
      <c r="F83" s="544"/>
      <c r="G83" s="445"/>
      <c r="H83" s="155"/>
      <c r="I83" s="120">
        <v>90931.12</v>
      </c>
      <c r="N83" s="719" t="s">
        <v>425</v>
      </c>
      <c r="O83" s="444"/>
      <c r="P83" s="444"/>
      <c r="Q83" s="50"/>
      <c r="R83" s="159">
        <f t="shared" si="15"/>
        <v>0</v>
      </c>
      <c r="S83" s="446" t="s">
        <v>6</v>
      </c>
      <c r="T83" s="157">
        <f>T66</f>
        <v>5.5699999999999999E-4</v>
      </c>
      <c r="U83" s="115">
        <f>IF($H$116=1,I83,0)</f>
        <v>90931.12</v>
      </c>
    </row>
    <row r="84" spans="1:21" x14ac:dyDescent="0.25">
      <c r="A84" s="765" t="s">
        <v>457</v>
      </c>
      <c r="B84" s="764"/>
      <c r="C84" s="764"/>
      <c r="D84" s="744"/>
      <c r="E84" s="747" t="s">
        <v>3</v>
      </c>
      <c r="F84" s="544">
        <f>'0664'!F84</f>
        <v>21614343</v>
      </c>
      <c r="G84" s="749" t="s">
        <v>6</v>
      </c>
      <c r="H84" s="155">
        <f>H63</f>
        <v>6.2600000000000004E-4</v>
      </c>
      <c r="I84" s="120">
        <f>ROUND(F84*H84,2)</f>
        <v>13530.58</v>
      </c>
      <c r="N84" s="860" t="s">
        <v>457</v>
      </c>
      <c r="O84" s="840"/>
      <c r="P84" s="840"/>
      <c r="Q84" s="50"/>
      <c r="R84" s="156">
        <f>F84</f>
        <v>21614343</v>
      </c>
      <c r="S84" s="751" t="s">
        <v>6</v>
      </c>
      <c r="T84" s="157">
        <f>T68</f>
        <v>6.2600000000000004E-4</v>
      </c>
      <c r="U84" s="115">
        <f>ROUND(R84*T84,0)</f>
        <v>13531</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0</v>
      </c>
      <c r="D90" s="781"/>
      <c r="E90" s="54">
        <f>H8</f>
        <v>1.0424</v>
      </c>
      <c r="F90" s="545">
        <f>'0664'!F90</f>
        <v>923.19</v>
      </c>
      <c r="G90" s="186" t="s">
        <v>13</v>
      </c>
      <c r="H90" s="120">
        <f>ROUND(C90*E90*F90,2)</f>
        <v>0</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503.16199999999998</v>
      </c>
      <c r="D91" s="781"/>
      <c r="E91" s="54">
        <f>H8</f>
        <v>1.0424</v>
      </c>
      <c r="F91" s="545">
        <f>'0664'!F91</f>
        <v>925.42</v>
      </c>
      <c r="G91" s="186" t="s">
        <v>13</v>
      </c>
      <c r="H91" s="113">
        <f>ROUND(C91*E91*F91,2)</f>
        <v>485379.15</v>
      </c>
      <c r="I91" s="61"/>
      <c r="N91" s="65" t="s">
        <v>15</v>
      </c>
      <c r="O91" s="66">
        <f>T17+T18+T21+T24+T27+T28</f>
        <v>119.5</v>
      </c>
      <c r="P91" s="875">
        <f>T8</f>
        <v>1.0424</v>
      </c>
      <c r="Q91" s="875"/>
      <c r="R91" s="58">
        <f>F91</f>
        <v>925.42</v>
      </c>
      <c r="S91" s="59" t="s">
        <v>13</v>
      </c>
      <c r="T91" s="159">
        <f>ROUND(O91*P91*R91,0)</f>
        <v>115277</v>
      </c>
      <c r="U91" s="63"/>
    </row>
    <row r="92" spans="1:21" ht="16.5" thickBot="1" x14ac:dyDescent="0.3">
      <c r="A92" s="67"/>
      <c r="B92" s="167" t="s">
        <v>147</v>
      </c>
      <c r="C92" s="782">
        <f>SUM(C89:C91)</f>
        <v>503.16199999999998</v>
      </c>
      <c r="D92" s="782"/>
      <c r="E92" s="168"/>
      <c r="F92" s="168"/>
      <c r="G92" s="168"/>
      <c r="H92" s="169" t="s">
        <v>145</v>
      </c>
      <c r="I92" s="120">
        <f>IF(A1=75,0,H91+H90+H89)</f>
        <v>485379.15</v>
      </c>
      <c r="N92" s="70" t="s">
        <v>122</v>
      </c>
      <c r="O92" s="69">
        <f>SUM(O89:O91)</f>
        <v>119.5</v>
      </c>
      <c r="P92" s="876" t="s">
        <v>18</v>
      </c>
      <c r="Q92" s="877"/>
      <c r="R92" s="877"/>
      <c r="S92" s="877"/>
      <c r="T92" s="877"/>
      <c r="U92" s="115">
        <f>IF(N1=75,0,T91+T90+T89)</f>
        <v>115277</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1</v>
      </c>
      <c r="D98" s="192">
        <v>1</v>
      </c>
      <c r="E98" s="147">
        <f>(C98+D98)/2</f>
        <v>1</v>
      </c>
      <c r="F98" s="173" t="s">
        <v>39</v>
      </c>
      <c r="G98" s="546">
        <f>'0664'!G98</f>
        <v>486</v>
      </c>
      <c r="I98" s="120">
        <f>ROUND(G98*E98,2)</f>
        <v>486</v>
      </c>
      <c r="N98" s="873" t="s">
        <v>66</v>
      </c>
      <c r="O98" s="873"/>
      <c r="P98" s="874">
        <f>IF(H116=1,E98,0)</f>
        <v>1</v>
      </c>
      <c r="Q98" s="874"/>
      <c r="R98" s="874"/>
      <c r="S98" s="102" t="s">
        <v>39</v>
      </c>
      <c r="T98" s="72">
        <f>G98</f>
        <v>486</v>
      </c>
      <c r="U98" s="115">
        <f>ROUND(T98*P98,0)</f>
        <v>486</v>
      </c>
    </row>
    <row r="99" spans="1:21" x14ac:dyDescent="0.25">
      <c r="A99" s="767" t="s">
        <v>82</v>
      </c>
      <c r="B99" s="767"/>
      <c r="C99" s="192">
        <v>0</v>
      </c>
      <c r="D99" s="192">
        <v>1</v>
      </c>
      <c r="E99" s="147">
        <f>(C99+D99)/2</f>
        <v>0.5</v>
      </c>
      <c r="F99" s="173" t="s">
        <v>39</v>
      </c>
      <c r="G99" s="546">
        <f>'0664'!G99</f>
        <v>1498</v>
      </c>
      <c r="I99" s="120">
        <f>ROUND(G99*E99,2)</f>
        <v>749</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892318.12</v>
      </c>
    </row>
    <row r="114" spans="1:21" ht="16.5" thickTop="1" x14ac:dyDescent="0.25">
      <c r="A114" s="767" t="s">
        <v>8</v>
      </c>
      <c r="B114" s="767"/>
      <c r="C114" s="767"/>
      <c r="D114" s="767"/>
      <c r="E114" s="767"/>
      <c r="F114" s="767"/>
      <c r="G114" s="767"/>
      <c r="H114" s="767"/>
      <c r="I114" s="120">
        <f>SUM(I112,I111,I109,I99,I98,I92,I84,I82,I81,I83,I80,I79,I78,I77,I75,I74,I73,I72,I71,I70,I68,I59,I45)</f>
        <v>3434188.93</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f>IF(E29=0,"",IF((E14+E16+SUM(E18:E24))/E29&gt;0.75,1,""))</f>
        <v>1</v>
      </c>
      <c r="I116" s="147">
        <f>U113</f>
        <v>892318.12</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892318.12</v>
      </c>
      <c r="I118" s="113">
        <f>ROUND(IF(E29=0,0,IF(E29&gt;250,-(((250/E29)*H118)*IF(G118="H",0.02,0.05)),IF(G118="H",-0.02*H118,-0.05*H118))),2)</f>
        <v>-44615.91</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3389573.02</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-3389687.07</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-114.04999999981374</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-114.05</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0</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U202"/>
  <sheetViews>
    <sheetView showGridLines="0" zoomScale="90" zoomScaleNormal="90" workbookViewId="0">
      <pane ySplit="1" topLeftCell="A95"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354</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24.5</v>
      </c>
      <c r="D18" s="192">
        <v>24.5</v>
      </c>
      <c r="E18" s="147">
        <f t="shared" si="3"/>
        <v>49</v>
      </c>
      <c r="F18" s="814">
        <f>'0664'!F18:G18</f>
        <v>1.01</v>
      </c>
      <c r="G18" s="814"/>
      <c r="H18" s="99">
        <f t="shared" si="4"/>
        <v>49.49</v>
      </c>
      <c r="I18" s="120">
        <f t="shared" si="0"/>
        <v>225591.33</v>
      </c>
      <c r="J18" s="81" t="str">
        <f>IF(ROUND(E18,2)=ROUND(SUM(E56:E58),2)," ","CHECK 4-8 LINES BELOW")</f>
        <v xml:space="preserve"> </v>
      </c>
      <c r="N18" s="840" t="s">
        <v>34</v>
      </c>
      <c r="O18" s="840"/>
      <c r="P18" s="841">
        <f t="shared" si="1"/>
        <v>49</v>
      </c>
      <c r="Q18" s="841"/>
      <c r="R18" s="842">
        <v>1</v>
      </c>
      <c r="S18" s="842"/>
      <c r="T18" s="114">
        <f t="shared" si="5"/>
        <v>49</v>
      </c>
      <c r="U18" s="117">
        <f t="shared" si="2"/>
        <v>223358</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1</v>
      </c>
      <c r="D21" s="192">
        <v>1</v>
      </c>
      <c r="E21" s="147">
        <f t="shared" si="3"/>
        <v>2</v>
      </c>
      <c r="F21" s="814">
        <f>'0664'!F21:G21</f>
        <v>3.6480000000000001</v>
      </c>
      <c r="G21" s="814"/>
      <c r="H21" s="99">
        <f t="shared" si="4"/>
        <v>7.2960000000000003</v>
      </c>
      <c r="I21" s="120">
        <f t="shared" si="0"/>
        <v>33257.51</v>
      </c>
      <c r="N21" s="840" t="s">
        <v>112</v>
      </c>
      <c r="O21" s="840"/>
      <c r="P21" s="841">
        <f t="shared" si="1"/>
        <v>2</v>
      </c>
      <c r="Q21" s="841"/>
      <c r="R21" s="842">
        <v>1</v>
      </c>
      <c r="S21" s="842"/>
      <c r="T21" s="114">
        <f t="shared" si="5"/>
        <v>2</v>
      </c>
      <c r="U21" s="115">
        <f t="shared" si="2"/>
        <v>9117</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25.5</v>
      </c>
      <c r="D29" s="113">
        <f>SUM(D13:D28)</f>
        <v>25.5</v>
      </c>
      <c r="E29" s="113">
        <f>SUM(E13:E28)</f>
        <v>51</v>
      </c>
      <c r="F29" s="820"/>
      <c r="G29" s="820"/>
      <c r="H29" s="118">
        <f>SUM(H13:H28)</f>
        <v>56.786000000000001</v>
      </c>
      <c r="I29" s="113">
        <f>SUM(I13:I28)</f>
        <v>258848.84</v>
      </c>
      <c r="N29" s="850" t="s">
        <v>5</v>
      </c>
      <c r="O29" s="850"/>
      <c r="P29" s="851">
        <f>SUM(P13:P28)</f>
        <v>51</v>
      </c>
      <c r="Q29" s="851"/>
      <c r="R29" s="852"/>
      <c r="S29" s="852"/>
      <c r="T29" s="119">
        <f>SUM(T13:T28)</f>
        <v>51</v>
      </c>
      <c r="U29" s="115">
        <f>SUM(U13:U28)</f>
        <v>232475</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56.786000000000001</v>
      </c>
      <c r="F45" s="36"/>
      <c r="G45" s="128"/>
      <c r="H45" s="129" t="s">
        <v>131</v>
      </c>
      <c r="I45" s="113">
        <f>SUM(I43,I29)</f>
        <v>258848.84</v>
      </c>
      <c r="N45" s="855" t="s">
        <v>56</v>
      </c>
      <c r="O45" s="855"/>
      <c r="P45" s="855"/>
      <c r="Q45" s="855"/>
      <c r="R45" s="37">
        <f>R43+T29</f>
        <v>51</v>
      </c>
      <c r="S45" s="852" t="s">
        <v>54</v>
      </c>
      <c r="T45" s="852"/>
      <c r="U45" s="130">
        <f>SUM(U43,U29)</f>
        <v>232475</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4</v>
      </c>
      <c r="D57" s="192">
        <v>3.51</v>
      </c>
      <c r="E57" s="147">
        <f t="shared" si="10"/>
        <v>7.51</v>
      </c>
      <c r="F57" s="143" t="s">
        <v>15</v>
      </c>
      <c r="G57" s="52">
        <v>252</v>
      </c>
      <c r="H57" s="485">
        <f>'0664'!H57</f>
        <v>3168</v>
      </c>
      <c r="I57" s="120">
        <f t="shared" si="11"/>
        <v>23791.68</v>
      </c>
      <c r="N57" s="863"/>
      <c r="O57" s="863"/>
      <c r="P57" s="865"/>
      <c r="Q57" s="865"/>
      <c r="R57" s="45" t="s">
        <v>15</v>
      </c>
      <c r="S57" s="43">
        <v>252</v>
      </c>
      <c r="T57" s="138">
        <f t="shared" si="12"/>
        <v>3168</v>
      </c>
      <c r="U57" s="139">
        <f t="shared" si="13"/>
        <v>0</v>
      </c>
    </row>
    <row r="58" spans="1:21" ht="16.5" thickBot="1" x14ac:dyDescent="0.3">
      <c r="A58" s="792"/>
      <c r="B58" s="792"/>
      <c r="C58" s="192">
        <v>20.5</v>
      </c>
      <c r="D58" s="192">
        <v>20.99</v>
      </c>
      <c r="E58" s="147">
        <f t="shared" si="10"/>
        <v>41.489999999999995</v>
      </c>
      <c r="F58" s="143" t="s">
        <v>15</v>
      </c>
      <c r="G58" s="52">
        <v>253</v>
      </c>
      <c r="H58" s="485">
        <f>'0664'!H58</f>
        <v>6685</v>
      </c>
      <c r="I58" s="120">
        <f t="shared" si="11"/>
        <v>277360.65000000002</v>
      </c>
      <c r="N58" s="863"/>
      <c r="O58" s="863"/>
      <c r="P58" s="866"/>
      <c r="Q58" s="866"/>
      <c r="R58" s="45" t="s">
        <v>15</v>
      </c>
      <c r="S58" s="43">
        <v>253</v>
      </c>
      <c r="T58" s="138">
        <f t="shared" si="12"/>
        <v>6685</v>
      </c>
      <c r="U58" s="141">
        <f t="shared" si="13"/>
        <v>0</v>
      </c>
    </row>
    <row r="59" spans="1:21" ht="16.5" thickBot="1" x14ac:dyDescent="0.3">
      <c r="A59" s="767" t="s">
        <v>16</v>
      </c>
      <c r="B59" s="767"/>
      <c r="C59" s="116">
        <f>SUM(C50:C58)</f>
        <v>24.5</v>
      </c>
      <c r="D59" s="116">
        <f>SUM(D50:D58)</f>
        <v>24.5</v>
      </c>
      <c r="E59" s="116">
        <f>SUM(E50:E58)</f>
        <v>48.999999999999993</v>
      </c>
      <c r="F59" s="767" t="s">
        <v>78</v>
      </c>
      <c r="G59" s="767"/>
      <c r="H59" s="767"/>
      <c r="I59" s="116">
        <f>SUM(I50:I58)</f>
        <v>301152.33</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51</v>
      </c>
      <c r="D62" s="882" t="s">
        <v>137</v>
      </c>
      <c r="E62" s="882"/>
      <c r="F62" s="882"/>
      <c r="G62" s="882"/>
      <c r="H62" s="542">
        <f>'0664'!H62</f>
        <v>190754.06</v>
      </c>
      <c r="I62" s="144"/>
      <c r="N62" s="860" t="s">
        <v>327</v>
      </c>
      <c r="O62" s="840"/>
      <c r="P62" s="46">
        <f>P29</f>
        <v>51</v>
      </c>
      <c r="Q62" s="861" t="s">
        <v>79</v>
      </c>
      <c r="R62" s="861"/>
      <c r="S62" s="861"/>
      <c r="T62" s="862">
        <f>H62</f>
        <v>190754.06</v>
      </c>
      <c r="U62" s="862"/>
    </row>
    <row r="63" spans="1:21" x14ac:dyDescent="0.25">
      <c r="B63" s="86"/>
      <c r="G63" s="47" t="s">
        <v>13</v>
      </c>
      <c r="H63" s="145">
        <f>ROUND(C62/H62,6)</f>
        <v>2.6699999999999998E-4</v>
      </c>
      <c r="I63" s="146"/>
      <c r="N63" s="840" t="s">
        <v>19</v>
      </c>
      <c r="O63" s="840"/>
      <c r="P63" s="840"/>
      <c r="Q63" s="840"/>
      <c r="R63" s="840"/>
      <c r="S63" s="840"/>
      <c r="T63" s="868">
        <f>ROUND(P62/T62,6)</f>
        <v>2.6699999999999998E-4</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56.786000000000001</v>
      </c>
      <c r="D65" s="882" t="s">
        <v>142</v>
      </c>
      <c r="E65" s="882"/>
      <c r="F65" s="882"/>
      <c r="G65" s="882"/>
      <c r="H65" s="543">
        <f>'0664'!H65</f>
        <v>214462.41</v>
      </c>
      <c r="I65" s="147"/>
      <c r="N65" s="840" t="s">
        <v>81</v>
      </c>
      <c r="O65" s="840"/>
      <c r="P65" s="46">
        <f>R45</f>
        <v>51</v>
      </c>
      <c r="Q65" s="861" t="s">
        <v>80</v>
      </c>
      <c r="R65" s="861"/>
      <c r="S65" s="861"/>
      <c r="T65" s="862">
        <f>H65</f>
        <v>214462.41</v>
      </c>
      <c r="U65" s="862"/>
    </row>
    <row r="66" spans="1:21" s="38" customFormat="1" x14ac:dyDescent="0.25">
      <c r="A66" s="148"/>
      <c r="G66" s="48" t="s">
        <v>13</v>
      </c>
      <c r="H66" s="149">
        <f>ROUND(C65/H65,6)</f>
        <v>2.6499999999999999E-4</v>
      </c>
      <c r="I66" s="149"/>
      <c r="N66" s="845" t="s">
        <v>20</v>
      </c>
      <c r="O66" s="845"/>
      <c r="P66" s="845"/>
      <c r="Q66" s="845"/>
      <c r="R66" s="845"/>
      <c r="S66" s="845"/>
      <c r="T66" s="867">
        <f>ROUND(P65/T65,6)</f>
        <v>2.3800000000000001E-4</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2.6699999999999998E-4</v>
      </c>
      <c r="I68" s="120">
        <f>ROUND(F68*H68,2)</f>
        <v>11221.9</v>
      </c>
      <c r="N68" s="840" t="s">
        <v>87</v>
      </c>
      <c r="O68" s="840"/>
      <c r="P68" s="840"/>
      <c r="Q68" s="50"/>
      <c r="R68" s="156">
        <f>F68</f>
        <v>42029577</v>
      </c>
      <c r="S68" s="42" t="s">
        <v>6</v>
      </c>
      <c r="T68" s="157">
        <f>T63</f>
        <v>2.6699999999999998E-4</v>
      </c>
      <c r="U68" s="115">
        <f>ROUND(R68*T68,0)</f>
        <v>11222</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2.6699999999999998E-4</v>
      </c>
      <c r="I70" s="120">
        <f>ROUND(F70*H70,2)</f>
        <v>0</v>
      </c>
      <c r="N70" s="51"/>
      <c r="O70" s="51"/>
      <c r="P70" s="51"/>
      <c r="Q70" s="50"/>
      <c r="R70" s="156">
        <f>F70</f>
        <v>0</v>
      </c>
      <c r="S70" s="42" t="s">
        <v>6</v>
      </c>
      <c r="T70" s="157">
        <f>T63</f>
        <v>2.6699999999999998E-4</v>
      </c>
      <c r="U70" s="115">
        <f>ROUND(R70*T70,0)</f>
        <v>0</v>
      </c>
    </row>
    <row r="71" spans="1:21" x14ac:dyDescent="0.25">
      <c r="A71" s="764" t="s">
        <v>85</v>
      </c>
      <c r="B71" s="764"/>
      <c r="C71" s="764"/>
      <c r="D71" s="556" t="s">
        <v>358</v>
      </c>
      <c r="E71" s="610" t="s">
        <v>372</v>
      </c>
      <c r="F71" s="544">
        <f>'0664'!F71</f>
        <v>146607</v>
      </c>
      <c r="G71" s="40" t="s">
        <v>6</v>
      </c>
      <c r="H71" s="155">
        <f>H63</f>
        <v>2.6699999999999998E-4</v>
      </c>
      <c r="I71" s="120">
        <f>IF(D71="Y",ROUND(F71*H71,2),0)</f>
        <v>39.14</v>
      </c>
      <c r="N71" s="840" t="s">
        <v>85</v>
      </c>
      <c r="O71" s="840"/>
      <c r="P71" s="840"/>
      <c r="Q71" s="50"/>
      <c r="R71" s="156">
        <f>F71</f>
        <v>146607</v>
      </c>
      <c r="S71" s="42" t="s">
        <v>6</v>
      </c>
      <c r="T71" s="157">
        <f>T63</f>
        <v>2.6699999999999998E-4</v>
      </c>
      <c r="U71" s="115">
        <f>ROUND(R71*T71,0)</f>
        <v>39</v>
      </c>
    </row>
    <row r="72" spans="1:21" x14ac:dyDescent="0.25">
      <c r="A72" s="764" t="s">
        <v>84</v>
      </c>
      <c r="B72" s="764"/>
      <c r="C72" s="764"/>
      <c r="D72" s="86"/>
      <c r="E72" s="71" t="s">
        <v>3</v>
      </c>
      <c r="F72" s="544">
        <f>'0664'!F72</f>
        <v>11337910</v>
      </c>
      <c r="G72" s="40" t="s">
        <v>6</v>
      </c>
      <c r="H72" s="155">
        <f>H63</f>
        <v>2.6699999999999998E-4</v>
      </c>
      <c r="I72" s="120">
        <f>ROUND(F72*H72,2)</f>
        <v>3027.22</v>
      </c>
      <c r="N72" s="840" t="s">
        <v>84</v>
      </c>
      <c r="O72" s="840"/>
      <c r="P72" s="840"/>
      <c r="Q72" s="50"/>
      <c r="R72" s="156">
        <f>F72</f>
        <v>11337910</v>
      </c>
      <c r="S72" s="42" t="s">
        <v>6</v>
      </c>
      <c r="T72" s="157">
        <f>T63</f>
        <v>2.6699999999999998E-4</v>
      </c>
      <c r="U72" s="115">
        <f>ROUND(R72*T72,0)</f>
        <v>3027</v>
      </c>
    </row>
    <row r="73" spans="1:21" x14ac:dyDescent="0.25">
      <c r="A73" s="764" t="s">
        <v>83</v>
      </c>
      <c r="B73" s="764"/>
      <c r="C73" s="764"/>
      <c r="D73" s="86"/>
      <c r="E73" s="71" t="s">
        <v>3</v>
      </c>
      <c r="F73" s="544">
        <f>'0664'!F73</f>
        <v>13882385</v>
      </c>
      <c r="G73" s="40" t="s">
        <v>6</v>
      </c>
      <c r="H73" s="155">
        <f>H63</f>
        <v>2.6699999999999998E-4</v>
      </c>
      <c r="I73" s="120">
        <f>ROUND(F73*H73,2)</f>
        <v>3706.6</v>
      </c>
      <c r="N73" s="840" t="s">
        <v>83</v>
      </c>
      <c r="O73" s="840"/>
      <c r="P73" s="840"/>
      <c r="Q73" s="50"/>
      <c r="R73" s="159">
        <f>F73</f>
        <v>13882385</v>
      </c>
      <c r="S73" s="42" t="s">
        <v>6</v>
      </c>
      <c r="T73" s="157">
        <f>T63</f>
        <v>2.6699999999999998E-4</v>
      </c>
      <c r="U73" s="115">
        <f>ROUND(R73*T73,0)</f>
        <v>3707</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2.6699999999999998E-4</v>
      </c>
      <c r="I77" s="120">
        <f t="shared" ref="I77:I82" si="14">ROUND(F77*H77,2)</f>
        <v>1992.5</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2.6699999999999998E-4</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2.6499999999999999E-4</v>
      </c>
      <c r="I79" s="120">
        <f t="shared" si="14"/>
        <v>0</v>
      </c>
      <c r="N79" s="860" t="s">
        <v>414</v>
      </c>
      <c r="O79" s="840"/>
      <c r="P79" s="840"/>
      <c r="Q79" s="50"/>
      <c r="R79" s="159">
        <f t="shared" si="15"/>
        <v>0</v>
      </c>
      <c r="S79" s="42" t="s">
        <v>6</v>
      </c>
      <c r="T79" s="157">
        <f>T66</f>
        <v>2.3800000000000001E-4</v>
      </c>
      <c r="U79" s="115">
        <f t="shared" si="16"/>
        <v>0</v>
      </c>
    </row>
    <row r="80" spans="1:21" x14ac:dyDescent="0.25">
      <c r="A80" s="765" t="s">
        <v>415</v>
      </c>
      <c r="B80" s="764"/>
      <c r="C80" s="764"/>
      <c r="D80" s="86"/>
      <c r="E80" s="71" t="s">
        <v>4</v>
      </c>
      <c r="F80" s="544">
        <f>'0664'!F80</f>
        <v>8562788</v>
      </c>
      <c r="G80" s="40" t="s">
        <v>6</v>
      </c>
      <c r="H80" s="155">
        <f>H66</f>
        <v>2.6499999999999999E-4</v>
      </c>
      <c r="I80" s="120">
        <f t="shared" si="14"/>
        <v>2269.14</v>
      </c>
      <c r="N80" s="860" t="s">
        <v>415</v>
      </c>
      <c r="O80" s="840"/>
      <c r="P80" s="840"/>
      <c r="Q80" s="50"/>
      <c r="R80" s="159">
        <f t="shared" si="15"/>
        <v>8562788</v>
      </c>
      <c r="S80" s="42" t="s">
        <v>6</v>
      </c>
      <c r="T80" s="157">
        <f>T66</f>
        <v>2.3800000000000001E-4</v>
      </c>
      <c r="U80" s="115">
        <f t="shared" si="16"/>
        <v>2038</v>
      </c>
    </row>
    <row r="81" spans="1:21" x14ac:dyDescent="0.25">
      <c r="A81" s="765" t="s">
        <v>419</v>
      </c>
      <c r="B81" s="764"/>
      <c r="C81" s="764"/>
      <c r="D81" s="86"/>
      <c r="E81" s="71" t="s">
        <v>4</v>
      </c>
      <c r="F81" s="544">
        <f>'0664'!F81</f>
        <v>168663228</v>
      </c>
      <c r="G81" s="40" t="s">
        <v>6</v>
      </c>
      <c r="H81" s="155">
        <f>H66</f>
        <v>2.6499999999999999E-4</v>
      </c>
      <c r="I81" s="120">
        <f t="shared" si="14"/>
        <v>44695.76</v>
      </c>
      <c r="N81" s="860" t="s">
        <v>419</v>
      </c>
      <c r="O81" s="840"/>
      <c r="P81" s="840"/>
      <c r="Q81" s="50"/>
      <c r="R81" s="159">
        <f t="shared" si="15"/>
        <v>168663228</v>
      </c>
      <c r="S81" s="42" t="s">
        <v>6</v>
      </c>
      <c r="T81" s="157">
        <f>T66</f>
        <v>2.3800000000000001E-4</v>
      </c>
      <c r="U81" s="115">
        <f t="shared" si="16"/>
        <v>40142</v>
      </c>
    </row>
    <row r="82" spans="1:21" x14ac:dyDescent="0.25">
      <c r="A82" s="765" t="s">
        <v>420</v>
      </c>
      <c r="B82" s="764"/>
      <c r="C82" s="764"/>
      <c r="D82" s="86"/>
      <c r="E82" s="71" t="s">
        <v>4</v>
      </c>
      <c r="F82" s="544">
        <f>'0664'!F82</f>
        <v>0</v>
      </c>
      <c r="G82" s="40" t="s">
        <v>6</v>
      </c>
      <c r="H82" s="155">
        <f>H66</f>
        <v>2.6499999999999999E-4</v>
      </c>
      <c r="I82" s="120">
        <f t="shared" si="14"/>
        <v>0</v>
      </c>
      <c r="N82" s="860" t="s">
        <v>420</v>
      </c>
      <c r="O82" s="840"/>
      <c r="P82" s="840"/>
      <c r="Q82" s="50"/>
      <c r="R82" s="156">
        <f t="shared" si="15"/>
        <v>0</v>
      </c>
      <c r="S82" s="42" t="s">
        <v>6</v>
      </c>
      <c r="T82" s="157">
        <f>T66</f>
        <v>2.3800000000000001E-4</v>
      </c>
      <c r="U82" s="115">
        <f t="shared" si="16"/>
        <v>0</v>
      </c>
    </row>
    <row r="83" spans="1:21" x14ac:dyDescent="0.25">
      <c r="A83" s="717" t="s">
        <v>425</v>
      </c>
      <c r="B83" s="443"/>
      <c r="C83" s="443"/>
      <c r="D83" s="443"/>
      <c r="E83" s="683" t="s">
        <v>45</v>
      </c>
      <c r="F83" s="544"/>
      <c r="G83" s="445"/>
      <c r="H83" s="155"/>
      <c r="I83" s="120">
        <v>12528.81</v>
      </c>
      <c r="N83" s="719" t="s">
        <v>425</v>
      </c>
      <c r="O83" s="444"/>
      <c r="P83" s="444"/>
      <c r="Q83" s="50"/>
      <c r="R83" s="159">
        <f t="shared" si="15"/>
        <v>0</v>
      </c>
      <c r="S83" s="446" t="s">
        <v>6</v>
      </c>
      <c r="T83" s="157">
        <f>T66</f>
        <v>2.3800000000000001E-4</v>
      </c>
      <c r="U83" s="115">
        <f>IF($H$116=1,I83,0)</f>
        <v>12528.81</v>
      </c>
    </row>
    <row r="84" spans="1:21" x14ac:dyDescent="0.25">
      <c r="A84" s="765" t="s">
        <v>457</v>
      </c>
      <c r="B84" s="764"/>
      <c r="C84" s="764"/>
      <c r="D84" s="744"/>
      <c r="E84" s="747" t="s">
        <v>3</v>
      </c>
      <c r="F84" s="544">
        <f>'0664'!F84</f>
        <v>21614343</v>
      </c>
      <c r="G84" s="749" t="s">
        <v>6</v>
      </c>
      <c r="H84" s="155">
        <f>H63</f>
        <v>2.6699999999999998E-4</v>
      </c>
      <c r="I84" s="120">
        <f>ROUND(F84*H84,2)</f>
        <v>5771.03</v>
      </c>
      <c r="N84" s="860" t="s">
        <v>457</v>
      </c>
      <c r="O84" s="840"/>
      <c r="P84" s="840"/>
      <c r="Q84" s="50"/>
      <c r="R84" s="156">
        <f>F84</f>
        <v>21614343</v>
      </c>
      <c r="S84" s="751" t="s">
        <v>6</v>
      </c>
      <c r="T84" s="157">
        <f>T68</f>
        <v>2.6699999999999998E-4</v>
      </c>
      <c r="U84" s="115">
        <f>ROUND(R84*T84,0)</f>
        <v>5771</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0</v>
      </c>
      <c r="D90" s="781"/>
      <c r="E90" s="54">
        <f>H8</f>
        <v>1.0424</v>
      </c>
      <c r="F90" s="545">
        <f>'0664'!F90</f>
        <v>923.19</v>
      </c>
      <c r="G90" s="186" t="s">
        <v>13</v>
      </c>
      <c r="H90" s="120">
        <f>ROUND(C90*E90*F90,2)</f>
        <v>0</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56.786000000000001</v>
      </c>
      <c r="D91" s="781"/>
      <c r="E91" s="54">
        <f>H8</f>
        <v>1.0424</v>
      </c>
      <c r="F91" s="545">
        <f>'0664'!F91</f>
        <v>925.42</v>
      </c>
      <c r="G91" s="186" t="s">
        <v>13</v>
      </c>
      <c r="H91" s="113">
        <f>ROUND(C91*E91*F91,2)</f>
        <v>54779.06</v>
      </c>
      <c r="I91" s="61"/>
      <c r="N91" s="65" t="s">
        <v>15</v>
      </c>
      <c r="O91" s="66">
        <f>T17+T18+T21+T24+T27+T28</f>
        <v>51</v>
      </c>
      <c r="P91" s="875">
        <f>T8</f>
        <v>1.0424</v>
      </c>
      <c r="Q91" s="875"/>
      <c r="R91" s="58">
        <f>F91</f>
        <v>925.42</v>
      </c>
      <c r="S91" s="59" t="s">
        <v>13</v>
      </c>
      <c r="T91" s="159">
        <f>ROUND(O91*P91*R91,0)</f>
        <v>49198</v>
      </c>
      <c r="U91" s="63"/>
    </row>
    <row r="92" spans="1:21" ht="16.5" thickBot="1" x14ac:dyDescent="0.3">
      <c r="A92" s="67"/>
      <c r="B92" s="167" t="s">
        <v>147</v>
      </c>
      <c r="C92" s="782">
        <f>SUM(C89:C91)</f>
        <v>56.786000000000001</v>
      </c>
      <c r="D92" s="782"/>
      <c r="E92" s="168"/>
      <c r="F92" s="168"/>
      <c r="G92" s="168"/>
      <c r="H92" s="169" t="s">
        <v>145</v>
      </c>
      <c r="I92" s="120">
        <f>IF(A1=75,0,H91+H90+H89)</f>
        <v>54779.06</v>
      </c>
      <c r="N92" s="70" t="s">
        <v>122</v>
      </c>
      <c r="O92" s="69">
        <f>SUM(O89:O91)</f>
        <v>51</v>
      </c>
      <c r="P92" s="876" t="s">
        <v>18</v>
      </c>
      <c r="Q92" s="877"/>
      <c r="R92" s="877"/>
      <c r="S92" s="877"/>
      <c r="T92" s="877"/>
      <c r="U92" s="115">
        <f>IF(N1=75,0,T91+T90+T89)</f>
        <v>49198</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40</v>
      </c>
      <c r="D98" s="192">
        <v>41</v>
      </c>
      <c r="E98" s="147">
        <f>(C98+D98)/2</f>
        <v>40.5</v>
      </c>
      <c r="F98" s="173" t="s">
        <v>39</v>
      </c>
      <c r="G98" s="546">
        <f>'0664'!G98</f>
        <v>486</v>
      </c>
      <c r="I98" s="120">
        <f>ROUND(G98*E98,2)</f>
        <v>19683</v>
      </c>
      <c r="N98" s="873" t="s">
        <v>66</v>
      </c>
      <c r="O98" s="873"/>
      <c r="P98" s="874">
        <f>IF(H116=1,E98,0)</f>
        <v>40.5</v>
      </c>
      <c r="Q98" s="874"/>
      <c r="R98" s="874"/>
      <c r="S98" s="102" t="s">
        <v>39</v>
      </c>
      <c r="T98" s="72">
        <f>G98</f>
        <v>486</v>
      </c>
      <c r="U98" s="115">
        <f>ROUND(T98*P98,0)</f>
        <v>19683</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374059.81</v>
      </c>
    </row>
    <row r="114" spans="1:21" ht="16.5" thickTop="1" x14ac:dyDescent="0.25">
      <c r="A114" s="767" t="s">
        <v>8</v>
      </c>
      <c r="B114" s="767"/>
      <c r="C114" s="767"/>
      <c r="D114" s="767"/>
      <c r="E114" s="767"/>
      <c r="F114" s="767"/>
      <c r="G114" s="767"/>
      <c r="H114" s="767"/>
      <c r="I114" s="120">
        <f>SUM(I112,I111,I109,I99,I98,I92,I84,I82,I81,I83,I80,I79,I78,I77,I75,I74,I73,I72,I71,I70,I68,I59,I45)</f>
        <v>719715.33000000007</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f>IF(E29=0,"",IF((E14+E16+SUM(E18:E24))/E29&gt;0.75,1,""))</f>
        <v>1</v>
      </c>
      <c r="I116" s="147">
        <f>U113</f>
        <v>374059.81</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374059.81</v>
      </c>
      <c r="I118" s="113">
        <f>ROUND(IF(E29=0,0,IF(E29&gt;250,-(((250/E29)*H118)*IF(G118="H",0.02,0.05)),IF(G118="H",-0.02*H118,-0.05*H118))),2)</f>
        <v>-18702.990000000002</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701012.34000000008</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-701257.02</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-244.67999999993481</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-244.68</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0</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FF00"/>
  </sheetPr>
  <dimension ref="A1:U202"/>
  <sheetViews>
    <sheetView showGridLines="0" zoomScale="90" zoomScaleNormal="90" workbookViewId="0">
      <pane ySplit="1" topLeftCell="A101"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164</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194.92</v>
      </c>
      <c r="D13" s="190">
        <v>192.97</v>
      </c>
      <c r="E13" s="245">
        <f>IF(D$29=0,C13*2,C13+D13)</f>
        <v>387.89</v>
      </c>
      <c r="F13" s="819">
        <f>'0664'!F13:G13</f>
        <v>1.1259999999999999</v>
      </c>
      <c r="G13" s="819"/>
      <c r="H13" s="194">
        <f>ROUND(E13*F13,4)</f>
        <v>436.76409999999998</v>
      </c>
      <c r="I13" s="140">
        <f t="shared" ref="I13:I28" si="0">ROUND(ROUND(H13*$C$8,4)*($H$8),2)</f>
        <v>1990911.14</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31.6</v>
      </c>
      <c r="D14" s="192">
        <v>34.64</v>
      </c>
      <c r="E14" s="147">
        <f t="shared" ref="E14:E28" si="3">IF(D$29=0,C14*2,C14+D14)</f>
        <v>66.240000000000009</v>
      </c>
      <c r="F14" s="814">
        <f>'0664'!F14:G14</f>
        <v>1.1259999999999999</v>
      </c>
      <c r="G14" s="814"/>
      <c r="H14" s="99">
        <f t="shared" ref="H14:H28" si="4">ROUND(E14*F14,4)</f>
        <v>74.586200000000005</v>
      </c>
      <c r="I14" s="120">
        <f t="shared" si="0"/>
        <v>339987.87</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218.3</v>
      </c>
      <c r="D15" s="192">
        <v>214.42</v>
      </c>
      <c r="E15" s="147">
        <f t="shared" si="3"/>
        <v>432.72</v>
      </c>
      <c r="F15" s="814">
        <f>'0664'!F15:G15</f>
        <v>1</v>
      </c>
      <c r="G15" s="814"/>
      <c r="H15" s="99">
        <f t="shared" si="4"/>
        <v>432.72</v>
      </c>
      <c r="I15" s="120">
        <f t="shared" si="0"/>
        <v>1972476.83</v>
      </c>
      <c r="N15" s="840" t="s">
        <v>31</v>
      </c>
      <c r="O15" s="840"/>
      <c r="P15" s="841">
        <f t="shared" si="1"/>
        <v>0</v>
      </c>
      <c r="Q15" s="841"/>
      <c r="R15" s="842">
        <v>1</v>
      </c>
      <c r="S15" s="842"/>
      <c r="T15" s="114">
        <f t="shared" si="5"/>
        <v>0</v>
      </c>
      <c r="U15" s="115">
        <f t="shared" si="2"/>
        <v>0</v>
      </c>
    </row>
    <row r="16" spans="1:21" x14ac:dyDescent="0.25">
      <c r="A16" s="764" t="s">
        <v>32</v>
      </c>
      <c r="B16" s="764"/>
      <c r="C16" s="192">
        <v>67.16</v>
      </c>
      <c r="D16" s="192">
        <v>65.39</v>
      </c>
      <c r="E16" s="147">
        <f t="shared" si="3"/>
        <v>132.55000000000001</v>
      </c>
      <c r="F16" s="814">
        <f>'0664'!F16:G16</f>
        <v>1</v>
      </c>
      <c r="G16" s="814"/>
      <c r="H16" s="99">
        <f t="shared" si="4"/>
        <v>132.55000000000001</v>
      </c>
      <c r="I16" s="120">
        <f t="shared" si="0"/>
        <v>604205.5</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8.57</v>
      </c>
      <c r="D25" s="192">
        <v>10.28</v>
      </c>
      <c r="E25" s="147">
        <f t="shared" si="3"/>
        <v>18.850000000000001</v>
      </c>
      <c r="F25" s="814">
        <f>'0664'!F25:G25</f>
        <v>1.1990000000000001</v>
      </c>
      <c r="G25" s="814"/>
      <c r="H25" s="99">
        <f t="shared" si="4"/>
        <v>22.601199999999999</v>
      </c>
      <c r="I25" s="120">
        <f t="shared" si="0"/>
        <v>103023.53</v>
      </c>
      <c r="N25" s="840" t="s">
        <v>116</v>
      </c>
      <c r="O25" s="840"/>
      <c r="P25" s="841">
        <f t="shared" si="1"/>
        <v>0</v>
      </c>
      <c r="Q25" s="841"/>
      <c r="R25" s="842">
        <v>1</v>
      </c>
      <c r="S25" s="842"/>
      <c r="T25" s="114">
        <f t="shared" si="5"/>
        <v>0</v>
      </c>
      <c r="U25" s="115">
        <f t="shared" si="2"/>
        <v>0</v>
      </c>
    </row>
    <row r="26" spans="1:21" x14ac:dyDescent="0.25">
      <c r="A26" s="764" t="s">
        <v>117</v>
      </c>
      <c r="B26" s="764"/>
      <c r="C26" s="192">
        <v>4.46</v>
      </c>
      <c r="D26" s="192">
        <v>5.65</v>
      </c>
      <c r="E26" s="147">
        <f t="shared" si="3"/>
        <v>10.11</v>
      </c>
      <c r="F26" s="814">
        <f>'0664'!F26:G26</f>
        <v>1.1990000000000001</v>
      </c>
      <c r="G26" s="814"/>
      <c r="H26" s="99">
        <f t="shared" si="4"/>
        <v>12.1219</v>
      </c>
      <c r="I26" s="120">
        <f t="shared" si="0"/>
        <v>55255.519999999997</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525.0100000000001</v>
      </c>
      <c r="D29" s="113">
        <f>SUM(D13:D28)</f>
        <v>523.34999999999991</v>
      </c>
      <c r="E29" s="113">
        <f>SUM(E13:E28)</f>
        <v>1048.3599999999999</v>
      </c>
      <c r="F29" s="820"/>
      <c r="G29" s="820"/>
      <c r="H29" s="118">
        <f>SUM(H13:H28)</f>
        <v>1111.3434000000002</v>
      </c>
      <c r="I29" s="113">
        <f>SUM(I13:I28)</f>
        <v>5065860.3899999997</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1111.3434000000002</v>
      </c>
      <c r="F45" s="36"/>
      <c r="G45" s="128"/>
      <c r="H45" s="129" t="s">
        <v>131</v>
      </c>
      <c r="I45" s="113">
        <f>SUM(I43,I29)</f>
        <v>5065860.3899999997</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28.6</v>
      </c>
      <c r="D50" s="192">
        <v>32.64</v>
      </c>
      <c r="E50" s="147">
        <f>IF(D$59=0,C50*2,C50+D50)</f>
        <v>61.24</v>
      </c>
      <c r="F50" s="40" t="s">
        <v>21</v>
      </c>
      <c r="G50" s="52">
        <v>251</v>
      </c>
      <c r="H50" s="485">
        <f>'0664'!H50</f>
        <v>1047</v>
      </c>
      <c r="I50" s="120">
        <f>ROUND(E50*H50,2)</f>
        <v>64118.28</v>
      </c>
      <c r="N50" s="863" t="s">
        <v>28</v>
      </c>
      <c r="O50" s="863"/>
      <c r="P50" s="864"/>
      <c r="Q50" s="864"/>
      <c r="R50" s="42" t="s">
        <v>21</v>
      </c>
      <c r="S50" s="43">
        <v>251</v>
      </c>
      <c r="T50" s="138">
        <f>H50</f>
        <v>1047</v>
      </c>
      <c r="U50" s="139">
        <f>ROUND(P50*T50,0)</f>
        <v>0</v>
      </c>
    </row>
    <row r="51" spans="1:21" x14ac:dyDescent="0.25">
      <c r="A51" s="792"/>
      <c r="B51" s="792"/>
      <c r="C51" s="192">
        <v>1.5</v>
      </c>
      <c r="D51" s="192">
        <v>0.5</v>
      </c>
      <c r="E51" s="147">
        <f t="shared" ref="E51:E58" si="10">IF(D$59=0,C51*2,C51+D51)</f>
        <v>2</v>
      </c>
      <c r="F51" s="52" t="s">
        <v>21</v>
      </c>
      <c r="G51" s="52">
        <v>252</v>
      </c>
      <c r="H51" s="485">
        <f>'0664'!H51</f>
        <v>3380</v>
      </c>
      <c r="I51" s="120">
        <f t="shared" ref="I51:I58" si="11">ROUND(E51*H51,2)</f>
        <v>6760</v>
      </c>
      <c r="N51" s="863"/>
      <c r="O51" s="863"/>
      <c r="P51" s="865"/>
      <c r="Q51" s="865"/>
      <c r="R51" s="43" t="s">
        <v>21</v>
      </c>
      <c r="S51" s="43">
        <v>252</v>
      </c>
      <c r="T51" s="138">
        <f t="shared" ref="T51:T58" si="12">H51</f>
        <v>3380</v>
      </c>
      <c r="U51" s="139">
        <f t="shared" ref="U51:U58" si="13">ROUND(P51*T51,0)</f>
        <v>0</v>
      </c>
    </row>
    <row r="52" spans="1:21" x14ac:dyDescent="0.25">
      <c r="A52" s="792"/>
      <c r="B52" s="792"/>
      <c r="C52" s="192">
        <v>1.5</v>
      </c>
      <c r="D52" s="192">
        <v>1.5</v>
      </c>
      <c r="E52" s="147">
        <f t="shared" si="10"/>
        <v>3</v>
      </c>
      <c r="F52" s="52" t="s">
        <v>21</v>
      </c>
      <c r="G52" s="52">
        <v>253</v>
      </c>
      <c r="H52" s="485">
        <f>'0664'!H52</f>
        <v>6896</v>
      </c>
      <c r="I52" s="120">
        <f t="shared" si="11"/>
        <v>20688</v>
      </c>
      <c r="N52" s="863"/>
      <c r="O52" s="863"/>
      <c r="P52" s="865"/>
      <c r="Q52" s="865"/>
      <c r="R52" s="43" t="s">
        <v>21</v>
      </c>
      <c r="S52" s="43">
        <v>253</v>
      </c>
      <c r="T52" s="138">
        <f t="shared" si="12"/>
        <v>6896</v>
      </c>
      <c r="U52" s="139">
        <f t="shared" si="13"/>
        <v>0</v>
      </c>
    </row>
    <row r="53" spans="1:21" x14ac:dyDescent="0.25">
      <c r="A53" s="792"/>
      <c r="B53" s="792"/>
      <c r="C53" s="192">
        <v>65.63</v>
      </c>
      <c r="D53" s="192">
        <v>64.39</v>
      </c>
      <c r="E53" s="147">
        <f t="shared" si="10"/>
        <v>130.01999999999998</v>
      </c>
      <c r="F53" s="143" t="s">
        <v>14</v>
      </c>
      <c r="G53" s="52">
        <v>251</v>
      </c>
      <c r="H53" s="485">
        <f>'0664'!H53</f>
        <v>1173</v>
      </c>
      <c r="I53" s="120">
        <f t="shared" si="11"/>
        <v>152513.46</v>
      </c>
      <c r="N53" s="863"/>
      <c r="O53" s="863"/>
      <c r="P53" s="865"/>
      <c r="Q53" s="865"/>
      <c r="R53" s="45" t="s">
        <v>14</v>
      </c>
      <c r="S53" s="43">
        <v>251</v>
      </c>
      <c r="T53" s="138">
        <f t="shared" si="12"/>
        <v>1173</v>
      </c>
      <c r="U53" s="139">
        <f t="shared" si="13"/>
        <v>0</v>
      </c>
    </row>
    <row r="54" spans="1:21" x14ac:dyDescent="0.25">
      <c r="A54" s="792"/>
      <c r="B54" s="792"/>
      <c r="C54" s="192">
        <v>1.53</v>
      </c>
      <c r="D54" s="192">
        <v>1</v>
      </c>
      <c r="E54" s="147">
        <f t="shared" si="10"/>
        <v>2.5300000000000002</v>
      </c>
      <c r="F54" s="143" t="s">
        <v>14</v>
      </c>
      <c r="G54" s="52">
        <v>252</v>
      </c>
      <c r="H54" s="485">
        <f>'0664'!H54</f>
        <v>3506</v>
      </c>
      <c r="I54" s="120">
        <f t="shared" si="11"/>
        <v>8870.18</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98.759999999999991</v>
      </c>
      <c r="D59" s="116">
        <f>SUM(D50:D58)</f>
        <v>100.03</v>
      </c>
      <c r="E59" s="116">
        <f>SUM(E50:E58)</f>
        <v>198.79</v>
      </c>
      <c r="F59" s="767" t="s">
        <v>78</v>
      </c>
      <c r="G59" s="767"/>
      <c r="H59" s="767"/>
      <c r="I59" s="116">
        <f>SUM(I50:I58)</f>
        <v>252949.91999999998</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1048.3599999999999</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5.496E-3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1111.3434000000002</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5.182E-3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5.496E-3</v>
      </c>
      <c r="I68" s="120">
        <f>ROUND(F68*H68,2)</f>
        <v>230994.56</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5.496E-3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5.496E-3</v>
      </c>
      <c r="I71" s="120">
        <f>IF(D71="Y",ROUND(F71*H71,2),0)</f>
        <v>805.75</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5.496E-3</v>
      </c>
      <c r="I72" s="120">
        <f>ROUND(F72*H72,2)</f>
        <v>62313.15</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5.496E-3</v>
      </c>
      <c r="I73" s="120">
        <f>ROUND(F73*H73,2)</f>
        <v>76297.59</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5.496E-3</v>
      </c>
      <c r="I77" s="120">
        <f t="shared" ref="I77:I82" si="14">ROUND(F77*H77,2)</f>
        <v>41014.129999999997</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5.496E-3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5.182E-3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5.182E-3</v>
      </c>
      <c r="I80" s="120">
        <f t="shared" si="14"/>
        <v>44372.37</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5.182E-3</v>
      </c>
      <c r="I81" s="120">
        <f t="shared" si="14"/>
        <v>874012.85</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5.182E-3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201044.53</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5.496E-3</v>
      </c>
      <c r="I84" s="120">
        <f>ROUND(F84*H84,2)</f>
        <v>118792.43</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533.95150000000001</v>
      </c>
      <c r="D89" s="781"/>
      <c r="E89" s="54">
        <f>H8</f>
        <v>1.0424</v>
      </c>
      <c r="F89" s="545">
        <f>'0664'!F89</f>
        <v>966.9</v>
      </c>
      <c r="G89" s="186" t="s">
        <v>13</v>
      </c>
      <c r="H89" s="120">
        <f>ROUND(C89*E89*F89,2)</f>
        <v>538167.88</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577.39189999999996</v>
      </c>
      <c r="D90" s="781"/>
      <c r="E90" s="54">
        <f>H8</f>
        <v>1.0424</v>
      </c>
      <c r="F90" s="545">
        <f>'0664'!F90</f>
        <v>923.19</v>
      </c>
      <c r="G90" s="186" t="s">
        <v>13</v>
      </c>
      <c r="H90" s="120">
        <f>ROUND(C90*E90*F90,2)</f>
        <v>555643.43000000005</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1111.3434</v>
      </c>
      <c r="D92" s="782"/>
      <c r="E92" s="168"/>
      <c r="F92" s="168"/>
      <c r="G92" s="168"/>
      <c r="H92" s="169" t="s">
        <v>145</v>
      </c>
      <c r="I92" s="120">
        <f>IF(A1=75,0,H91+H90+H89)</f>
        <v>1093811.31</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49</v>
      </c>
      <c r="D98" s="192">
        <v>50</v>
      </c>
      <c r="E98" s="147">
        <f>(C98+D98)/2</f>
        <v>49.5</v>
      </c>
      <c r="F98" s="173" t="s">
        <v>39</v>
      </c>
      <c r="G98" s="546">
        <f>'0664'!G98</f>
        <v>486</v>
      </c>
      <c r="I98" s="120">
        <f>ROUND(G98*E98,2)</f>
        <v>24057</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8086325.9799999986</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7" t="s">
        <v>306</v>
      </c>
      <c r="H118" s="188">
        <f>IF(H116=1,I116,I114)</f>
        <v>8086325.9799999986</v>
      </c>
      <c r="I118" s="113">
        <f>ROUND(IF(E29=0,0,IF(E29&gt;250,-(((250/E29)*H118)*IF(G118="H",0.02,0.05)),IF(G118="H",-0.02*H118,-0.05*H118))),2)</f>
        <v>-38566.550000000003</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8047759.4299999988</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-8048731.5899999999</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-972.16000000108033</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-972.16</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123159.97</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FF00"/>
  </sheetPr>
  <dimension ref="A1:U202"/>
  <sheetViews>
    <sheetView showGridLines="0" zoomScale="90" zoomScaleNormal="90" workbookViewId="0">
      <pane ySplit="1" topLeftCell="A101"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165</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47.54</v>
      </c>
      <c r="D13" s="190">
        <v>48.08</v>
      </c>
      <c r="E13" s="245">
        <f>IF(D$29=0,C13*2,C13+D13)</f>
        <v>95.62</v>
      </c>
      <c r="F13" s="819">
        <f>'0664'!F13:G13</f>
        <v>1.1259999999999999</v>
      </c>
      <c r="G13" s="819"/>
      <c r="H13" s="194">
        <f>ROUND(E13*F13,4)</f>
        <v>107.6681</v>
      </c>
      <c r="I13" s="140">
        <f t="shared" ref="I13:I28" si="0">ROUND(ROUND(H13*$C$8,4)*($H$8),2)</f>
        <v>490785.8</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4.5</v>
      </c>
      <c r="D14" s="192">
        <v>3.99</v>
      </c>
      <c r="E14" s="147">
        <f t="shared" ref="E14:E28" si="3">IF(D$29=0,C14*2,C14+D14)</f>
        <v>8.49</v>
      </c>
      <c r="F14" s="814">
        <f>'0664'!F14:G14</f>
        <v>1.1259999999999999</v>
      </c>
      <c r="G14" s="814"/>
      <c r="H14" s="99">
        <f t="shared" ref="H14:H28" si="4">ROUND(E14*F14,4)</f>
        <v>9.5596999999999994</v>
      </c>
      <c r="I14" s="120">
        <f t="shared" si="0"/>
        <v>43576.18</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57.45</v>
      </c>
      <c r="D15" s="192">
        <v>58.94</v>
      </c>
      <c r="E15" s="147">
        <f t="shared" si="3"/>
        <v>116.39</v>
      </c>
      <c r="F15" s="814">
        <f>'0664'!F15:G15</f>
        <v>1</v>
      </c>
      <c r="G15" s="814"/>
      <c r="H15" s="99">
        <f t="shared" si="4"/>
        <v>116.39</v>
      </c>
      <c r="I15" s="120">
        <f t="shared" si="0"/>
        <v>530543.03</v>
      </c>
      <c r="N15" s="840" t="s">
        <v>31</v>
      </c>
      <c r="O15" s="840"/>
      <c r="P15" s="841">
        <f t="shared" si="1"/>
        <v>0</v>
      </c>
      <c r="Q15" s="841"/>
      <c r="R15" s="842">
        <v>1</v>
      </c>
      <c r="S15" s="842"/>
      <c r="T15" s="114">
        <f t="shared" si="5"/>
        <v>0</v>
      </c>
      <c r="U15" s="115">
        <f t="shared" si="2"/>
        <v>0</v>
      </c>
    </row>
    <row r="16" spans="1:21" x14ac:dyDescent="0.25">
      <c r="A16" s="764" t="s">
        <v>32</v>
      </c>
      <c r="B16" s="764"/>
      <c r="C16" s="192">
        <v>13.5</v>
      </c>
      <c r="D16" s="192">
        <v>13</v>
      </c>
      <c r="E16" s="147">
        <f t="shared" si="3"/>
        <v>26.5</v>
      </c>
      <c r="F16" s="814">
        <f>'0664'!F16:G16</f>
        <v>1</v>
      </c>
      <c r="G16" s="814"/>
      <c r="H16" s="99">
        <f t="shared" si="4"/>
        <v>26.5</v>
      </c>
      <c r="I16" s="120">
        <f t="shared" si="0"/>
        <v>120795.52</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0.46</v>
      </c>
      <c r="D25" s="192">
        <v>0.46</v>
      </c>
      <c r="E25" s="147">
        <f t="shared" si="3"/>
        <v>0.92</v>
      </c>
      <c r="F25" s="814">
        <f>'0664'!F25:G25</f>
        <v>1.1990000000000001</v>
      </c>
      <c r="G25" s="814"/>
      <c r="H25" s="99">
        <f t="shared" si="4"/>
        <v>1.1031</v>
      </c>
      <c r="I25" s="120">
        <f t="shared" si="0"/>
        <v>5028.28</v>
      </c>
      <c r="N25" s="840" t="s">
        <v>116</v>
      </c>
      <c r="O25" s="840"/>
      <c r="P25" s="841">
        <f t="shared" si="1"/>
        <v>0</v>
      </c>
      <c r="Q25" s="841"/>
      <c r="R25" s="842">
        <v>1</v>
      </c>
      <c r="S25" s="842"/>
      <c r="T25" s="114">
        <f t="shared" si="5"/>
        <v>0</v>
      </c>
      <c r="U25" s="115">
        <f t="shared" si="2"/>
        <v>0</v>
      </c>
    </row>
    <row r="26" spans="1:21" x14ac:dyDescent="0.25">
      <c r="A26" s="764" t="s">
        <v>117</v>
      </c>
      <c r="B26" s="764"/>
      <c r="C26" s="192">
        <v>3.08</v>
      </c>
      <c r="D26" s="192">
        <v>3.08</v>
      </c>
      <c r="E26" s="147">
        <f t="shared" si="3"/>
        <v>6.16</v>
      </c>
      <c r="F26" s="814">
        <f>'0664'!F26:G26</f>
        <v>1.1990000000000001</v>
      </c>
      <c r="G26" s="814"/>
      <c r="H26" s="99">
        <f t="shared" si="4"/>
        <v>7.3857999999999997</v>
      </c>
      <c r="I26" s="120">
        <f t="shared" si="0"/>
        <v>33666.85</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126.53</v>
      </c>
      <c r="D29" s="113">
        <f>SUM(D13:D28)</f>
        <v>127.54999999999998</v>
      </c>
      <c r="E29" s="113">
        <f>SUM(E13:E28)</f>
        <v>254.07999999999998</v>
      </c>
      <c r="F29" s="820"/>
      <c r="G29" s="820"/>
      <c r="H29" s="118">
        <f>SUM(H13:H28)</f>
        <v>268.60669999999999</v>
      </c>
      <c r="I29" s="113">
        <f>SUM(I13:I28)</f>
        <v>1224395.6600000001</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268.60669999999999</v>
      </c>
      <c r="F45" s="36"/>
      <c r="G45" s="128"/>
      <c r="H45" s="129" t="s">
        <v>131</v>
      </c>
      <c r="I45" s="113">
        <f>SUM(I43,I29)</f>
        <v>1224395.6600000001</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4.5</v>
      </c>
      <c r="D50" s="192">
        <v>3.99</v>
      </c>
      <c r="E50" s="147">
        <f>IF(D$59=0,C50*2,C50+D50)</f>
        <v>8.49</v>
      </c>
      <c r="F50" s="40" t="s">
        <v>21</v>
      </c>
      <c r="G50" s="52">
        <v>251</v>
      </c>
      <c r="H50" s="485">
        <f>'0664'!H50</f>
        <v>1047</v>
      </c>
      <c r="I50" s="120">
        <f>ROUND(E50*H50,2)</f>
        <v>8889.0300000000007</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13.5</v>
      </c>
      <c r="D53" s="192">
        <v>13</v>
      </c>
      <c r="E53" s="147">
        <f t="shared" si="10"/>
        <v>26.5</v>
      </c>
      <c r="F53" s="143" t="s">
        <v>14</v>
      </c>
      <c r="G53" s="52">
        <v>251</v>
      </c>
      <c r="H53" s="485">
        <f>'0664'!H53</f>
        <v>1173</v>
      </c>
      <c r="I53" s="120">
        <f t="shared" si="11"/>
        <v>31084.5</v>
      </c>
      <c r="N53" s="863"/>
      <c r="O53" s="863"/>
      <c r="P53" s="865"/>
      <c r="Q53" s="865"/>
      <c r="R53" s="45" t="s">
        <v>14</v>
      </c>
      <c r="S53" s="43">
        <v>251</v>
      </c>
      <c r="T53" s="138">
        <f t="shared" si="12"/>
        <v>1173</v>
      </c>
      <c r="U53" s="139">
        <f t="shared" si="13"/>
        <v>0</v>
      </c>
    </row>
    <row r="54" spans="1:21" x14ac:dyDescent="0.25">
      <c r="A54" s="792"/>
      <c r="B54" s="792"/>
      <c r="C54" s="192">
        <v>0</v>
      </c>
      <c r="D54" s="192">
        <v>0</v>
      </c>
      <c r="E54" s="147">
        <f>IF(D$59=0,C54*2,C54+D54)</f>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18</v>
      </c>
      <c r="D59" s="116">
        <f>SUM(D50:D58)</f>
        <v>16.990000000000002</v>
      </c>
      <c r="E59" s="116">
        <f>SUM(E50:E58)</f>
        <v>34.99</v>
      </c>
      <c r="F59" s="767" t="s">
        <v>78</v>
      </c>
      <c r="G59" s="767"/>
      <c r="H59" s="767"/>
      <c r="I59" s="116">
        <f>SUM(I50:I58)</f>
        <v>39973.53</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254.07999999999998</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1.3320000000000001E-3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268.60669999999999</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1.2520000000000001E-3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1.3320000000000001E-3</v>
      </c>
      <c r="I68" s="120">
        <f>ROUND(F68*H68,2)</f>
        <v>55983.4</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1.3320000000000001E-3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1.3320000000000001E-3</v>
      </c>
      <c r="I71" s="120">
        <f>IF(D71="Y",ROUND(F71*H71,2),0)</f>
        <v>195.28</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1.3320000000000001E-3</v>
      </c>
      <c r="I72" s="120">
        <f>ROUND(F72*H72,2)</f>
        <v>15102.1</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1.3320000000000001E-3</v>
      </c>
      <c r="I73" s="120">
        <f>ROUND(F73*H73,2)</f>
        <v>18491.34</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1.3320000000000001E-3</v>
      </c>
      <c r="I77" s="120">
        <f t="shared" ref="I77:I82" si="14">ROUND(F77*H77,2)</f>
        <v>9940.11</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1.3320000000000001E-3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1.2520000000000001E-3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1.2520000000000001E-3</v>
      </c>
      <c r="I80" s="120">
        <f t="shared" si="14"/>
        <v>10720.61</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1.2520000000000001E-3</v>
      </c>
      <c r="I81" s="120">
        <f t="shared" si="14"/>
        <v>211166.36</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1.2520000000000001E-3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45290.47</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1.3320000000000001E-3</v>
      </c>
      <c r="I84" s="120">
        <f>ROUND(F84*H84,2)</f>
        <v>28790.3</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118.3309</v>
      </c>
      <c r="D89" s="781"/>
      <c r="E89" s="54">
        <f>H8</f>
        <v>1.0424</v>
      </c>
      <c r="F89" s="545">
        <f>'0664'!F89</f>
        <v>966.9</v>
      </c>
      <c r="G89" s="186" t="s">
        <v>13</v>
      </c>
      <c r="H89" s="120">
        <f>ROUND(C89*E89*F89,2)</f>
        <v>119265.31</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150.27579999999998</v>
      </c>
      <c r="D90" s="781"/>
      <c r="E90" s="54">
        <f>H8</f>
        <v>1.0424</v>
      </c>
      <c r="F90" s="545">
        <f>'0664'!F90</f>
        <v>923.19</v>
      </c>
      <c r="G90" s="186" t="s">
        <v>13</v>
      </c>
      <c r="H90" s="120">
        <f>ROUND(C90*E90*F90,2)</f>
        <v>144615.4</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268.60669999999999</v>
      </c>
      <c r="D92" s="782"/>
      <c r="E92" s="168"/>
      <c r="F92" s="168"/>
      <c r="G92" s="168"/>
      <c r="H92" s="169" t="s">
        <v>145</v>
      </c>
      <c r="I92" s="120">
        <f>IF(A1=75,0,H91+H90+H89)</f>
        <v>263880.70999999996</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247</v>
      </c>
      <c r="D98" s="192">
        <v>248</v>
      </c>
      <c r="E98" s="147">
        <f>(C98+D98)/2</f>
        <v>247.5</v>
      </c>
      <c r="F98" s="173" t="s">
        <v>39</v>
      </c>
      <c r="G98" s="546">
        <f>'0664'!G98</f>
        <v>486</v>
      </c>
      <c r="I98" s="120">
        <f>ROUND(G98*E98,2)</f>
        <v>120285</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2044214.87</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2044214.87</v>
      </c>
      <c r="I118" s="113">
        <f>ROUND(IF(E29=0,0,IF(E29&gt;250,-(((250/E29)*H118)*IF(G118="H",0.02,0.05)),IF(G118="H",-0.02*H118,-0.05*H118))),2)</f>
        <v>-100569.45</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1943645.4200000002</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-1944420.98</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-775.55999999982305</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-775.56</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1641.29</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78:P78"/>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R105:S105"/>
    <mergeCell ref="A98:B98"/>
    <mergeCell ref="N98:O98"/>
    <mergeCell ref="P98:R98"/>
    <mergeCell ref="A99:B99"/>
    <mergeCell ref="N99:O99"/>
    <mergeCell ref="P99:R99"/>
    <mergeCell ref="R107:S107"/>
    <mergeCell ref="A102:C102"/>
    <mergeCell ref="F102:I102"/>
    <mergeCell ref="N102:U102"/>
    <mergeCell ref="C103:E103"/>
    <mergeCell ref="F104:G104"/>
    <mergeCell ref="A105:B105"/>
    <mergeCell ref="F105:G105"/>
    <mergeCell ref="N105:O105"/>
    <mergeCell ref="P105:Q105"/>
    <mergeCell ref="R108:S108"/>
    <mergeCell ref="A109:B109"/>
    <mergeCell ref="N109:O109"/>
    <mergeCell ref="A106:B106"/>
    <mergeCell ref="F106:G106"/>
    <mergeCell ref="N106:O106"/>
    <mergeCell ref="P106:Q106"/>
    <mergeCell ref="R106:S106"/>
    <mergeCell ref="A107:B107"/>
    <mergeCell ref="F107:G107"/>
    <mergeCell ref="N135:U135"/>
    <mergeCell ref="N115:U115"/>
    <mergeCell ref="N112:P112"/>
    <mergeCell ref="A112:C112"/>
    <mergeCell ref="F112:H112"/>
    <mergeCell ref="N113:T113"/>
    <mergeCell ref="A114:H114"/>
    <mergeCell ref="A115:G115"/>
    <mergeCell ref="N116:U116"/>
    <mergeCell ref="A116:G116"/>
    <mergeCell ref="A111:C111"/>
    <mergeCell ref="F111:H111"/>
    <mergeCell ref="N111:P111"/>
    <mergeCell ref="A108:B108"/>
    <mergeCell ref="F108:G108"/>
    <mergeCell ref="N108:O108"/>
    <mergeCell ref="P108:Q108"/>
    <mergeCell ref="N107:O107"/>
    <mergeCell ref="P107:Q107"/>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FF00"/>
  </sheetPr>
  <dimension ref="A1:U202"/>
  <sheetViews>
    <sheetView showGridLines="0" zoomScale="90" zoomScaleNormal="90" workbookViewId="0">
      <pane ySplit="1" topLeftCell="A92" activePane="bottomLeft" state="frozen"/>
      <selection activeCell="A46" sqref="A46:IV46"/>
      <selection pane="bottomLeft" activeCell="I118" sqref="I118"/>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166</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31.64</v>
      </c>
      <c r="D13" s="190">
        <v>31.18</v>
      </c>
      <c r="E13" s="245">
        <f>IF(D$29=0,C13*2,C13+D13)</f>
        <v>62.82</v>
      </c>
      <c r="F13" s="819">
        <f>'0664'!F13:G13</f>
        <v>1.1259999999999999</v>
      </c>
      <c r="G13" s="819"/>
      <c r="H13" s="194">
        <f>ROUND(E13*F13,4)</f>
        <v>70.735299999999995</v>
      </c>
      <c r="I13" s="140">
        <f t="shared" ref="I13:I28" si="0">ROUND(ROUND(H13*$C$8,4)*($H$8),2)</f>
        <v>322434.23</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2</v>
      </c>
      <c r="D14" s="192">
        <v>2</v>
      </c>
      <c r="E14" s="147">
        <f t="shared" ref="E14:E28" si="3">IF(D$29=0,C14*2,C14+D14)</f>
        <v>4</v>
      </c>
      <c r="F14" s="814">
        <f>'0664'!F14:G14</f>
        <v>1.1259999999999999</v>
      </c>
      <c r="G14" s="814"/>
      <c r="H14" s="99">
        <f t="shared" ref="H14:H28" si="4">ROUND(E14*F14,4)</f>
        <v>4.5039999999999996</v>
      </c>
      <c r="I14" s="120">
        <f t="shared" si="0"/>
        <v>20530.68</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41.54</v>
      </c>
      <c r="D15" s="192">
        <v>37.380000000000003</v>
      </c>
      <c r="E15" s="147">
        <f t="shared" si="3"/>
        <v>78.92</v>
      </c>
      <c r="F15" s="814">
        <f>'0664'!F15:G15</f>
        <v>1</v>
      </c>
      <c r="G15" s="814"/>
      <c r="H15" s="99">
        <f t="shared" si="4"/>
        <v>78.92</v>
      </c>
      <c r="I15" s="120">
        <f t="shared" si="0"/>
        <v>359742.71999999997</v>
      </c>
      <c r="N15" s="840" t="s">
        <v>31</v>
      </c>
      <c r="O15" s="840"/>
      <c r="P15" s="841">
        <f t="shared" si="1"/>
        <v>0</v>
      </c>
      <c r="Q15" s="841"/>
      <c r="R15" s="842">
        <v>1</v>
      </c>
      <c r="S15" s="842"/>
      <c r="T15" s="114">
        <f t="shared" si="5"/>
        <v>0</v>
      </c>
      <c r="U15" s="115">
        <f t="shared" si="2"/>
        <v>0</v>
      </c>
    </row>
    <row r="16" spans="1:21" x14ac:dyDescent="0.25">
      <c r="A16" s="764" t="s">
        <v>32</v>
      </c>
      <c r="B16" s="764"/>
      <c r="C16" s="192">
        <v>6.96</v>
      </c>
      <c r="D16" s="192">
        <v>6</v>
      </c>
      <c r="E16" s="147">
        <f t="shared" si="3"/>
        <v>12.96</v>
      </c>
      <c r="F16" s="814">
        <f>'0664'!F16:G16</f>
        <v>1</v>
      </c>
      <c r="G16" s="814"/>
      <c r="H16" s="99">
        <f t="shared" si="4"/>
        <v>12.96</v>
      </c>
      <c r="I16" s="120">
        <f t="shared" si="0"/>
        <v>59075.85</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0.82</v>
      </c>
      <c r="D25" s="192">
        <v>0.82</v>
      </c>
      <c r="E25" s="147">
        <f t="shared" si="3"/>
        <v>1.64</v>
      </c>
      <c r="F25" s="814">
        <f>'0664'!F25:G25</f>
        <v>1.1990000000000001</v>
      </c>
      <c r="G25" s="814"/>
      <c r="H25" s="99">
        <f t="shared" si="4"/>
        <v>1.9663999999999999</v>
      </c>
      <c r="I25" s="120">
        <f t="shared" si="0"/>
        <v>8963.48</v>
      </c>
      <c r="N25" s="840" t="s">
        <v>116</v>
      </c>
      <c r="O25" s="840"/>
      <c r="P25" s="841">
        <f t="shared" si="1"/>
        <v>0</v>
      </c>
      <c r="Q25" s="841"/>
      <c r="R25" s="842">
        <v>1</v>
      </c>
      <c r="S25" s="842"/>
      <c r="T25" s="114">
        <f t="shared" si="5"/>
        <v>0</v>
      </c>
      <c r="U25" s="115">
        <f t="shared" si="2"/>
        <v>0</v>
      </c>
    </row>
    <row r="26" spans="1:21" x14ac:dyDescent="0.25">
      <c r="A26" s="764" t="s">
        <v>117</v>
      </c>
      <c r="B26" s="764"/>
      <c r="C26" s="192">
        <v>1.48</v>
      </c>
      <c r="D26" s="192">
        <v>1.56</v>
      </c>
      <c r="E26" s="147">
        <f t="shared" si="3"/>
        <v>3.04</v>
      </c>
      <c r="F26" s="814">
        <f>'0664'!F26:G26</f>
        <v>1.1990000000000001</v>
      </c>
      <c r="G26" s="814"/>
      <c r="H26" s="99">
        <f t="shared" si="4"/>
        <v>3.645</v>
      </c>
      <c r="I26" s="120">
        <f t="shared" si="0"/>
        <v>16615.080000000002</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84.44</v>
      </c>
      <c r="D29" s="113">
        <f>SUM(D13:D28)</f>
        <v>78.94</v>
      </c>
      <c r="E29" s="113">
        <f>SUM(E13:E28)</f>
        <v>163.38</v>
      </c>
      <c r="F29" s="820"/>
      <c r="G29" s="820"/>
      <c r="H29" s="118">
        <f>SUM(H13:H28)</f>
        <v>172.73070000000001</v>
      </c>
      <c r="I29" s="113">
        <f>SUM(I13:I28)</f>
        <v>787362.0399999998</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172.73070000000001</v>
      </c>
      <c r="F45" s="36"/>
      <c r="G45" s="128"/>
      <c r="H45" s="129" t="s">
        <v>131</v>
      </c>
      <c r="I45" s="113">
        <f>SUM(I43,I29)</f>
        <v>787362.0399999998</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2</v>
      </c>
      <c r="D50" s="192">
        <v>2</v>
      </c>
      <c r="E50" s="147">
        <f>IF(D$59=0,C50*2,C50+D50)</f>
        <v>4</v>
      </c>
      <c r="F50" s="40" t="s">
        <v>21</v>
      </c>
      <c r="G50" s="52">
        <v>251</v>
      </c>
      <c r="H50" s="485">
        <f>'0664'!H50</f>
        <v>1047</v>
      </c>
      <c r="I50" s="120">
        <f>ROUND(E50*H50,2)</f>
        <v>4188</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6.96</v>
      </c>
      <c r="D53" s="192">
        <v>6</v>
      </c>
      <c r="E53" s="147">
        <f t="shared" si="10"/>
        <v>12.96</v>
      </c>
      <c r="F53" s="143" t="s">
        <v>14</v>
      </c>
      <c r="G53" s="52">
        <v>251</v>
      </c>
      <c r="H53" s="485">
        <f>'0664'!H53</f>
        <v>1173</v>
      </c>
      <c r="I53" s="120">
        <f t="shared" si="11"/>
        <v>15202.08</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8.9600000000000009</v>
      </c>
      <c r="D59" s="116">
        <f>SUM(D50:D58)</f>
        <v>8</v>
      </c>
      <c r="E59" s="116">
        <f>SUM(E50:E58)</f>
        <v>16.96</v>
      </c>
      <c r="F59" s="767" t="s">
        <v>78</v>
      </c>
      <c r="G59" s="767"/>
      <c r="H59" s="767"/>
      <c r="I59" s="116">
        <f>SUM(I50:I58)</f>
        <v>19390.080000000002</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163.38</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8.5599999999999999E-4</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172.73070000000001</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8.0500000000000005E-4</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8.5599999999999999E-4</v>
      </c>
      <c r="I68" s="120">
        <f>ROUND(F68*H68,2)</f>
        <v>35977.32</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8.5599999999999999E-4</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8.5599999999999999E-4</v>
      </c>
      <c r="I71" s="120">
        <f>IF(D71="Y",ROUND(F71*H71,2),0)</f>
        <v>125.5</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8.5599999999999999E-4</v>
      </c>
      <c r="I72" s="120">
        <f>ROUND(F72*H72,2)</f>
        <v>9705.25</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8.5599999999999999E-4</v>
      </c>
      <c r="I73" s="120">
        <f>ROUND(F73*H73,2)</f>
        <v>11883.32</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8.5599999999999999E-4</v>
      </c>
      <c r="I77" s="120">
        <f t="shared" ref="I77:I82" si="14">ROUND(F77*H77,2)</f>
        <v>6387.94</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8.5599999999999999E-4</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8.0500000000000005E-4</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8.0500000000000005E-4</v>
      </c>
      <c r="I80" s="120">
        <f t="shared" si="14"/>
        <v>6893.04</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8.0500000000000005E-4</v>
      </c>
      <c r="I81" s="120">
        <f t="shared" si="14"/>
        <v>135773.9</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8.0500000000000005E-4</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36613.68</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8.5599999999999999E-4</v>
      </c>
      <c r="I84" s="120">
        <f>ROUND(F84*H84,2)</f>
        <v>18501.88</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77.205699999999993</v>
      </c>
      <c r="D89" s="781"/>
      <c r="E89" s="54">
        <f>H8</f>
        <v>1.0424</v>
      </c>
      <c r="F89" s="545">
        <f>'0664'!F89</f>
        <v>966.9</v>
      </c>
      <c r="G89" s="186" t="s">
        <v>13</v>
      </c>
      <c r="H89" s="120">
        <f>ROUND(C89*E89*F89,2)</f>
        <v>77815.360000000001</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95.524999999999991</v>
      </c>
      <c r="D90" s="781"/>
      <c r="E90" s="54">
        <f>H8</f>
        <v>1.0424</v>
      </c>
      <c r="F90" s="545">
        <f>'0664'!F90</f>
        <v>923.19</v>
      </c>
      <c r="G90" s="186" t="s">
        <v>13</v>
      </c>
      <c r="H90" s="120">
        <f>ROUND(C90*E90*F90,2)</f>
        <v>91926.88</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172.73069999999998</v>
      </c>
      <c r="D92" s="782"/>
      <c r="E92" s="168"/>
      <c r="F92" s="168"/>
      <c r="G92" s="168"/>
      <c r="H92" s="169" t="s">
        <v>145</v>
      </c>
      <c r="I92" s="120">
        <f>IF(A1=75,0,H91+H90+H89)</f>
        <v>169742.24</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0</v>
      </c>
      <c r="D98" s="192">
        <v>0</v>
      </c>
      <c r="E98" s="147">
        <f>(C98+D98)/2</f>
        <v>0</v>
      </c>
      <c r="F98" s="173" t="s">
        <v>39</v>
      </c>
      <c r="G98" s="546">
        <f>'0664'!G98</f>
        <v>486</v>
      </c>
      <c r="I98" s="120">
        <f>ROUND(G98*E98,2)</f>
        <v>0</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1238356.19</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1238356.19</v>
      </c>
      <c r="I118" s="113">
        <f>ROUND(IF(E29=0,0,IF(E29&gt;250,-(((250/E29)*H118)*IF(G118="H",0.02,0.05)),IF(G118="H",-0.02*H118,-0.05*H118))),2)</f>
        <v>-61917.81</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1176438.3799999999</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-1177501.97</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-1063.5900000000838</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-1063.5899999999999</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0</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78:P78"/>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R105:S105"/>
    <mergeCell ref="A98:B98"/>
    <mergeCell ref="N98:O98"/>
    <mergeCell ref="P98:R98"/>
    <mergeCell ref="A99:B99"/>
    <mergeCell ref="N99:O99"/>
    <mergeCell ref="P99:R99"/>
    <mergeCell ref="R107:S107"/>
    <mergeCell ref="A102:C102"/>
    <mergeCell ref="F102:I102"/>
    <mergeCell ref="N102:U102"/>
    <mergeCell ref="C103:E103"/>
    <mergeCell ref="F104:G104"/>
    <mergeCell ref="A105:B105"/>
    <mergeCell ref="F105:G105"/>
    <mergeCell ref="N105:O105"/>
    <mergeCell ref="P105:Q105"/>
    <mergeCell ref="R108:S108"/>
    <mergeCell ref="A109:B109"/>
    <mergeCell ref="N109:O109"/>
    <mergeCell ref="A106:B106"/>
    <mergeCell ref="F106:G106"/>
    <mergeCell ref="N106:O106"/>
    <mergeCell ref="P106:Q106"/>
    <mergeCell ref="R106:S106"/>
    <mergeCell ref="A107:B107"/>
    <mergeCell ref="F107:G107"/>
    <mergeCell ref="N135:U135"/>
    <mergeCell ref="N115:U115"/>
    <mergeCell ref="N112:P112"/>
    <mergeCell ref="A112:C112"/>
    <mergeCell ref="F112:H112"/>
    <mergeCell ref="N113:T113"/>
    <mergeCell ref="A114:H114"/>
    <mergeCell ref="A115:G115"/>
    <mergeCell ref="N116:U116"/>
    <mergeCell ref="A116:G116"/>
    <mergeCell ref="A111:C111"/>
    <mergeCell ref="F111:H111"/>
    <mergeCell ref="N111:P111"/>
    <mergeCell ref="A108:B108"/>
    <mergeCell ref="F108:G108"/>
    <mergeCell ref="N108:O108"/>
    <mergeCell ref="P108:Q108"/>
    <mergeCell ref="N107:O107"/>
    <mergeCell ref="P107:Q107"/>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FF00"/>
  </sheetPr>
  <dimension ref="A1:U202"/>
  <sheetViews>
    <sheetView showGridLines="0" zoomScale="90" zoomScaleNormal="90" workbookViewId="0">
      <pane ySplit="1" topLeftCell="A95" activePane="bottomLeft" state="frozen"/>
      <selection activeCell="A46" sqref="A46:IV46"/>
      <selection pane="bottomLeft" activeCell="L127" sqref="L127"/>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167</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F3" s="741" t="s">
        <v>449</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741"/>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4"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10.78</v>
      </c>
      <c r="D17" s="192">
        <v>11.85</v>
      </c>
      <c r="E17" s="147">
        <f t="shared" si="3"/>
        <v>22.63</v>
      </c>
      <c r="F17" s="814">
        <f>'0664'!F17:G17</f>
        <v>1.01</v>
      </c>
      <c r="G17" s="814"/>
      <c r="H17" s="99">
        <f t="shared" si="4"/>
        <v>22.856300000000001</v>
      </c>
      <c r="I17" s="120">
        <f t="shared" si="0"/>
        <v>104186.36</v>
      </c>
      <c r="N17" s="840" t="s">
        <v>33</v>
      </c>
      <c r="O17" s="840"/>
      <c r="P17" s="841">
        <f t="shared" si="1"/>
        <v>0</v>
      </c>
      <c r="Q17" s="841"/>
      <c r="R17" s="842">
        <v>1</v>
      </c>
      <c r="S17" s="842"/>
      <c r="T17" s="114">
        <f t="shared" si="5"/>
        <v>0</v>
      </c>
      <c r="U17" s="115">
        <f t="shared" si="2"/>
        <v>0</v>
      </c>
    </row>
    <row r="18" spans="1:21" x14ac:dyDescent="0.25">
      <c r="A18" s="764" t="s">
        <v>34</v>
      </c>
      <c r="B18" s="764"/>
      <c r="C18" s="192">
        <v>0.5</v>
      </c>
      <c r="D18" s="192">
        <v>0.5</v>
      </c>
      <c r="E18" s="147">
        <f t="shared" si="3"/>
        <v>1</v>
      </c>
      <c r="F18" s="814">
        <f>'0664'!F18:G18</f>
        <v>1.01</v>
      </c>
      <c r="G18" s="814"/>
      <c r="H18" s="99">
        <f t="shared" si="4"/>
        <v>1.01</v>
      </c>
      <c r="I18" s="120">
        <f t="shared" si="0"/>
        <v>4603.8999999999996</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9.48</v>
      </c>
      <c r="D27" s="192">
        <v>5.8</v>
      </c>
      <c r="E27" s="147">
        <f t="shared" si="3"/>
        <v>15.280000000000001</v>
      </c>
      <c r="F27" s="814">
        <f>'0664'!F27:G27</f>
        <v>1.1990000000000001</v>
      </c>
      <c r="G27" s="814"/>
      <c r="H27" s="99">
        <f t="shared" si="4"/>
        <v>18.320699999999999</v>
      </c>
      <c r="I27" s="120">
        <f t="shared" si="0"/>
        <v>83511.64</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20.759999999999998</v>
      </c>
      <c r="D29" s="113">
        <f>SUM(D13:D28)</f>
        <v>18.149999999999999</v>
      </c>
      <c r="E29" s="113">
        <f>SUM(E13:E28)</f>
        <v>38.909999999999997</v>
      </c>
      <c r="F29" s="820"/>
      <c r="G29" s="820"/>
      <c r="H29" s="118">
        <f>SUM(H13:H28)</f>
        <v>42.186999999999998</v>
      </c>
      <c r="I29" s="113">
        <f>SUM(I13:I28)</f>
        <v>192301.9</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42.186999999999998</v>
      </c>
      <c r="F45" s="36"/>
      <c r="G45" s="128"/>
      <c r="H45" s="129" t="s">
        <v>131</v>
      </c>
      <c r="I45" s="113">
        <f>SUM(I43,I29)</f>
        <v>192301.9</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4"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0.5</v>
      </c>
      <c r="D56" s="192">
        <v>0.5</v>
      </c>
      <c r="E56" s="147">
        <f t="shared" si="10"/>
        <v>1</v>
      </c>
      <c r="F56" s="143" t="s">
        <v>15</v>
      </c>
      <c r="G56" s="52">
        <v>251</v>
      </c>
      <c r="H56" s="485">
        <f>'0664'!H56</f>
        <v>835</v>
      </c>
      <c r="I56" s="120">
        <f t="shared" si="11"/>
        <v>835</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0.5</v>
      </c>
      <c r="D59" s="116">
        <f>SUM(D50:D58)</f>
        <v>0.5</v>
      </c>
      <c r="E59" s="116">
        <f>SUM(E50:E58)</f>
        <v>1</v>
      </c>
      <c r="F59" s="767" t="s">
        <v>78</v>
      </c>
      <c r="G59" s="767"/>
      <c r="H59" s="767"/>
      <c r="I59" s="116">
        <f>SUM(I50:I58)</f>
        <v>835</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38.909999999999997</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2.04E-4</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42.186999999999998</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1.9699999999999999E-4</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2.04E-4</v>
      </c>
      <c r="I68" s="120">
        <f>ROUND(F68*H68,2)</f>
        <v>8574.0300000000007</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2.04E-4</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2.04E-4</v>
      </c>
      <c r="I71" s="120">
        <f>IF(D71="Y",ROUND(F71*H71,2),0)</f>
        <v>29.91</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2.04E-4</v>
      </c>
      <c r="I72" s="120">
        <f>ROUND(F72*H72,2)</f>
        <v>2312.9299999999998</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2.04E-4</v>
      </c>
      <c r="I73" s="120">
        <f>ROUND(F73*H73,2)</f>
        <v>2832.01</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2.04E-4</v>
      </c>
      <c r="I77" s="120">
        <f t="shared" ref="I77:I83" si="14">ROUND(F77*H77,2)</f>
        <v>1522.36</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2.04E-4</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1.9699999999999999E-4</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1.9699999999999999E-4</v>
      </c>
      <c r="I80" s="120">
        <f t="shared" si="14"/>
        <v>1686.87</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1.9699999999999999E-4</v>
      </c>
      <c r="I81" s="120">
        <f t="shared" si="14"/>
        <v>33226.660000000003</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1.9699999999999999E-4</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f t="shared" si="14"/>
        <v>0</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2.04E-4</v>
      </c>
      <c r="I84" s="120">
        <f>ROUND(F84*H84,2)</f>
        <v>4409.33</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0</v>
      </c>
      <c r="D90" s="781"/>
      <c r="E90" s="54">
        <f>H8</f>
        <v>1.0424</v>
      </c>
      <c r="F90" s="545">
        <f>'0664'!F90</f>
        <v>923.19</v>
      </c>
      <c r="G90" s="186" t="s">
        <v>13</v>
      </c>
      <c r="H90" s="120">
        <f>ROUND(C90*E90*F90,2)</f>
        <v>0</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42.186999999999998</v>
      </c>
      <c r="D91" s="781"/>
      <c r="E91" s="54">
        <f>H8</f>
        <v>1.0424</v>
      </c>
      <c r="F91" s="545">
        <f>'0664'!F91</f>
        <v>925.42</v>
      </c>
      <c r="G91" s="186" t="s">
        <v>13</v>
      </c>
      <c r="H91" s="113">
        <f>ROUND(C91*E91*F91,2)</f>
        <v>40696.019999999997</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42.186999999999998</v>
      </c>
      <c r="D92" s="782"/>
      <c r="E92" s="168"/>
      <c r="F92" s="168"/>
      <c r="G92" s="168"/>
      <c r="H92" s="169" t="s">
        <v>145</v>
      </c>
      <c r="I92" s="120">
        <f>IF(A1=75,0,H91+H90+H89)</f>
        <v>40696.019999999997</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4" t="s">
        <v>2</v>
      </c>
      <c r="D97" s="622" t="s">
        <v>2</v>
      </c>
      <c r="E97" s="622" t="s">
        <v>2</v>
      </c>
      <c r="F97" s="71"/>
      <c r="G97" s="71"/>
      <c r="H97" s="71"/>
      <c r="I97" s="71"/>
      <c r="N97" s="51"/>
      <c r="O97" s="51"/>
      <c r="P97" s="51"/>
      <c r="Q97" s="172"/>
      <c r="R97" s="172"/>
      <c r="S97" s="172"/>
      <c r="T97" s="172"/>
      <c r="U97" s="122"/>
    </row>
    <row r="98" spans="1:21" x14ac:dyDescent="0.25">
      <c r="A98" s="767" t="s">
        <v>66</v>
      </c>
      <c r="B98" s="767"/>
      <c r="C98" s="192">
        <v>0</v>
      </c>
      <c r="D98" s="192">
        <v>0</v>
      </c>
      <c r="E98" s="147">
        <f>(C98+D98)/2</f>
        <v>0</v>
      </c>
      <c r="F98" s="173" t="s">
        <v>39</v>
      </c>
      <c r="G98" s="546">
        <f>'0664'!G98</f>
        <v>486</v>
      </c>
      <c r="I98" s="120">
        <f>ROUND(G98*E98,2)</f>
        <v>0</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288427.02</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288427.02</v>
      </c>
      <c r="I118" s="113">
        <f>ROUND(IF(E29=0,0,IF(E29&gt;250,-(((250/E29)*H118)*IF(G118="H",0.02,0.05)),IF(G118="H",-0.02*H118,-0.05*H118))),2)</f>
        <v>-14421.35</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753" t="s">
        <v>470</v>
      </c>
      <c r="B120" s="553"/>
      <c r="C120" s="553"/>
      <c r="D120" s="553"/>
      <c r="E120" s="553"/>
      <c r="F120" s="553"/>
      <c r="G120" s="553"/>
      <c r="H120" s="554"/>
      <c r="I120" s="555">
        <f>ROUND((I114+I118)/12*8.5,2)</f>
        <v>194087.35</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-211143.06</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-17055.709999999992</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-17055.71</v>
      </c>
      <c r="J128" s="339"/>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0</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78:P78"/>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R105:S105"/>
    <mergeCell ref="A98:B98"/>
    <mergeCell ref="N98:O98"/>
    <mergeCell ref="P98:R98"/>
    <mergeCell ref="A99:B99"/>
    <mergeCell ref="N99:O99"/>
    <mergeCell ref="P99:R99"/>
    <mergeCell ref="R107:S107"/>
    <mergeCell ref="A102:C102"/>
    <mergeCell ref="F102:I102"/>
    <mergeCell ref="N102:U102"/>
    <mergeCell ref="C103:E103"/>
    <mergeCell ref="F104:G104"/>
    <mergeCell ref="A105:B105"/>
    <mergeCell ref="F105:G105"/>
    <mergeCell ref="N105:O105"/>
    <mergeCell ref="P105:Q105"/>
    <mergeCell ref="R108:S108"/>
    <mergeCell ref="A109:B109"/>
    <mergeCell ref="N109:O109"/>
    <mergeCell ref="A106:B106"/>
    <mergeCell ref="F106:G106"/>
    <mergeCell ref="N106:O106"/>
    <mergeCell ref="P106:Q106"/>
    <mergeCell ref="R106:S106"/>
    <mergeCell ref="A107:B107"/>
    <mergeCell ref="F107:G107"/>
    <mergeCell ref="N135:U135"/>
    <mergeCell ref="N115:U115"/>
    <mergeCell ref="N112:P112"/>
    <mergeCell ref="A112:C112"/>
    <mergeCell ref="F112:H112"/>
    <mergeCell ref="N113:T113"/>
    <mergeCell ref="A114:H114"/>
    <mergeCell ref="A115:G115"/>
    <mergeCell ref="N116:U116"/>
    <mergeCell ref="A116:G116"/>
    <mergeCell ref="A111:C111"/>
    <mergeCell ref="F111:H111"/>
    <mergeCell ref="N111:P111"/>
    <mergeCell ref="A108:B108"/>
    <mergeCell ref="F108:G108"/>
    <mergeCell ref="N108:O108"/>
    <mergeCell ref="P108:Q108"/>
    <mergeCell ref="N107:O107"/>
    <mergeCell ref="P107:Q107"/>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FF00"/>
  </sheetPr>
  <dimension ref="A1:U202"/>
  <sheetViews>
    <sheetView showGridLines="0" zoomScale="90" zoomScaleNormal="90" workbookViewId="0">
      <pane ySplit="1" topLeftCell="A111"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168</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1.5</v>
      </c>
      <c r="D16" s="192">
        <v>1.5</v>
      </c>
      <c r="E16" s="147">
        <f t="shared" si="3"/>
        <v>3</v>
      </c>
      <c r="F16" s="814">
        <f>'0664'!F16:G16</f>
        <v>1</v>
      </c>
      <c r="G16" s="814"/>
      <c r="H16" s="99">
        <f t="shared" si="4"/>
        <v>3</v>
      </c>
      <c r="I16" s="120">
        <f t="shared" si="0"/>
        <v>13674.96</v>
      </c>
      <c r="J16" s="81" t="str">
        <f>IF(ROUND(E16,2)=ROUND(SUM(E53:E55),2)," ","CHECK 4-8 LINES BELOW")</f>
        <v xml:space="preserve"> </v>
      </c>
      <c r="N16" s="840" t="s">
        <v>32</v>
      </c>
      <c r="O16" s="840"/>
      <c r="P16" s="841">
        <f t="shared" si="1"/>
        <v>3</v>
      </c>
      <c r="Q16" s="841"/>
      <c r="R16" s="842">
        <v>1</v>
      </c>
      <c r="S16" s="842"/>
      <c r="T16" s="114">
        <f t="shared" si="5"/>
        <v>3</v>
      </c>
      <c r="U16" s="115">
        <f t="shared" si="2"/>
        <v>13675</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15</v>
      </c>
      <c r="D18" s="192">
        <v>15</v>
      </c>
      <c r="E18" s="147">
        <f t="shared" si="3"/>
        <v>30</v>
      </c>
      <c r="F18" s="814">
        <f>'0664'!F18:G18</f>
        <v>1.01</v>
      </c>
      <c r="G18" s="814"/>
      <c r="H18" s="99">
        <f t="shared" si="4"/>
        <v>30.3</v>
      </c>
      <c r="I18" s="120">
        <f t="shared" si="0"/>
        <v>138117.14000000001</v>
      </c>
      <c r="J18" s="81" t="str">
        <f>IF(ROUND(E18,2)=ROUND(SUM(E56:E58),2)," ","CHECK 4-8 LINES BELOW")</f>
        <v xml:space="preserve"> </v>
      </c>
      <c r="N18" s="840" t="s">
        <v>34</v>
      </c>
      <c r="O18" s="840"/>
      <c r="P18" s="841">
        <f t="shared" si="1"/>
        <v>30</v>
      </c>
      <c r="Q18" s="841"/>
      <c r="R18" s="842">
        <v>1</v>
      </c>
      <c r="S18" s="842"/>
      <c r="T18" s="114">
        <f t="shared" si="5"/>
        <v>30</v>
      </c>
      <c r="U18" s="117">
        <f t="shared" si="2"/>
        <v>136750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1</v>
      </c>
      <c r="D21" s="192">
        <v>1</v>
      </c>
      <c r="E21" s="147">
        <f t="shared" si="3"/>
        <v>2</v>
      </c>
      <c r="F21" s="814">
        <f>'0664'!F21:G21</f>
        <v>3.6480000000000001</v>
      </c>
      <c r="G21" s="814"/>
      <c r="H21" s="99">
        <f t="shared" si="4"/>
        <v>7.2960000000000003</v>
      </c>
      <c r="I21" s="120">
        <f t="shared" si="0"/>
        <v>33257.51</v>
      </c>
      <c r="N21" s="840" t="s">
        <v>112</v>
      </c>
      <c r="O21" s="840"/>
      <c r="P21" s="841">
        <f t="shared" si="1"/>
        <v>2</v>
      </c>
      <c r="Q21" s="841"/>
      <c r="R21" s="842">
        <v>1</v>
      </c>
      <c r="S21" s="842"/>
      <c r="T21" s="114">
        <f t="shared" si="5"/>
        <v>2</v>
      </c>
      <c r="U21" s="115">
        <f t="shared" si="2"/>
        <v>9117</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17.5</v>
      </c>
      <c r="D29" s="113">
        <f>SUM(D13:D28)</f>
        <v>17.5</v>
      </c>
      <c r="E29" s="113">
        <f>SUM(E13:E28)</f>
        <v>35</v>
      </c>
      <c r="F29" s="820"/>
      <c r="G29" s="820"/>
      <c r="H29" s="118">
        <f>SUM(H13:H28)</f>
        <v>40.595999999999997</v>
      </c>
      <c r="I29" s="113">
        <f>SUM(I13:I28)</f>
        <v>185049.61000000002</v>
      </c>
      <c r="N29" s="850" t="s">
        <v>5</v>
      </c>
      <c r="O29" s="850"/>
      <c r="P29" s="851">
        <f>SUM(P13:P28)</f>
        <v>35</v>
      </c>
      <c r="Q29" s="851"/>
      <c r="R29" s="852"/>
      <c r="S29" s="852"/>
      <c r="T29" s="119">
        <f>SUM(T13:T28)</f>
        <v>35</v>
      </c>
      <c r="U29" s="115">
        <f>SUM(U13:U28)</f>
        <v>159542</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40.595999999999997</v>
      </c>
      <c r="F45" s="36"/>
      <c r="G45" s="128"/>
      <c r="H45" s="129" t="s">
        <v>131</v>
      </c>
      <c r="I45" s="113">
        <f>SUM(I43,I29)</f>
        <v>185049.61000000002</v>
      </c>
      <c r="N45" s="855" t="s">
        <v>56</v>
      </c>
      <c r="O45" s="855"/>
      <c r="P45" s="855"/>
      <c r="Q45" s="855"/>
      <c r="R45" s="37">
        <f>R43+T29</f>
        <v>35</v>
      </c>
      <c r="S45" s="852" t="s">
        <v>54</v>
      </c>
      <c r="T45" s="852"/>
      <c r="U45" s="130">
        <f>SUM(U43,U29)</f>
        <v>159542</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1.5</v>
      </c>
      <c r="D55" s="192">
        <v>1.5</v>
      </c>
      <c r="E55" s="147">
        <f t="shared" si="10"/>
        <v>3</v>
      </c>
      <c r="F55" s="143" t="s">
        <v>14</v>
      </c>
      <c r="G55" s="52">
        <v>253</v>
      </c>
      <c r="H55" s="485">
        <f>'0664'!H55</f>
        <v>7023</v>
      </c>
      <c r="I55" s="120">
        <f t="shared" si="11"/>
        <v>21069</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1</v>
      </c>
      <c r="D57" s="192">
        <v>1</v>
      </c>
      <c r="E57" s="147">
        <f t="shared" si="10"/>
        <v>2</v>
      </c>
      <c r="F57" s="143" t="s">
        <v>15</v>
      </c>
      <c r="G57" s="52">
        <v>252</v>
      </c>
      <c r="H57" s="485">
        <f>'0664'!H57</f>
        <v>3168</v>
      </c>
      <c r="I57" s="120">
        <f t="shared" si="11"/>
        <v>6336</v>
      </c>
      <c r="N57" s="863"/>
      <c r="O57" s="863"/>
      <c r="P57" s="865"/>
      <c r="Q57" s="865"/>
      <c r="R57" s="45" t="s">
        <v>15</v>
      </c>
      <c r="S57" s="43">
        <v>252</v>
      </c>
      <c r="T57" s="138">
        <f t="shared" si="12"/>
        <v>3168</v>
      </c>
      <c r="U57" s="139">
        <f t="shared" si="13"/>
        <v>0</v>
      </c>
    </row>
    <row r="58" spans="1:21" ht="16.5" thickBot="1" x14ac:dyDescent="0.3">
      <c r="A58" s="792"/>
      <c r="B58" s="792"/>
      <c r="C58" s="192">
        <v>14</v>
      </c>
      <c r="D58" s="192">
        <v>14</v>
      </c>
      <c r="E58" s="147">
        <f t="shared" si="10"/>
        <v>28</v>
      </c>
      <c r="F58" s="143" t="s">
        <v>15</v>
      </c>
      <c r="G58" s="52">
        <v>253</v>
      </c>
      <c r="H58" s="485">
        <f>'0664'!H58</f>
        <v>6685</v>
      </c>
      <c r="I58" s="120">
        <f t="shared" si="11"/>
        <v>187180</v>
      </c>
      <c r="N58" s="863"/>
      <c r="O58" s="863"/>
      <c r="P58" s="866"/>
      <c r="Q58" s="866"/>
      <c r="R58" s="45" t="s">
        <v>15</v>
      </c>
      <c r="S58" s="43">
        <v>253</v>
      </c>
      <c r="T58" s="138">
        <f t="shared" si="12"/>
        <v>6685</v>
      </c>
      <c r="U58" s="141">
        <f t="shared" si="13"/>
        <v>0</v>
      </c>
    </row>
    <row r="59" spans="1:21" ht="16.5" thickBot="1" x14ac:dyDescent="0.3">
      <c r="A59" s="767" t="s">
        <v>16</v>
      </c>
      <c r="B59" s="767"/>
      <c r="C59" s="116">
        <f>SUM(C50:C58)</f>
        <v>16.5</v>
      </c>
      <c r="D59" s="116">
        <f>SUM(D50:D58)</f>
        <v>16.5</v>
      </c>
      <c r="E59" s="116">
        <f>SUM(E50:E58)</f>
        <v>33</v>
      </c>
      <c r="F59" s="767" t="s">
        <v>78</v>
      </c>
      <c r="G59" s="767"/>
      <c r="H59" s="767"/>
      <c r="I59" s="116">
        <f>SUM(I50:I58)</f>
        <v>214585</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35</v>
      </c>
      <c r="D62" s="882" t="s">
        <v>137</v>
      </c>
      <c r="E62" s="882"/>
      <c r="F62" s="882"/>
      <c r="G62" s="882"/>
      <c r="H62" s="542">
        <f>'0664'!H62</f>
        <v>190754.06</v>
      </c>
      <c r="I62" s="144"/>
      <c r="N62" s="860" t="s">
        <v>327</v>
      </c>
      <c r="O62" s="840"/>
      <c r="P62" s="46">
        <f>P29</f>
        <v>35</v>
      </c>
      <c r="Q62" s="861" t="s">
        <v>79</v>
      </c>
      <c r="R62" s="861"/>
      <c r="S62" s="861"/>
      <c r="T62" s="862">
        <f>H62</f>
        <v>190754.06</v>
      </c>
      <c r="U62" s="862"/>
    </row>
    <row r="63" spans="1:21" x14ac:dyDescent="0.25">
      <c r="B63" s="86"/>
      <c r="G63" s="47" t="s">
        <v>13</v>
      </c>
      <c r="H63" s="145">
        <f>ROUND(C62/H62,6)</f>
        <v>1.83E-4</v>
      </c>
      <c r="I63" s="146"/>
      <c r="N63" s="840" t="s">
        <v>19</v>
      </c>
      <c r="O63" s="840"/>
      <c r="P63" s="840"/>
      <c r="Q63" s="840"/>
      <c r="R63" s="840"/>
      <c r="S63" s="840"/>
      <c r="T63" s="868">
        <f>ROUND(P62/T62,6)</f>
        <v>1.83E-4</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40.595999999999997</v>
      </c>
      <c r="D65" s="882" t="s">
        <v>142</v>
      </c>
      <c r="E65" s="882"/>
      <c r="F65" s="882"/>
      <c r="G65" s="882"/>
      <c r="H65" s="543">
        <f>'0664'!H65</f>
        <v>214462.41</v>
      </c>
      <c r="I65" s="147"/>
      <c r="N65" s="840" t="s">
        <v>81</v>
      </c>
      <c r="O65" s="840"/>
      <c r="P65" s="46">
        <f>R45</f>
        <v>35</v>
      </c>
      <c r="Q65" s="861" t="s">
        <v>80</v>
      </c>
      <c r="R65" s="861"/>
      <c r="S65" s="861"/>
      <c r="T65" s="862">
        <f>H65</f>
        <v>214462.41</v>
      </c>
      <c r="U65" s="862"/>
    </row>
    <row r="66" spans="1:21" s="38" customFormat="1" x14ac:dyDescent="0.25">
      <c r="A66" s="148"/>
      <c r="G66" s="48" t="s">
        <v>13</v>
      </c>
      <c r="H66" s="149">
        <f>ROUND(C65/H65,6)</f>
        <v>1.8900000000000001E-4</v>
      </c>
      <c r="I66" s="149"/>
      <c r="N66" s="845" t="s">
        <v>20</v>
      </c>
      <c r="O66" s="845"/>
      <c r="P66" s="845"/>
      <c r="Q66" s="845"/>
      <c r="R66" s="845"/>
      <c r="S66" s="845"/>
      <c r="T66" s="867">
        <f>ROUND(P65/T65,6)</f>
        <v>1.63E-4</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1.83E-4</v>
      </c>
      <c r="I68" s="120">
        <f>ROUND(F68*H68,2)</f>
        <v>7691.41</v>
      </c>
      <c r="N68" s="840" t="s">
        <v>87</v>
      </c>
      <c r="O68" s="840"/>
      <c r="P68" s="840"/>
      <c r="Q68" s="50"/>
      <c r="R68" s="156">
        <f>F68</f>
        <v>42029577</v>
      </c>
      <c r="S68" s="42" t="s">
        <v>6</v>
      </c>
      <c r="T68" s="157">
        <f>T63</f>
        <v>1.83E-4</v>
      </c>
      <c r="U68" s="115">
        <f>ROUND(R68*T68,0)</f>
        <v>7691</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1.83E-4</v>
      </c>
      <c r="I70" s="120">
        <f>ROUND(F70*H70,2)</f>
        <v>0</v>
      </c>
      <c r="N70" s="51"/>
      <c r="O70" s="51"/>
      <c r="P70" s="51"/>
      <c r="Q70" s="50"/>
      <c r="R70" s="156">
        <f>F70</f>
        <v>0</v>
      </c>
      <c r="S70" s="42" t="s">
        <v>6</v>
      </c>
      <c r="T70" s="157">
        <f>T63</f>
        <v>1.83E-4</v>
      </c>
      <c r="U70" s="115">
        <f>ROUND(R70*T70,0)</f>
        <v>0</v>
      </c>
    </row>
    <row r="71" spans="1:21" x14ac:dyDescent="0.25">
      <c r="A71" s="764" t="s">
        <v>85</v>
      </c>
      <c r="B71" s="764"/>
      <c r="C71" s="764"/>
      <c r="D71" s="556" t="s">
        <v>358</v>
      </c>
      <c r="E71" s="610" t="s">
        <v>372</v>
      </c>
      <c r="F71" s="544">
        <f>'0664'!F71</f>
        <v>146607</v>
      </c>
      <c r="G71" s="40" t="s">
        <v>6</v>
      </c>
      <c r="H71" s="155">
        <f>H63</f>
        <v>1.83E-4</v>
      </c>
      <c r="I71" s="120">
        <f>IF(D71="Y",ROUND(F71*H71,2),0)</f>
        <v>26.83</v>
      </c>
      <c r="N71" s="840" t="s">
        <v>85</v>
      </c>
      <c r="O71" s="840"/>
      <c r="P71" s="840"/>
      <c r="Q71" s="50"/>
      <c r="R71" s="156">
        <f>F71</f>
        <v>146607</v>
      </c>
      <c r="S71" s="42" t="s">
        <v>6</v>
      </c>
      <c r="T71" s="157">
        <f>T63</f>
        <v>1.83E-4</v>
      </c>
      <c r="U71" s="115">
        <f>ROUND(R71*T71,0)</f>
        <v>27</v>
      </c>
    </row>
    <row r="72" spans="1:21" x14ac:dyDescent="0.25">
      <c r="A72" s="764" t="s">
        <v>84</v>
      </c>
      <c r="B72" s="764"/>
      <c r="C72" s="764"/>
      <c r="D72" s="86"/>
      <c r="E72" s="71" t="s">
        <v>3</v>
      </c>
      <c r="F72" s="544">
        <f>'0664'!F72</f>
        <v>11337910</v>
      </c>
      <c r="G72" s="40" t="s">
        <v>6</v>
      </c>
      <c r="H72" s="155">
        <f>H63</f>
        <v>1.83E-4</v>
      </c>
      <c r="I72" s="120">
        <f>ROUND(F72*H72,2)</f>
        <v>2074.84</v>
      </c>
      <c r="N72" s="840" t="s">
        <v>84</v>
      </c>
      <c r="O72" s="840"/>
      <c r="P72" s="840"/>
      <c r="Q72" s="50"/>
      <c r="R72" s="156">
        <f>F72</f>
        <v>11337910</v>
      </c>
      <c r="S72" s="42" t="s">
        <v>6</v>
      </c>
      <c r="T72" s="157">
        <f>T63</f>
        <v>1.83E-4</v>
      </c>
      <c r="U72" s="115">
        <f>ROUND(R72*T72,0)</f>
        <v>2075</v>
      </c>
    </row>
    <row r="73" spans="1:21" x14ac:dyDescent="0.25">
      <c r="A73" s="764" t="s">
        <v>83</v>
      </c>
      <c r="B73" s="764"/>
      <c r="C73" s="764"/>
      <c r="D73" s="86"/>
      <c r="E73" s="71" t="s">
        <v>3</v>
      </c>
      <c r="F73" s="544">
        <f>'0664'!F73</f>
        <v>13882385</v>
      </c>
      <c r="G73" s="40" t="s">
        <v>6</v>
      </c>
      <c r="H73" s="155">
        <f>H63</f>
        <v>1.83E-4</v>
      </c>
      <c r="I73" s="120">
        <f>ROUND(F73*H73,2)</f>
        <v>2540.48</v>
      </c>
      <c r="N73" s="840" t="s">
        <v>83</v>
      </c>
      <c r="O73" s="840"/>
      <c r="P73" s="840"/>
      <c r="Q73" s="50"/>
      <c r="R73" s="159">
        <f>F73</f>
        <v>13882385</v>
      </c>
      <c r="S73" s="42" t="s">
        <v>6</v>
      </c>
      <c r="T73" s="157">
        <f>T63</f>
        <v>1.83E-4</v>
      </c>
      <c r="U73" s="115">
        <f>ROUND(R73*T73,0)</f>
        <v>2540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1.83E-4</v>
      </c>
      <c r="I77" s="120">
        <f t="shared" ref="I77:I82" si="14">ROUND(F77*H77,2)</f>
        <v>1365.65</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1.83E-4</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1.8900000000000001E-4</v>
      </c>
      <c r="I79" s="120">
        <f t="shared" si="14"/>
        <v>0</v>
      </c>
      <c r="N79" s="860" t="s">
        <v>414</v>
      </c>
      <c r="O79" s="840"/>
      <c r="P79" s="840"/>
      <c r="Q79" s="50"/>
      <c r="R79" s="159">
        <f t="shared" si="15"/>
        <v>0</v>
      </c>
      <c r="S79" s="42" t="s">
        <v>6</v>
      </c>
      <c r="T79" s="157">
        <f>T66</f>
        <v>1.63E-4</v>
      </c>
      <c r="U79" s="115">
        <f t="shared" si="16"/>
        <v>0</v>
      </c>
    </row>
    <row r="80" spans="1:21" x14ac:dyDescent="0.25">
      <c r="A80" s="765" t="s">
        <v>415</v>
      </c>
      <c r="B80" s="764"/>
      <c r="C80" s="764"/>
      <c r="D80" s="86"/>
      <c r="E80" s="71" t="s">
        <v>4</v>
      </c>
      <c r="F80" s="544">
        <f>'0664'!F80</f>
        <v>8562788</v>
      </c>
      <c r="G80" s="40" t="s">
        <v>6</v>
      </c>
      <c r="H80" s="155">
        <f>H66</f>
        <v>1.8900000000000001E-4</v>
      </c>
      <c r="I80" s="120">
        <f t="shared" si="14"/>
        <v>1618.37</v>
      </c>
      <c r="N80" s="860" t="s">
        <v>415</v>
      </c>
      <c r="O80" s="840"/>
      <c r="P80" s="840"/>
      <c r="Q80" s="50"/>
      <c r="R80" s="159">
        <f t="shared" si="15"/>
        <v>8562788</v>
      </c>
      <c r="S80" s="42" t="s">
        <v>6</v>
      </c>
      <c r="T80" s="157">
        <f>T66</f>
        <v>1.63E-4</v>
      </c>
      <c r="U80" s="115">
        <f t="shared" si="16"/>
        <v>1396</v>
      </c>
    </row>
    <row r="81" spans="1:21" x14ac:dyDescent="0.25">
      <c r="A81" s="765" t="s">
        <v>419</v>
      </c>
      <c r="B81" s="764"/>
      <c r="C81" s="764"/>
      <c r="D81" s="86"/>
      <c r="E81" s="71" t="s">
        <v>4</v>
      </c>
      <c r="F81" s="544">
        <f>'0664'!F81</f>
        <v>168663228</v>
      </c>
      <c r="G81" s="40" t="s">
        <v>6</v>
      </c>
      <c r="H81" s="155">
        <f>H66</f>
        <v>1.8900000000000001E-4</v>
      </c>
      <c r="I81" s="120">
        <f t="shared" si="14"/>
        <v>31877.35</v>
      </c>
      <c r="N81" s="860" t="s">
        <v>419</v>
      </c>
      <c r="O81" s="840"/>
      <c r="P81" s="840"/>
      <c r="Q81" s="50"/>
      <c r="R81" s="159">
        <f t="shared" si="15"/>
        <v>168663228</v>
      </c>
      <c r="S81" s="42" t="s">
        <v>6</v>
      </c>
      <c r="T81" s="157">
        <f>T66</f>
        <v>1.63E-4</v>
      </c>
      <c r="U81" s="115">
        <f t="shared" si="16"/>
        <v>27492</v>
      </c>
    </row>
    <row r="82" spans="1:21" x14ac:dyDescent="0.25">
      <c r="A82" s="765" t="s">
        <v>420</v>
      </c>
      <c r="B82" s="764"/>
      <c r="C82" s="764"/>
      <c r="D82" s="86"/>
      <c r="E82" s="71" t="s">
        <v>4</v>
      </c>
      <c r="F82" s="544">
        <f>'0664'!F82</f>
        <v>0</v>
      </c>
      <c r="G82" s="40" t="s">
        <v>6</v>
      </c>
      <c r="H82" s="155">
        <f>H66</f>
        <v>1.8900000000000001E-4</v>
      </c>
      <c r="I82" s="120">
        <f t="shared" si="14"/>
        <v>0</v>
      </c>
      <c r="N82" s="860" t="s">
        <v>420</v>
      </c>
      <c r="O82" s="840"/>
      <c r="P82" s="840"/>
      <c r="Q82" s="50"/>
      <c r="R82" s="156">
        <f t="shared" si="15"/>
        <v>0</v>
      </c>
      <c r="S82" s="42" t="s">
        <v>6</v>
      </c>
      <c r="T82" s="157">
        <f>T66</f>
        <v>1.63E-4</v>
      </c>
      <c r="U82" s="115">
        <f t="shared" si="16"/>
        <v>0</v>
      </c>
    </row>
    <row r="83" spans="1:21" x14ac:dyDescent="0.25">
      <c r="A83" s="717" t="s">
        <v>425</v>
      </c>
      <c r="B83" s="443"/>
      <c r="C83" s="443"/>
      <c r="D83" s="443"/>
      <c r="E83" s="683" t="s">
        <v>45</v>
      </c>
      <c r="F83" s="544"/>
      <c r="G83" s="445"/>
      <c r="H83" s="155"/>
      <c r="I83" s="120">
        <v>7820.78</v>
      </c>
      <c r="N83" s="719" t="s">
        <v>425</v>
      </c>
      <c r="O83" s="444"/>
      <c r="P83" s="444"/>
      <c r="Q83" s="50"/>
      <c r="R83" s="159">
        <f t="shared" si="15"/>
        <v>0</v>
      </c>
      <c r="S83" s="446" t="s">
        <v>6</v>
      </c>
      <c r="T83" s="157">
        <f>T66</f>
        <v>1.63E-4</v>
      </c>
      <c r="U83" s="115">
        <f>IF($H$116=1,I83,0)</f>
        <v>7820.78</v>
      </c>
    </row>
    <row r="84" spans="1:21" x14ac:dyDescent="0.25">
      <c r="A84" s="765" t="s">
        <v>457</v>
      </c>
      <c r="B84" s="764"/>
      <c r="C84" s="764"/>
      <c r="D84" s="744"/>
      <c r="E84" s="747" t="s">
        <v>3</v>
      </c>
      <c r="F84" s="544">
        <f>'0664'!F84</f>
        <v>21614343</v>
      </c>
      <c r="G84" s="749" t="s">
        <v>6</v>
      </c>
      <c r="H84" s="155">
        <f>H63</f>
        <v>1.83E-4</v>
      </c>
      <c r="I84" s="120">
        <f>ROUND(F84*H84,2)</f>
        <v>3955.42</v>
      </c>
      <c r="N84" s="860" t="s">
        <v>457</v>
      </c>
      <c r="O84" s="840"/>
      <c r="P84" s="840"/>
      <c r="Q84" s="50"/>
      <c r="R84" s="156">
        <f>F84</f>
        <v>21614343</v>
      </c>
      <c r="S84" s="751" t="s">
        <v>6</v>
      </c>
      <c r="T84" s="157">
        <f>T68</f>
        <v>1.83E-4</v>
      </c>
      <c r="U84" s="115">
        <f>ROUND(R84*T84,0)</f>
        <v>3955</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3</v>
      </c>
      <c r="D90" s="781"/>
      <c r="E90" s="54">
        <f>H8</f>
        <v>1.0424</v>
      </c>
      <c r="F90" s="545">
        <f>'0664'!F90</f>
        <v>923.19</v>
      </c>
      <c r="G90" s="186" t="s">
        <v>13</v>
      </c>
      <c r="H90" s="120">
        <f>ROUND(C90*E90*F90,2)</f>
        <v>2887</v>
      </c>
      <c r="I90" s="61"/>
      <c r="N90" s="62" t="s">
        <v>14</v>
      </c>
      <c r="O90" s="57">
        <f>T15+T16+T20+T23+T26</f>
        <v>3</v>
      </c>
      <c r="P90" s="875">
        <f>T8</f>
        <v>1.0424</v>
      </c>
      <c r="Q90" s="875"/>
      <c r="R90" s="58">
        <f>F90</f>
        <v>923.19</v>
      </c>
      <c r="S90" s="59" t="s">
        <v>13</v>
      </c>
      <c r="T90" s="159">
        <f>ROUND(O90*P90*R90,0)</f>
        <v>2887</v>
      </c>
      <c r="U90" s="63"/>
    </row>
    <row r="91" spans="1:21" ht="16.5" thickBot="1" x14ac:dyDescent="0.3">
      <c r="A91" s="64"/>
      <c r="B91" s="64" t="s">
        <v>148</v>
      </c>
      <c r="C91" s="781">
        <f>H17+H18+H21+H24+H27+H28</f>
        <v>37.596000000000004</v>
      </c>
      <c r="D91" s="781"/>
      <c r="E91" s="54">
        <f>H8</f>
        <v>1.0424</v>
      </c>
      <c r="F91" s="545">
        <f>'0664'!F91</f>
        <v>925.42</v>
      </c>
      <c r="G91" s="186" t="s">
        <v>13</v>
      </c>
      <c r="H91" s="113">
        <f>ROUND(C91*E91*F91,2)</f>
        <v>36267.269999999997</v>
      </c>
      <c r="I91" s="61"/>
      <c r="N91" s="65" t="s">
        <v>15</v>
      </c>
      <c r="O91" s="66">
        <f>T17+T18+T21+T24+T27+T28</f>
        <v>32</v>
      </c>
      <c r="P91" s="875">
        <f>T8</f>
        <v>1.0424</v>
      </c>
      <c r="Q91" s="875"/>
      <c r="R91" s="58">
        <f>F91</f>
        <v>925.42</v>
      </c>
      <c r="S91" s="59" t="s">
        <v>13</v>
      </c>
      <c r="T91" s="159">
        <f>ROUND(O91*P91*R91,0)</f>
        <v>30869</v>
      </c>
      <c r="U91" s="63"/>
    </row>
    <row r="92" spans="1:21" ht="16.5" thickBot="1" x14ac:dyDescent="0.3">
      <c r="A92" s="67"/>
      <c r="B92" s="167" t="s">
        <v>147</v>
      </c>
      <c r="C92" s="782">
        <f>SUM(C89:C91)</f>
        <v>40.596000000000004</v>
      </c>
      <c r="D92" s="782"/>
      <c r="E92" s="168"/>
      <c r="F92" s="168"/>
      <c r="G92" s="168"/>
      <c r="H92" s="169" t="s">
        <v>145</v>
      </c>
      <c r="I92" s="120">
        <f>IF(A1=75,0,H91+H90+H89)</f>
        <v>39154.269999999997</v>
      </c>
      <c r="N92" s="70" t="s">
        <v>122</v>
      </c>
      <c r="O92" s="69">
        <f>SUM(O89:O91)</f>
        <v>35</v>
      </c>
      <c r="P92" s="876" t="s">
        <v>18</v>
      </c>
      <c r="Q92" s="877"/>
      <c r="R92" s="877"/>
      <c r="S92" s="877"/>
      <c r="T92" s="877"/>
      <c r="U92" s="115">
        <f>IF(N1=75,0,T91+T90+T89)</f>
        <v>33756</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31</v>
      </c>
      <c r="D98" s="192">
        <v>32</v>
      </c>
      <c r="E98" s="147">
        <f>(C98+D98)/2</f>
        <v>31.5</v>
      </c>
      <c r="F98" s="173" t="s">
        <v>39</v>
      </c>
      <c r="G98" s="546">
        <f>'0664'!G98</f>
        <v>486</v>
      </c>
      <c r="I98" s="120">
        <f>ROUND(G98*E98,2)</f>
        <v>15309</v>
      </c>
      <c r="N98" s="873" t="s">
        <v>66</v>
      </c>
      <c r="O98" s="873"/>
      <c r="P98" s="874">
        <f>IF(H116=1,E98,0)</f>
        <v>31.5</v>
      </c>
      <c r="Q98" s="874"/>
      <c r="R98" s="874"/>
      <c r="S98" s="102" t="s">
        <v>39</v>
      </c>
      <c r="T98" s="72">
        <f>G98</f>
        <v>486</v>
      </c>
      <c r="U98" s="115">
        <f>ROUND(T98*P98,0)</f>
        <v>15309</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257648.78</v>
      </c>
    </row>
    <row r="114" spans="1:21" ht="16.5" thickTop="1" x14ac:dyDescent="0.25">
      <c r="A114" s="767" t="s">
        <v>8</v>
      </c>
      <c r="B114" s="767"/>
      <c r="C114" s="767"/>
      <c r="D114" s="767"/>
      <c r="E114" s="767"/>
      <c r="F114" s="767"/>
      <c r="G114" s="767"/>
      <c r="H114" s="767"/>
      <c r="I114" s="120">
        <f>SUM(I112,I111,I109,I99,I98,I92,I84,I82,I81,I83,I80,I79,I78,I77,I75,I74,I73,I72,I71,I70,I68,I59,I45)</f>
        <v>513069.01</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f>IF(E29=0,"",IF((E14+E16+SUM(E18:E24))/E29&gt;0.75,1,""))</f>
        <v>1</v>
      </c>
      <c r="I116" s="147">
        <f>U113</f>
        <v>257648.78</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257648.78</v>
      </c>
      <c r="I118" s="113">
        <f>ROUND(IF(E29=0,0,IF(E29&gt;250,-(((250/E29)*H118)*IF(G118="H",0.02,0.05)),IF(G118="H",-0.02*H118,-0.05*H118))),2)</f>
        <v>-12882.44</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500186.57</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-500357.75</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-171.17999999999302</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-171.18</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0</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N135:U135"/>
    <mergeCell ref="N115:U115"/>
    <mergeCell ref="N112:P112"/>
    <mergeCell ref="A112:C112"/>
    <mergeCell ref="F112:H112"/>
    <mergeCell ref="N113:T113"/>
    <mergeCell ref="A114:H114"/>
    <mergeCell ref="A115:G115"/>
    <mergeCell ref="N78:P78"/>
    <mergeCell ref="P108:Q108"/>
    <mergeCell ref="R108:S108"/>
    <mergeCell ref="A109:B109"/>
    <mergeCell ref="N109:O109"/>
    <mergeCell ref="A106:B106"/>
    <mergeCell ref="F106:G106"/>
    <mergeCell ref="N106:O106"/>
    <mergeCell ref="P106:Q106"/>
    <mergeCell ref="R106:S106"/>
    <mergeCell ref="A107:B107"/>
    <mergeCell ref="F107:G107"/>
    <mergeCell ref="N107:O107"/>
    <mergeCell ref="P107:Q107"/>
    <mergeCell ref="R107:S107"/>
    <mergeCell ref="A102:C102"/>
    <mergeCell ref="A11:B11"/>
    <mergeCell ref="A116:G116"/>
    <mergeCell ref="A111:C111"/>
    <mergeCell ref="F111:H111"/>
    <mergeCell ref="N111:P111"/>
    <mergeCell ref="N116:U116"/>
    <mergeCell ref="A108:B108"/>
    <mergeCell ref="F108:G108"/>
    <mergeCell ref="N108:O108"/>
    <mergeCell ref="F102:I102"/>
    <mergeCell ref="N102:U102"/>
    <mergeCell ref="C103:E103"/>
    <mergeCell ref="F104:G104"/>
    <mergeCell ref="A105:B105"/>
    <mergeCell ref="F105:G105"/>
    <mergeCell ref="N105:O105"/>
    <mergeCell ref="P105:Q105"/>
    <mergeCell ref="R105:S105"/>
    <mergeCell ref="A98:B98"/>
    <mergeCell ref="N98:O98"/>
    <mergeCell ref="P98:R98"/>
    <mergeCell ref="A99:B99"/>
    <mergeCell ref="N99:O99"/>
    <mergeCell ref="P99:R99"/>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57"/>
  <sheetViews>
    <sheetView showGridLines="0" workbookViewId="0">
      <pane ySplit="4" topLeftCell="A20" activePane="bottomLeft" state="frozen"/>
      <selection activeCell="A68" sqref="A68:C68"/>
      <selection pane="bottomLeft" activeCell="A68" sqref="A68:C68"/>
    </sheetView>
  </sheetViews>
  <sheetFormatPr defaultRowHeight="12.75" x14ac:dyDescent="0.2"/>
  <cols>
    <col min="1" max="1" width="4.140625" style="248" bestFit="1" customWidth="1"/>
    <col min="2" max="2" width="9.140625" style="248"/>
    <col min="3" max="3" width="52.140625" style="248" bestFit="1" customWidth="1"/>
    <col min="4" max="4" width="2.140625" style="248" customWidth="1"/>
    <col min="5" max="5" width="9.140625" style="248" customWidth="1"/>
    <col min="6" max="6" width="52.140625" style="248" bestFit="1" customWidth="1"/>
    <col min="7" max="16384" width="9.140625" style="248"/>
  </cols>
  <sheetData>
    <row r="1" spans="1:6" x14ac:dyDescent="0.2">
      <c r="B1" s="266" t="s">
        <v>241</v>
      </c>
      <c r="C1" s="267"/>
      <c r="D1" s="267"/>
      <c r="E1" s="268"/>
      <c r="F1" s="267"/>
    </row>
    <row r="2" spans="1:6" x14ac:dyDescent="0.2">
      <c r="B2" s="269"/>
      <c r="C2" s="267"/>
      <c r="D2" s="267"/>
      <c r="E2" s="268"/>
      <c r="F2" s="267"/>
    </row>
    <row r="3" spans="1:6" x14ac:dyDescent="0.2">
      <c r="B3" s="762" t="s">
        <v>394</v>
      </c>
      <c r="C3" s="763"/>
      <c r="D3" s="267"/>
      <c r="E3" s="762" t="s">
        <v>242</v>
      </c>
      <c r="F3" s="763"/>
    </row>
    <row r="4" spans="1:6" x14ac:dyDescent="0.2">
      <c r="B4" s="270" t="s">
        <v>243</v>
      </c>
      <c r="C4" s="271" t="s">
        <v>244</v>
      </c>
      <c r="D4" s="267"/>
      <c r="E4" s="270" t="s">
        <v>243</v>
      </c>
      <c r="F4" s="271" t="s">
        <v>244</v>
      </c>
    </row>
    <row r="5" spans="1:6" x14ac:dyDescent="0.2">
      <c r="A5" s="278">
        <v>1</v>
      </c>
      <c r="B5" s="272" t="s">
        <v>211</v>
      </c>
      <c r="C5" s="274" t="s">
        <v>245</v>
      </c>
      <c r="D5" s="267"/>
      <c r="E5" s="272" t="s">
        <v>211</v>
      </c>
      <c r="F5" s="274" t="s">
        <v>245</v>
      </c>
    </row>
    <row r="6" spans="1:6" x14ac:dyDescent="0.2">
      <c r="A6" s="278">
        <v>2</v>
      </c>
      <c r="B6" s="272" t="s">
        <v>212</v>
      </c>
      <c r="C6" s="274" t="s">
        <v>247</v>
      </c>
      <c r="D6" s="267"/>
      <c r="E6" s="272" t="s">
        <v>231</v>
      </c>
      <c r="F6" s="273" t="s">
        <v>246</v>
      </c>
    </row>
    <row r="7" spans="1:6" x14ac:dyDescent="0.2">
      <c r="A7" s="278">
        <v>3</v>
      </c>
      <c r="B7" s="272" t="s">
        <v>213</v>
      </c>
      <c r="C7" s="274" t="s">
        <v>249</v>
      </c>
      <c r="D7" s="267"/>
      <c r="E7" s="272" t="s">
        <v>236</v>
      </c>
      <c r="F7" s="273" t="s">
        <v>248</v>
      </c>
    </row>
    <row r="8" spans="1:6" x14ac:dyDescent="0.2">
      <c r="A8" s="278">
        <v>4</v>
      </c>
      <c r="B8" s="272" t="s">
        <v>214</v>
      </c>
      <c r="C8" s="274" t="s">
        <v>250</v>
      </c>
      <c r="D8" s="267"/>
      <c r="E8" s="272" t="s">
        <v>359</v>
      </c>
      <c r="F8" s="273" t="s">
        <v>360</v>
      </c>
    </row>
    <row r="9" spans="1:6" x14ac:dyDescent="0.2">
      <c r="A9" s="278">
        <v>5</v>
      </c>
      <c r="B9" s="272" t="s">
        <v>215</v>
      </c>
      <c r="C9" s="273" t="s">
        <v>252</v>
      </c>
      <c r="D9" s="267"/>
      <c r="E9" s="272" t="s">
        <v>224</v>
      </c>
      <c r="F9" s="273" t="s">
        <v>251</v>
      </c>
    </row>
    <row r="10" spans="1:6" x14ac:dyDescent="0.2">
      <c r="A10" s="278">
        <v>6</v>
      </c>
      <c r="B10" s="272" t="s">
        <v>216</v>
      </c>
      <c r="C10" s="273" t="s">
        <v>321</v>
      </c>
      <c r="D10" s="267"/>
      <c r="E10" s="272" t="s">
        <v>342</v>
      </c>
      <c r="F10" s="273" t="s">
        <v>341</v>
      </c>
    </row>
    <row r="11" spans="1:6" x14ac:dyDescent="0.2">
      <c r="A11" s="278">
        <v>7</v>
      </c>
      <c r="B11" s="272" t="s">
        <v>217</v>
      </c>
      <c r="C11" s="273" t="s">
        <v>253</v>
      </c>
      <c r="D11" s="267"/>
      <c r="E11" s="272" t="s">
        <v>214</v>
      </c>
      <c r="F11" s="274" t="s">
        <v>250</v>
      </c>
    </row>
    <row r="12" spans="1:6" x14ac:dyDescent="0.2">
      <c r="A12" s="278">
        <v>8</v>
      </c>
      <c r="B12" s="272" t="s">
        <v>218</v>
      </c>
      <c r="C12" s="274" t="s">
        <v>255</v>
      </c>
      <c r="D12" s="267"/>
      <c r="E12" s="272" t="s">
        <v>230</v>
      </c>
      <c r="F12" s="273" t="s">
        <v>254</v>
      </c>
    </row>
    <row r="13" spans="1:6" x14ac:dyDescent="0.2">
      <c r="A13" s="278">
        <v>9</v>
      </c>
      <c r="B13" s="272" t="s">
        <v>219</v>
      </c>
      <c r="C13" s="273" t="s">
        <v>256</v>
      </c>
      <c r="D13" s="267"/>
      <c r="E13" s="272" t="s">
        <v>299</v>
      </c>
      <c r="F13" s="273" t="s">
        <v>300</v>
      </c>
    </row>
    <row r="14" spans="1:6" x14ac:dyDescent="0.2">
      <c r="A14" s="278">
        <v>10</v>
      </c>
      <c r="B14" s="272" t="s">
        <v>220</v>
      </c>
      <c r="C14" s="274" t="s">
        <v>399</v>
      </c>
      <c r="D14" s="267"/>
      <c r="E14" s="272" t="s">
        <v>257</v>
      </c>
      <c r="F14" s="273" t="s">
        <v>410</v>
      </c>
    </row>
    <row r="15" spans="1:6" x14ac:dyDescent="0.2">
      <c r="A15" s="278">
        <v>11</v>
      </c>
      <c r="B15" s="272" t="s">
        <v>221</v>
      </c>
      <c r="C15" s="275" t="s">
        <v>259</v>
      </c>
      <c r="D15" s="267"/>
      <c r="E15" s="272" t="s">
        <v>260</v>
      </c>
      <c r="F15" s="273" t="s">
        <v>412</v>
      </c>
    </row>
    <row r="16" spans="1:6" x14ac:dyDescent="0.2">
      <c r="A16" s="278">
        <v>12</v>
      </c>
      <c r="B16" s="272" t="s">
        <v>222</v>
      </c>
      <c r="C16" s="274" t="s">
        <v>261</v>
      </c>
      <c r="D16" s="267"/>
      <c r="E16" s="272" t="s">
        <v>237</v>
      </c>
      <c r="F16" s="274" t="s">
        <v>262</v>
      </c>
    </row>
    <row r="17" spans="1:9" x14ac:dyDescent="0.2">
      <c r="A17" s="278">
        <v>13</v>
      </c>
      <c r="B17" s="272" t="s">
        <v>223</v>
      </c>
      <c r="C17" s="274" t="s">
        <v>263</v>
      </c>
      <c r="D17" s="267"/>
      <c r="E17" s="272" t="s">
        <v>223</v>
      </c>
      <c r="F17" s="274" t="s">
        <v>263</v>
      </c>
    </row>
    <row r="18" spans="1:9" x14ac:dyDescent="0.2">
      <c r="A18" s="278">
        <v>14</v>
      </c>
      <c r="B18" s="272" t="s">
        <v>224</v>
      </c>
      <c r="C18" s="273" t="s">
        <v>251</v>
      </c>
      <c r="D18" s="267"/>
      <c r="E18" s="272" t="s">
        <v>229</v>
      </c>
      <c r="F18" s="274" t="s">
        <v>264</v>
      </c>
    </row>
    <row r="19" spans="1:9" x14ac:dyDescent="0.2">
      <c r="A19" s="278">
        <v>15</v>
      </c>
      <c r="B19" s="272" t="s">
        <v>225</v>
      </c>
      <c r="C19" s="273" t="s">
        <v>265</v>
      </c>
      <c r="D19" s="267"/>
      <c r="E19" s="272" t="s">
        <v>221</v>
      </c>
      <c r="F19" s="275" t="s">
        <v>259</v>
      </c>
    </row>
    <row r="20" spans="1:9" x14ac:dyDescent="0.2">
      <c r="A20" s="278">
        <v>16</v>
      </c>
      <c r="B20" s="272" t="s">
        <v>226</v>
      </c>
      <c r="C20" s="274" t="s">
        <v>266</v>
      </c>
      <c r="D20" s="267"/>
      <c r="E20" s="272" t="s">
        <v>222</v>
      </c>
      <c r="F20" s="274" t="s">
        <v>261</v>
      </c>
    </row>
    <row r="21" spans="1:9" x14ac:dyDescent="0.2">
      <c r="A21" s="278">
        <v>17</v>
      </c>
      <c r="B21" s="272" t="s">
        <v>227</v>
      </c>
      <c r="C21" s="274" t="s">
        <v>267</v>
      </c>
      <c r="D21" s="267"/>
      <c r="E21" s="272" t="s">
        <v>212</v>
      </c>
      <c r="F21" s="274" t="s">
        <v>247</v>
      </c>
    </row>
    <row r="22" spans="1:9" x14ac:dyDescent="0.2">
      <c r="A22" s="278">
        <v>18</v>
      </c>
      <c r="B22" s="272" t="s">
        <v>228</v>
      </c>
      <c r="C22" s="273" t="s">
        <v>364</v>
      </c>
      <c r="D22" s="267"/>
      <c r="E22" s="272" t="s">
        <v>227</v>
      </c>
      <c r="F22" s="274" t="s">
        <v>267</v>
      </c>
    </row>
    <row r="23" spans="1:9" x14ac:dyDescent="0.2">
      <c r="A23" s="278">
        <v>19</v>
      </c>
      <c r="B23" s="272" t="s">
        <v>229</v>
      </c>
      <c r="C23" s="274" t="s">
        <v>264</v>
      </c>
      <c r="D23" s="267"/>
      <c r="E23" s="272" t="s">
        <v>402</v>
      </c>
      <c r="F23" s="277" t="s">
        <v>398</v>
      </c>
    </row>
    <row r="24" spans="1:9" x14ac:dyDescent="0.2">
      <c r="A24" s="278">
        <v>20</v>
      </c>
      <c r="B24" s="272" t="s">
        <v>230</v>
      </c>
      <c r="C24" s="273" t="s">
        <v>254</v>
      </c>
      <c r="D24" s="267"/>
      <c r="E24" s="272" t="s">
        <v>217</v>
      </c>
      <c r="F24" s="273" t="s">
        <v>253</v>
      </c>
    </row>
    <row r="25" spans="1:9" x14ac:dyDescent="0.2">
      <c r="A25" s="278">
        <v>21</v>
      </c>
      <c r="B25" s="272" t="s">
        <v>231</v>
      </c>
      <c r="C25" s="273" t="s">
        <v>246</v>
      </c>
      <c r="D25" s="267"/>
      <c r="E25" s="272" t="s">
        <v>271</v>
      </c>
      <c r="F25" s="275" t="s">
        <v>272</v>
      </c>
    </row>
    <row r="26" spans="1:9" x14ac:dyDescent="0.2">
      <c r="A26" s="278">
        <v>22</v>
      </c>
      <c r="B26" s="272" t="s">
        <v>232</v>
      </c>
      <c r="C26" s="274" t="s">
        <v>268</v>
      </c>
      <c r="D26" s="267"/>
      <c r="E26" s="272" t="s">
        <v>238</v>
      </c>
      <c r="F26" s="274" t="s">
        <v>404</v>
      </c>
    </row>
    <row r="27" spans="1:9" x14ac:dyDescent="0.2">
      <c r="A27" s="278">
        <v>23</v>
      </c>
      <c r="B27" s="272" t="s">
        <v>233</v>
      </c>
      <c r="C27" s="273" t="s">
        <v>269</v>
      </c>
      <c r="D27" s="267"/>
      <c r="E27" s="272" t="s">
        <v>219</v>
      </c>
      <c r="F27" s="273" t="s">
        <v>256</v>
      </c>
    </row>
    <row r="28" spans="1:9" x14ac:dyDescent="0.2">
      <c r="A28" s="278">
        <v>24</v>
      </c>
      <c r="B28" s="276" t="s">
        <v>234</v>
      </c>
      <c r="C28" s="273" t="s">
        <v>270</v>
      </c>
      <c r="D28" s="267"/>
      <c r="E28" s="272" t="s">
        <v>215</v>
      </c>
      <c r="F28" s="273" t="s">
        <v>252</v>
      </c>
    </row>
    <row r="29" spans="1:9" x14ac:dyDescent="0.2">
      <c r="A29" s="278">
        <v>25</v>
      </c>
      <c r="B29" s="272" t="s">
        <v>235</v>
      </c>
      <c r="C29" s="274" t="s">
        <v>273</v>
      </c>
      <c r="D29" s="267"/>
      <c r="E29" s="272" t="s">
        <v>232</v>
      </c>
      <c r="F29" s="274" t="s">
        <v>268</v>
      </c>
    </row>
    <row r="30" spans="1:9" x14ac:dyDescent="0.2">
      <c r="A30" s="278">
        <v>26</v>
      </c>
      <c r="B30" s="272" t="s">
        <v>274</v>
      </c>
      <c r="C30" s="273" t="s">
        <v>275</v>
      </c>
      <c r="D30" s="267"/>
      <c r="E30" s="272" t="s">
        <v>276</v>
      </c>
      <c r="F30" s="273" t="s">
        <v>277</v>
      </c>
      <c r="I30" s="497"/>
    </row>
    <row r="31" spans="1:9" x14ac:dyDescent="0.2">
      <c r="A31" s="278">
        <v>27</v>
      </c>
      <c r="B31" s="272" t="s">
        <v>271</v>
      </c>
      <c r="C31" s="275" t="s">
        <v>272</v>
      </c>
      <c r="D31" s="267"/>
      <c r="E31" s="272" t="s">
        <v>278</v>
      </c>
      <c r="F31" s="273" t="s">
        <v>279</v>
      </c>
      <c r="I31" s="497"/>
    </row>
    <row r="32" spans="1:9" x14ac:dyDescent="0.2">
      <c r="A32" s="278">
        <v>28</v>
      </c>
      <c r="B32" s="272" t="s">
        <v>236</v>
      </c>
      <c r="C32" s="273" t="s">
        <v>248</v>
      </c>
      <c r="D32" s="267"/>
      <c r="E32" s="272" t="s">
        <v>280</v>
      </c>
      <c r="F32" s="273" t="s">
        <v>281</v>
      </c>
    </row>
    <row r="33" spans="1:6" x14ac:dyDescent="0.2">
      <c r="A33" s="278">
        <v>29</v>
      </c>
      <c r="B33" s="272" t="s">
        <v>237</v>
      </c>
      <c r="C33" s="274" t="s">
        <v>262</v>
      </c>
      <c r="D33" s="267"/>
      <c r="E33" s="272" t="s">
        <v>239</v>
      </c>
      <c r="F33" s="274" t="s">
        <v>282</v>
      </c>
    </row>
    <row r="34" spans="1:6" x14ac:dyDescent="0.2">
      <c r="A34" s="278">
        <v>30</v>
      </c>
      <c r="B34" s="272" t="s">
        <v>238</v>
      </c>
      <c r="C34" s="274" t="s">
        <v>404</v>
      </c>
      <c r="D34" s="267"/>
      <c r="E34" s="272" t="s">
        <v>235</v>
      </c>
      <c r="F34" s="274" t="s">
        <v>273</v>
      </c>
    </row>
    <row r="35" spans="1:6" x14ac:dyDescent="0.2">
      <c r="A35" s="278">
        <v>31</v>
      </c>
      <c r="B35" s="272" t="s">
        <v>239</v>
      </c>
      <c r="C35" s="274" t="s">
        <v>282</v>
      </c>
      <c r="D35" s="267"/>
      <c r="E35" s="272" t="s">
        <v>226</v>
      </c>
      <c r="F35" s="274" t="s">
        <v>266</v>
      </c>
    </row>
    <row r="36" spans="1:6" x14ac:dyDescent="0.2">
      <c r="A36" s="278">
        <v>32</v>
      </c>
      <c r="B36" s="272" t="s">
        <v>280</v>
      </c>
      <c r="C36" s="273" t="s">
        <v>281</v>
      </c>
      <c r="D36" s="267"/>
      <c r="E36" s="272">
        <v>4111</v>
      </c>
      <c r="F36" s="274" t="s">
        <v>405</v>
      </c>
    </row>
    <row r="37" spans="1:6" x14ac:dyDescent="0.2">
      <c r="A37" s="278">
        <v>33</v>
      </c>
      <c r="B37" s="272" t="s">
        <v>283</v>
      </c>
      <c r="C37" s="277" t="s">
        <v>284</v>
      </c>
      <c r="D37" s="267"/>
      <c r="E37" s="272" t="s">
        <v>233</v>
      </c>
      <c r="F37" s="273" t="s">
        <v>269</v>
      </c>
    </row>
    <row r="38" spans="1:6" x14ac:dyDescent="0.2">
      <c r="A38" s="278">
        <v>34</v>
      </c>
      <c r="B38" s="272" t="s">
        <v>285</v>
      </c>
      <c r="C38" s="274" t="s">
        <v>286</v>
      </c>
      <c r="D38" s="267"/>
      <c r="E38" s="272" t="s">
        <v>287</v>
      </c>
      <c r="F38" s="273" t="s">
        <v>288</v>
      </c>
    </row>
    <row r="39" spans="1:6" x14ac:dyDescent="0.2">
      <c r="A39" s="278">
        <v>35</v>
      </c>
      <c r="B39" s="272" t="s">
        <v>257</v>
      </c>
      <c r="C39" s="273" t="s">
        <v>410</v>
      </c>
      <c r="D39" s="267"/>
      <c r="E39" s="272" t="s">
        <v>285</v>
      </c>
      <c r="F39" s="274" t="s">
        <v>286</v>
      </c>
    </row>
    <row r="40" spans="1:6" x14ac:dyDescent="0.2">
      <c r="A40" s="278">
        <v>36</v>
      </c>
      <c r="B40" s="272" t="s">
        <v>402</v>
      </c>
      <c r="C40" s="274" t="s">
        <v>398</v>
      </c>
      <c r="D40" s="267"/>
      <c r="E40" s="272" t="s">
        <v>283</v>
      </c>
      <c r="F40" s="277" t="s">
        <v>284</v>
      </c>
    </row>
    <row r="41" spans="1:6" x14ac:dyDescent="0.2">
      <c r="A41" s="278">
        <v>37</v>
      </c>
      <c r="B41" s="272">
        <v>4031</v>
      </c>
      <c r="C41" s="273" t="s">
        <v>417</v>
      </c>
      <c r="D41" s="267"/>
      <c r="E41" s="272" t="s">
        <v>228</v>
      </c>
      <c r="F41" s="274" t="s">
        <v>364</v>
      </c>
    </row>
    <row r="42" spans="1:6" x14ac:dyDescent="0.2">
      <c r="A42" s="278">
        <v>38</v>
      </c>
      <c r="B42" s="272" t="s">
        <v>287</v>
      </c>
      <c r="C42" s="273" t="s">
        <v>288</v>
      </c>
      <c r="D42" s="267"/>
      <c r="E42" s="272">
        <v>4091</v>
      </c>
      <c r="F42" s="274" t="s">
        <v>351</v>
      </c>
    </row>
    <row r="43" spans="1:6" x14ac:dyDescent="0.2">
      <c r="A43" s="278">
        <v>39</v>
      </c>
      <c r="B43" s="272" t="s">
        <v>278</v>
      </c>
      <c r="C43" s="273" t="s">
        <v>279</v>
      </c>
      <c r="D43" s="267"/>
      <c r="E43" s="272">
        <v>4031</v>
      </c>
      <c r="F43" s="273" t="s">
        <v>417</v>
      </c>
    </row>
    <row r="44" spans="1:6" x14ac:dyDescent="0.2">
      <c r="A44" s="278">
        <v>40</v>
      </c>
      <c r="B44" s="272" t="s">
        <v>276</v>
      </c>
      <c r="C44" s="273" t="s">
        <v>277</v>
      </c>
      <c r="D44" s="267"/>
      <c r="E44" s="272" t="s">
        <v>213</v>
      </c>
      <c r="F44" s="274" t="s">
        <v>249</v>
      </c>
    </row>
    <row r="45" spans="1:6" x14ac:dyDescent="0.2">
      <c r="A45" s="278">
        <v>41</v>
      </c>
      <c r="B45" s="272" t="s">
        <v>260</v>
      </c>
      <c r="C45" s="273" t="s">
        <v>412</v>
      </c>
      <c r="D45" s="267"/>
      <c r="E45" s="272" t="s">
        <v>274</v>
      </c>
      <c r="F45" s="273" t="s">
        <v>275</v>
      </c>
    </row>
    <row r="46" spans="1:6" x14ac:dyDescent="0.2">
      <c r="A46" s="278">
        <v>42</v>
      </c>
      <c r="B46" s="272" t="s">
        <v>305</v>
      </c>
      <c r="C46" s="273" t="s">
        <v>309</v>
      </c>
      <c r="D46" s="267"/>
      <c r="E46" s="272">
        <v>4090</v>
      </c>
      <c r="F46" s="274" t="s">
        <v>352</v>
      </c>
    </row>
    <row r="47" spans="1:6" x14ac:dyDescent="0.2">
      <c r="A47" s="278">
        <v>43</v>
      </c>
      <c r="B47" s="382" t="s">
        <v>299</v>
      </c>
      <c r="C47" s="248" t="s">
        <v>300</v>
      </c>
      <c r="D47" s="267"/>
      <c r="E47" s="272" t="s">
        <v>389</v>
      </c>
      <c r="F47" s="274" t="s">
        <v>390</v>
      </c>
    </row>
    <row r="48" spans="1:6" x14ac:dyDescent="0.2">
      <c r="A48" s="278">
        <v>44</v>
      </c>
      <c r="B48" s="382">
        <v>4090</v>
      </c>
      <c r="C48" s="248" t="s">
        <v>352</v>
      </c>
      <c r="D48" s="267"/>
      <c r="E48" s="272" t="s">
        <v>220</v>
      </c>
      <c r="F48" s="274" t="s">
        <v>399</v>
      </c>
    </row>
    <row r="49" spans="1:6" x14ac:dyDescent="0.2">
      <c r="A49" s="278">
        <v>45</v>
      </c>
      <c r="B49" s="382">
        <v>4091</v>
      </c>
      <c r="C49" s="248" t="s">
        <v>351</v>
      </c>
      <c r="D49" s="267"/>
      <c r="E49" s="272" t="s">
        <v>216</v>
      </c>
      <c r="F49" s="273" t="s">
        <v>321</v>
      </c>
    </row>
    <row r="50" spans="1:6" x14ac:dyDescent="0.2">
      <c r="A50" s="278">
        <v>46</v>
      </c>
      <c r="B50" s="272" t="s">
        <v>342</v>
      </c>
      <c r="C50" s="273" t="s">
        <v>341</v>
      </c>
      <c r="D50" s="267"/>
      <c r="E50" s="272" t="s">
        <v>225</v>
      </c>
      <c r="F50" s="273" t="s">
        <v>265</v>
      </c>
    </row>
    <row r="51" spans="1:6" x14ac:dyDescent="0.2">
      <c r="A51" s="278">
        <v>47</v>
      </c>
      <c r="B51" s="272" t="s">
        <v>359</v>
      </c>
      <c r="C51" s="273" t="s">
        <v>360</v>
      </c>
      <c r="D51" s="267"/>
      <c r="E51" s="272" t="s">
        <v>305</v>
      </c>
      <c r="F51" s="273" t="s">
        <v>309</v>
      </c>
    </row>
    <row r="52" spans="1:6" x14ac:dyDescent="0.2">
      <c r="A52" s="278">
        <v>48</v>
      </c>
      <c r="B52" s="272" t="s">
        <v>389</v>
      </c>
      <c r="C52" s="381" t="s">
        <v>390</v>
      </c>
      <c r="D52" s="267"/>
      <c r="E52" s="272" t="s">
        <v>218</v>
      </c>
      <c r="F52" s="274" t="s">
        <v>255</v>
      </c>
    </row>
    <row r="53" spans="1:6" x14ac:dyDescent="0.2">
      <c r="A53" s="278">
        <v>49</v>
      </c>
      <c r="B53" s="272">
        <v>4111</v>
      </c>
      <c r="C53" s="273" t="s">
        <v>405</v>
      </c>
      <c r="D53" s="267"/>
      <c r="E53" s="276" t="s">
        <v>234</v>
      </c>
      <c r="F53" s="273" t="s">
        <v>270</v>
      </c>
    </row>
    <row r="54" spans="1:6" x14ac:dyDescent="0.2">
      <c r="A54" s="278"/>
      <c r="D54" s="267"/>
    </row>
    <row r="55" spans="1:6" x14ac:dyDescent="0.2">
      <c r="A55" s="278"/>
      <c r="D55" s="267"/>
    </row>
    <row r="56" spans="1:6" x14ac:dyDescent="0.2">
      <c r="A56" s="278"/>
      <c r="D56" s="267"/>
    </row>
    <row r="57" spans="1:6" x14ac:dyDescent="0.2">
      <c r="D57" s="267"/>
    </row>
  </sheetData>
  <mergeCells count="2">
    <mergeCell ref="B3:C3"/>
    <mergeCell ref="E3:F3"/>
  </mergeCells>
  <conditionalFormatting sqref="E5:F52">
    <cfRule type="expression" dxfId="10" priority="6">
      <formula>MOD(ROW(),2)=0</formula>
    </cfRule>
  </conditionalFormatting>
  <conditionalFormatting sqref="B5:C53">
    <cfRule type="expression" dxfId="9" priority="5" stopIfTrue="1">
      <formula>MOD(ROW(),2)=0</formula>
    </cfRule>
  </conditionalFormatting>
  <conditionalFormatting sqref="E53:F53">
    <cfRule type="expression" dxfId="8" priority="3">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FF00"/>
  </sheetPr>
  <dimension ref="A1:U202"/>
  <sheetViews>
    <sheetView showGridLines="0" zoomScale="90" zoomScaleNormal="90" workbookViewId="0">
      <pane ySplit="1" topLeftCell="A95" activePane="bottomLeft" state="frozen"/>
      <selection activeCell="A46" sqref="A46:IV46"/>
      <selection pane="bottomLeft" activeCell="I120" sqref="I120"/>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169</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26.64</v>
      </c>
      <c r="D13" s="190">
        <v>26.86</v>
      </c>
      <c r="E13" s="245">
        <f>IF(D$29=0,C13*2,C13+D13)</f>
        <v>53.5</v>
      </c>
      <c r="F13" s="819">
        <f>'0664'!F13:G13</f>
        <v>1.1259999999999999</v>
      </c>
      <c r="G13" s="819"/>
      <c r="H13" s="194">
        <f>ROUND(E13*F13,4)</f>
        <v>60.241</v>
      </c>
      <c r="I13" s="140">
        <f t="shared" ref="I13:I28" si="0">ROUND(ROUND(H13*$C$8,4)*($H$8),2)</f>
        <v>274597.84000000003</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11.84</v>
      </c>
      <c r="D14" s="192">
        <v>11.53</v>
      </c>
      <c r="E14" s="147">
        <f t="shared" ref="E14:E28" si="3">IF(D$29=0,C14*2,C14+D14)</f>
        <v>23.369999999999997</v>
      </c>
      <c r="F14" s="814">
        <f>'0664'!F14:G14</f>
        <v>1.1259999999999999</v>
      </c>
      <c r="G14" s="814"/>
      <c r="H14" s="99">
        <f t="shared" ref="H14:H28" si="4">ROUND(E14*F14,4)</f>
        <v>26.314599999999999</v>
      </c>
      <c r="I14" s="120">
        <f t="shared" si="0"/>
        <v>119950.39999999999</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12.63</v>
      </c>
      <c r="D15" s="192">
        <v>14.14</v>
      </c>
      <c r="E15" s="147">
        <f t="shared" si="3"/>
        <v>26.770000000000003</v>
      </c>
      <c r="F15" s="814">
        <f>'0664'!F15:G15</f>
        <v>1</v>
      </c>
      <c r="G15" s="814"/>
      <c r="H15" s="99">
        <f t="shared" si="4"/>
        <v>26.77</v>
      </c>
      <c r="I15" s="120">
        <f t="shared" si="0"/>
        <v>122026.26</v>
      </c>
      <c r="N15" s="840" t="s">
        <v>31</v>
      </c>
      <c r="O15" s="840"/>
      <c r="P15" s="841">
        <f t="shared" si="1"/>
        <v>0</v>
      </c>
      <c r="Q15" s="841"/>
      <c r="R15" s="842">
        <v>1</v>
      </c>
      <c r="S15" s="842"/>
      <c r="T15" s="114">
        <f t="shared" si="5"/>
        <v>0</v>
      </c>
      <c r="U15" s="115">
        <f t="shared" si="2"/>
        <v>0</v>
      </c>
    </row>
    <row r="16" spans="1:21" x14ac:dyDescent="0.25">
      <c r="A16" s="764" t="s">
        <v>32</v>
      </c>
      <c r="B16" s="764"/>
      <c r="C16" s="192">
        <v>5.5</v>
      </c>
      <c r="D16" s="192">
        <v>4</v>
      </c>
      <c r="E16" s="147">
        <f t="shared" si="3"/>
        <v>9.5</v>
      </c>
      <c r="F16" s="814">
        <f>'0664'!F16:G16</f>
        <v>1</v>
      </c>
      <c r="G16" s="814"/>
      <c r="H16" s="99">
        <f t="shared" si="4"/>
        <v>9.5</v>
      </c>
      <c r="I16" s="120">
        <f t="shared" si="0"/>
        <v>43304.05</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0.37</v>
      </c>
      <c r="E19" s="147">
        <f t="shared" si="3"/>
        <v>0.37</v>
      </c>
      <c r="F19" s="814">
        <f>'0664'!F19:G19</f>
        <v>3.6480000000000001</v>
      </c>
      <c r="G19" s="814"/>
      <c r="H19" s="99">
        <f t="shared" si="4"/>
        <v>1.3498000000000001</v>
      </c>
      <c r="I19" s="120">
        <f t="shared" si="0"/>
        <v>6152.82</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21.89</v>
      </c>
      <c r="D25" s="192">
        <v>22.52</v>
      </c>
      <c r="E25" s="147">
        <f t="shared" si="3"/>
        <v>44.41</v>
      </c>
      <c r="F25" s="814">
        <f>'0664'!F25:G25</f>
        <v>1.1990000000000001</v>
      </c>
      <c r="G25" s="814"/>
      <c r="H25" s="99">
        <f t="shared" si="4"/>
        <v>53.247599999999998</v>
      </c>
      <c r="I25" s="120">
        <f t="shared" si="0"/>
        <v>242719.67</v>
      </c>
      <c r="N25" s="840" t="s">
        <v>116</v>
      </c>
      <c r="O25" s="840"/>
      <c r="P25" s="841">
        <f t="shared" si="1"/>
        <v>0</v>
      </c>
      <c r="Q25" s="841"/>
      <c r="R25" s="842">
        <v>1</v>
      </c>
      <c r="S25" s="842"/>
      <c r="T25" s="114">
        <f t="shared" si="5"/>
        <v>0</v>
      </c>
      <c r="U25" s="115">
        <f t="shared" si="2"/>
        <v>0</v>
      </c>
    </row>
    <row r="26" spans="1:21" x14ac:dyDescent="0.25">
      <c r="A26" s="764" t="s">
        <v>117</v>
      </c>
      <c r="B26" s="764"/>
      <c r="C26" s="192">
        <v>6.37</v>
      </c>
      <c r="D26" s="192">
        <v>6.36</v>
      </c>
      <c r="E26" s="147">
        <f t="shared" si="3"/>
        <v>12.73</v>
      </c>
      <c r="F26" s="814">
        <f>'0664'!F26:G26</f>
        <v>1.1990000000000001</v>
      </c>
      <c r="G26" s="814"/>
      <c r="H26" s="99">
        <f t="shared" si="4"/>
        <v>15.263299999999999</v>
      </c>
      <c r="I26" s="120">
        <f t="shared" si="0"/>
        <v>69575.03</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84.87</v>
      </c>
      <c r="D29" s="113">
        <f>SUM(D13:D28)</f>
        <v>85.78</v>
      </c>
      <c r="E29" s="113">
        <f>SUM(E13:E28)</f>
        <v>170.65</v>
      </c>
      <c r="F29" s="820"/>
      <c r="G29" s="820"/>
      <c r="H29" s="118">
        <f>SUM(H13:H28)</f>
        <v>192.68629999999999</v>
      </c>
      <c r="I29" s="113">
        <f>SUM(I13:I28)</f>
        <v>878326.07000000007</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192.68629999999999</v>
      </c>
      <c r="F45" s="36"/>
      <c r="G45" s="128"/>
      <c r="H45" s="129" t="s">
        <v>131</v>
      </c>
      <c r="I45" s="113">
        <f>SUM(I43,I29)</f>
        <v>878326.07000000007</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10.54</v>
      </c>
      <c r="D50" s="192">
        <v>11.53</v>
      </c>
      <c r="E50" s="147">
        <f>IF(D$59=0,C50*2,C50+D50)</f>
        <v>22.07</v>
      </c>
      <c r="F50" s="40" t="s">
        <v>21</v>
      </c>
      <c r="G50" s="52">
        <v>251</v>
      </c>
      <c r="H50" s="485">
        <f>'0664'!H50</f>
        <v>1047</v>
      </c>
      <c r="I50" s="120">
        <f>ROUND(E50*H50,2)</f>
        <v>23107.29</v>
      </c>
      <c r="N50" s="863" t="s">
        <v>28</v>
      </c>
      <c r="O50" s="863"/>
      <c r="P50" s="864"/>
      <c r="Q50" s="864"/>
      <c r="R50" s="42" t="s">
        <v>21</v>
      </c>
      <c r="S50" s="43">
        <v>251</v>
      </c>
      <c r="T50" s="138">
        <f>H50</f>
        <v>1047</v>
      </c>
      <c r="U50" s="139">
        <f>ROUND(P50*T50,0)</f>
        <v>0</v>
      </c>
    </row>
    <row r="51" spans="1:21" x14ac:dyDescent="0.25">
      <c r="A51" s="792"/>
      <c r="B51" s="792"/>
      <c r="C51" s="192">
        <v>0.8</v>
      </c>
      <c r="D51" s="192">
        <v>0</v>
      </c>
      <c r="E51" s="147">
        <f t="shared" ref="E51:E58" si="10">IF(D$59=0,C51*2,C51+D51)</f>
        <v>0.8</v>
      </c>
      <c r="F51" s="52" t="s">
        <v>21</v>
      </c>
      <c r="G51" s="52">
        <v>252</v>
      </c>
      <c r="H51" s="485">
        <f>'0664'!H51</f>
        <v>3380</v>
      </c>
      <c r="I51" s="120">
        <f t="shared" ref="I51:I58" si="11">ROUND(E51*H51,2)</f>
        <v>2704</v>
      </c>
      <c r="N51" s="863"/>
      <c r="O51" s="863"/>
      <c r="P51" s="865"/>
      <c r="Q51" s="865"/>
      <c r="R51" s="43" t="s">
        <v>21</v>
      </c>
      <c r="S51" s="43">
        <v>252</v>
      </c>
      <c r="T51" s="138">
        <f t="shared" ref="T51:T58" si="12">H51</f>
        <v>3380</v>
      </c>
      <c r="U51" s="139">
        <f t="shared" ref="U51:U58" si="13">ROUND(P51*T51,0)</f>
        <v>0</v>
      </c>
    </row>
    <row r="52" spans="1:21" x14ac:dyDescent="0.25">
      <c r="A52" s="792"/>
      <c r="B52" s="792"/>
      <c r="C52" s="192">
        <v>0.5</v>
      </c>
      <c r="D52" s="192">
        <v>0</v>
      </c>
      <c r="E52" s="147">
        <f t="shared" si="10"/>
        <v>0.5</v>
      </c>
      <c r="F52" s="52" t="s">
        <v>21</v>
      </c>
      <c r="G52" s="52">
        <v>253</v>
      </c>
      <c r="H52" s="485">
        <f>'0664'!H52</f>
        <v>6896</v>
      </c>
      <c r="I52" s="120">
        <f t="shared" si="11"/>
        <v>3448</v>
      </c>
      <c r="N52" s="863"/>
      <c r="O52" s="863"/>
      <c r="P52" s="865"/>
      <c r="Q52" s="865"/>
      <c r="R52" s="43" t="s">
        <v>21</v>
      </c>
      <c r="S52" s="43">
        <v>253</v>
      </c>
      <c r="T52" s="138">
        <f t="shared" si="12"/>
        <v>6896</v>
      </c>
      <c r="U52" s="139">
        <f t="shared" si="13"/>
        <v>0</v>
      </c>
    </row>
    <row r="53" spans="1:21" x14ac:dyDescent="0.25">
      <c r="A53" s="792"/>
      <c r="B53" s="792"/>
      <c r="C53" s="192">
        <v>5.5</v>
      </c>
      <c r="D53" s="192">
        <v>4</v>
      </c>
      <c r="E53" s="147">
        <f t="shared" si="10"/>
        <v>9.5</v>
      </c>
      <c r="F53" s="143" t="s">
        <v>14</v>
      </c>
      <c r="G53" s="52">
        <v>251</v>
      </c>
      <c r="H53" s="485">
        <f>'0664'!H53</f>
        <v>1173</v>
      </c>
      <c r="I53" s="120">
        <f t="shared" si="11"/>
        <v>11143.5</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17.34</v>
      </c>
      <c r="D59" s="116">
        <f>SUM(D50:D58)</f>
        <v>15.53</v>
      </c>
      <c r="E59" s="116">
        <f>SUM(E50:E58)</f>
        <v>32.870000000000005</v>
      </c>
      <c r="F59" s="767" t="s">
        <v>78</v>
      </c>
      <c r="G59" s="767"/>
      <c r="H59" s="767"/>
      <c r="I59" s="116">
        <f>SUM(I50:I58)</f>
        <v>40402.79</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170.65</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8.9499999999999996E-4</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192.68629999999999</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8.9800000000000004E-4</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8.9499999999999996E-4</v>
      </c>
      <c r="I68" s="120">
        <f>ROUND(F68*H68,2)</f>
        <v>37616.47</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8.9499999999999996E-4</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8.9499999999999996E-4</v>
      </c>
      <c r="I71" s="120">
        <f>IF(D71="Y",ROUND(F71*H71,2),0)</f>
        <v>131.21</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8.9499999999999996E-4</v>
      </c>
      <c r="I72" s="120">
        <f>ROUND(F72*H72,2)</f>
        <v>10147.43</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8.9499999999999996E-4</v>
      </c>
      <c r="I73" s="120">
        <f>ROUND(F73*H73,2)</f>
        <v>12424.73</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8.9499999999999996E-4</v>
      </c>
      <c r="I77" s="120">
        <f t="shared" ref="I77:I82" si="14">ROUND(F77*H77,2)</f>
        <v>6678.98</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8.9499999999999996E-4</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8.9800000000000004E-4</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8.9800000000000004E-4</v>
      </c>
      <c r="I80" s="120">
        <f t="shared" si="14"/>
        <v>7689.38</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8.9800000000000004E-4</v>
      </c>
      <c r="I81" s="120">
        <f t="shared" si="14"/>
        <v>151459.57999999999</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8.9800000000000004E-4</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35212.949999999997</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8.9499999999999996E-4</v>
      </c>
      <c r="I84" s="120">
        <f>ROUND(F84*H84,2)</f>
        <v>19344.84</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141.15299999999999</v>
      </c>
      <c r="D89" s="781"/>
      <c r="E89" s="54">
        <f>H8</f>
        <v>1.0424</v>
      </c>
      <c r="F89" s="545">
        <f>'0664'!F89</f>
        <v>966.9</v>
      </c>
      <c r="G89" s="186" t="s">
        <v>13</v>
      </c>
      <c r="H89" s="120">
        <f>ROUND(C89*E89*F89,2)</f>
        <v>142267.62</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51.533299999999997</v>
      </c>
      <c r="D90" s="781"/>
      <c r="E90" s="54">
        <f>H8</f>
        <v>1.0424</v>
      </c>
      <c r="F90" s="545">
        <f>'0664'!F90</f>
        <v>923.19</v>
      </c>
      <c r="G90" s="186" t="s">
        <v>13</v>
      </c>
      <c r="H90" s="120">
        <f>ROUND(C90*E90*F90,2)</f>
        <v>49592.21</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192.68629999999999</v>
      </c>
      <c r="D92" s="782"/>
      <c r="E92" s="168"/>
      <c r="F92" s="168"/>
      <c r="G92" s="168"/>
      <c r="H92" s="169" t="s">
        <v>145</v>
      </c>
      <c r="I92" s="120">
        <f>IF(A1=75,0,H91+H90+H89)</f>
        <v>191859.83</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24</v>
      </c>
      <c r="D98" s="192">
        <v>24</v>
      </c>
      <c r="E98" s="147">
        <f>(C98+D98)/2</f>
        <v>24</v>
      </c>
      <c r="F98" s="173" t="s">
        <v>39</v>
      </c>
      <c r="G98" s="546">
        <f>'0664'!G98</f>
        <v>486</v>
      </c>
      <c r="I98" s="120">
        <f>ROUND(G98*E98,2)</f>
        <v>11664</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1402958.2600000002</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1402958.2600000002</v>
      </c>
      <c r="I118" s="113">
        <f>ROUND(IF(E29=0,0,IF(E29&gt;250,-(((250/E29)*H118)*IF(G118="H",0.02,0.05)),IF(G118="H",-0.02*H118,-0.05*H118))),2)</f>
        <v>-70147.91</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1332810.3500000003</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-1333418</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-607.64999999967404</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-607.65</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0</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78:P78"/>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R105:S105"/>
    <mergeCell ref="A98:B98"/>
    <mergeCell ref="N98:O98"/>
    <mergeCell ref="P98:R98"/>
    <mergeCell ref="A99:B99"/>
    <mergeCell ref="N99:O99"/>
    <mergeCell ref="P99:R99"/>
    <mergeCell ref="R107:S107"/>
    <mergeCell ref="A102:C102"/>
    <mergeCell ref="F102:I102"/>
    <mergeCell ref="N102:U102"/>
    <mergeCell ref="C103:E103"/>
    <mergeCell ref="F104:G104"/>
    <mergeCell ref="A105:B105"/>
    <mergeCell ref="F105:G105"/>
    <mergeCell ref="N105:O105"/>
    <mergeCell ref="P105:Q105"/>
    <mergeCell ref="A108:B108"/>
    <mergeCell ref="F108:G108"/>
    <mergeCell ref="N108:O108"/>
    <mergeCell ref="P108:Q108"/>
    <mergeCell ref="F112:H112"/>
    <mergeCell ref="R108:S108"/>
    <mergeCell ref="A109:B109"/>
    <mergeCell ref="N109:O109"/>
    <mergeCell ref="A106:B106"/>
    <mergeCell ref="F106:G106"/>
    <mergeCell ref="N106:O106"/>
    <mergeCell ref="P106:Q106"/>
    <mergeCell ref="R106:S106"/>
    <mergeCell ref="A107:B107"/>
    <mergeCell ref="F107:G107"/>
    <mergeCell ref="N107:O107"/>
    <mergeCell ref="P107:Q107"/>
    <mergeCell ref="N116:U116"/>
    <mergeCell ref="A116:G116"/>
    <mergeCell ref="N135:U135"/>
    <mergeCell ref="N115:U115"/>
    <mergeCell ref="A111:C111"/>
    <mergeCell ref="F111:H111"/>
    <mergeCell ref="N111:P111"/>
    <mergeCell ref="N112:P112"/>
    <mergeCell ref="A112:C112"/>
    <mergeCell ref="N113:T113"/>
    <mergeCell ref="A114:H114"/>
    <mergeCell ref="A115:G115"/>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FF00"/>
  </sheetPr>
  <dimension ref="A1:U202"/>
  <sheetViews>
    <sheetView showGridLines="0" zoomScale="90" zoomScaleNormal="90" workbookViewId="0">
      <pane ySplit="1" topLeftCell="A86"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363</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81.61</v>
      </c>
      <c r="D13" s="190">
        <v>79.47</v>
      </c>
      <c r="E13" s="245">
        <f>IF(D$29=0,C13*2,C13+D13)</f>
        <v>161.07999999999998</v>
      </c>
      <c r="F13" s="819">
        <f>'0664'!F13:G13</f>
        <v>1.1259999999999999</v>
      </c>
      <c r="G13" s="819"/>
      <c r="H13" s="194">
        <f>ROUND(E13*F13,4)</f>
        <v>181.37610000000001</v>
      </c>
      <c r="I13" s="140">
        <f t="shared" ref="I13:I28" si="0">ROUND(ROUND(H13*$C$8,4)*($H$8),2)</f>
        <v>826770.56</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12.5</v>
      </c>
      <c r="D14" s="192">
        <v>13</v>
      </c>
      <c r="E14" s="147">
        <f t="shared" ref="E14:E28" si="3">IF(D$29=0,C14*2,C14+D14)</f>
        <v>25.5</v>
      </c>
      <c r="F14" s="814">
        <f>'0664'!F14:G14</f>
        <v>1.1259999999999999</v>
      </c>
      <c r="G14" s="814"/>
      <c r="H14" s="99">
        <f t="shared" ref="H14:H28" si="4">ROUND(E14*F14,4)</f>
        <v>28.713000000000001</v>
      </c>
      <c r="I14" s="120">
        <f t="shared" si="0"/>
        <v>130883.08</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108.54</v>
      </c>
      <c r="D15" s="192">
        <v>108.29</v>
      </c>
      <c r="E15" s="147">
        <f t="shared" si="3"/>
        <v>216.83</v>
      </c>
      <c r="F15" s="814">
        <f>'0664'!F15:G15</f>
        <v>1</v>
      </c>
      <c r="G15" s="814"/>
      <c r="H15" s="99">
        <f t="shared" si="4"/>
        <v>216.83</v>
      </c>
      <c r="I15" s="120">
        <f t="shared" si="0"/>
        <v>988380.83</v>
      </c>
      <c r="N15" s="840" t="s">
        <v>31</v>
      </c>
      <c r="O15" s="840"/>
      <c r="P15" s="841">
        <f t="shared" si="1"/>
        <v>0</v>
      </c>
      <c r="Q15" s="841"/>
      <c r="R15" s="842">
        <v>1</v>
      </c>
      <c r="S15" s="842"/>
      <c r="T15" s="114">
        <f t="shared" si="5"/>
        <v>0</v>
      </c>
      <c r="U15" s="115">
        <f t="shared" si="2"/>
        <v>0</v>
      </c>
    </row>
    <row r="16" spans="1:21" x14ac:dyDescent="0.25">
      <c r="A16" s="764" t="s">
        <v>32</v>
      </c>
      <c r="B16" s="764"/>
      <c r="C16" s="192">
        <v>22.03</v>
      </c>
      <c r="D16" s="192">
        <v>21.97</v>
      </c>
      <c r="E16" s="147">
        <f t="shared" si="3"/>
        <v>44</v>
      </c>
      <c r="F16" s="814">
        <f>'0664'!F16:G16</f>
        <v>1</v>
      </c>
      <c r="G16" s="814"/>
      <c r="H16" s="99">
        <f t="shared" si="4"/>
        <v>44</v>
      </c>
      <c r="I16" s="120">
        <f t="shared" si="0"/>
        <v>200566.14</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23.3</v>
      </c>
      <c r="D25" s="192">
        <v>21.03</v>
      </c>
      <c r="E25" s="147">
        <f t="shared" si="3"/>
        <v>44.33</v>
      </c>
      <c r="F25" s="814">
        <f>'0664'!F25:G25</f>
        <v>1.1990000000000001</v>
      </c>
      <c r="G25" s="814"/>
      <c r="H25" s="99">
        <f t="shared" si="4"/>
        <v>53.151699999999998</v>
      </c>
      <c r="I25" s="120">
        <f t="shared" si="0"/>
        <v>242282.53</v>
      </c>
      <c r="N25" s="840" t="s">
        <v>116</v>
      </c>
      <c r="O25" s="840"/>
      <c r="P25" s="841">
        <f t="shared" si="1"/>
        <v>0</v>
      </c>
      <c r="Q25" s="841"/>
      <c r="R25" s="842">
        <v>1</v>
      </c>
      <c r="S25" s="842"/>
      <c r="T25" s="114">
        <f t="shared" si="5"/>
        <v>0</v>
      </c>
      <c r="U25" s="115">
        <f t="shared" si="2"/>
        <v>0</v>
      </c>
    </row>
    <row r="26" spans="1:21" x14ac:dyDescent="0.25">
      <c r="A26" s="764" t="s">
        <v>117</v>
      </c>
      <c r="B26" s="764"/>
      <c r="C26" s="192">
        <v>7.96</v>
      </c>
      <c r="D26" s="192">
        <v>7.57</v>
      </c>
      <c r="E26" s="147">
        <f t="shared" si="3"/>
        <v>15.530000000000001</v>
      </c>
      <c r="F26" s="814">
        <f>'0664'!F26:G26</f>
        <v>1.1990000000000001</v>
      </c>
      <c r="G26" s="814"/>
      <c r="H26" s="99">
        <f t="shared" si="4"/>
        <v>18.6205</v>
      </c>
      <c r="I26" s="120">
        <f t="shared" si="0"/>
        <v>84878.22</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255.94000000000003</v>
      </c>
      <c r="D29" s="113">
        <f>SUM(D13:D28)</f>
        <v>251.32999999999998</v>
      </c>
      <c r="E29" s="113">
        <f>SUM(E13:E28)</f>
        <v>507.27</v>
      </c>
      <c r="F29" s="820"/>
      <c r="G29" s="820"/>
      <c r="H29" s="118">
        <f>SUM(H13:H28)</f>
        <v>542.69129999999996</v>
      </c>
      <c r="I29" s="113">
        <f>SUM(I13:I28)</f>
        <v>2473761.36</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542.69129999999996</v>
      </c>
      <c r="F45" s="36"/>
      <c r="G45" s="128"/>
      <c r="H45" s="129" t="s">
        <v>131</v>
      </c>
      <c r="I45" s="113">
        <f>SUM(I43,I29)</f>
        <v>2473761.36</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11</v>
      </c>
      <c r="D50" s="192">
        <v>12.09</v>
      </c>
      <c r="E50" s="147">
        <f>IF(D$59=0,C50*2,C50+D50)</f>
        <v>23.09</v>
      </c>
      <c r="F50" s="40" t="s">
        <v>21</v>
      </c>
      <c r="G50" s="52">
        <v>251</v>
      </c>
      <c r="H50" s="485">
        <f>'0664'!H50</f>
        <v>1047</v>
      </c>
      <c r="I50" s="120">
        <f>ROUND(E50*H50,2)</f>
        <v>24175.23</v>
      </c>
      <c r="N50" s="863" t="s">
        <v>28</v>
      </c>
      <c r="O50" s="863"/>
      <c r="P50" s="864"/>
      <c r="Q50" s="864"/>
      <c r="R50" s="42" t="s">
        <v>21</v>
      </c>
      <c r="S50" s="43">
        <v>251</v>
      </c>
      <c r="T50" s="138">
        <f>H50</f>
        <v>1047</v>
      </c>
      <c r="U50" s="139">
        <f>ROUND(P50*T50,0)</f>
        <v>0</v>
      </c>
    </row>
    <row r="51" spans="1:21" x14ac:dyDescent="0.25">
      <c r="A51" s="792"/>
      <c r="B51" s="792"/>
      <c r="C51" s="192">
        <v>1.5</v>
      </c>
      <c r="D51" s="192">
        <v>0.91</v>
      </c>
      <c r="E51" s="147">
        <f t="shared" ref="E51:E58" si="10">IF(D$59=0,C51*2,C51+D51)</f>
        <v>2.41</v>
      </c>
      <c r="F51" s="52" t="s">
        <v>21</v>
      </c>
      <c r="G51" s="52">
        <v>252</v>
      </c>
      <c r="H51" s="485">
        <f>'0664'!H51</f>
        <v>3380</v>
      </c>
      <c r="I51" s="120">
        <f t="shared" ref="I51:I58" si="11">ROUND(E51*H51,2)</f>
        <v>8145.8</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20.03</v>
      </c>
      <c r="D53" s="192">
        <v>20.059999999999999</v>
      </c>
      <c r="E53" s="147">
        <f t="shared" si="10"/>
        <v>40.090000000000003</v>
      </c>
      <c r="F53" s="143" t="s">
        <v>14</v>
      </c>
      <c r="G53" s="52">
        <v>251</v>
      </c>
      <c r="H53" s="485">
        <f>'0664'!H53</f>
        <v>1173</v>
      </c>
      <c r="I53" s="120">
        <f t="shared" si="11"/>
        <v>47025.57</v>
      </c>
      <c r="N53" s="863"/>
      <c r="O53" s="863"/>
      <c r="P53" s="865"/>
      <c r="Q53" s="865"/>
      <c r="R53" s="45" t="s">
        <v>14</v>
      </c>
      <c r="S53" s="43">
        <v>251</v>
      </c>
      <c r="T53" s="138">
        <f t="shared" si="12"/>
        <v>1173</v>
      </c>
      <c r="U53" s="139">
        <f t="shared" si="13"/>
        <v>0</v>
      </c>
    </row>
    <row r="54" spans="1:21" x14ac:dyDescent="0.25">
      <c r="A54" s="792"/>
      <c r="B54" s="792"/>
      <c r="C54" s="192">
        <v>2</v>
      </c>
      <c r="D54" s="192">
        <v>1.91</v>
      </c>
      <c r="E54" s="147">
        <f t="shared" si="10"/>
        <v>3.91</v>
      </c>
      <c r="F54" s="143" t="s">
        <v>14</v>
      </c>
      <c r="G54" s="52">
        <v>252</v>
      </c>
      <c r="H54" s="485">
        <f>'0664'!H54</f>
        <v>3506</v>
      </c>
      <c r="I54" s="120">
        <f t="shared" si="11"/>
        <v>13708.46</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34.53</v>
      </c>
      <c r="D59" s="116">
        <f>SUM(D50:D58)</f>
        <v>34.97</v>
      </c>
      <c r="E59" s="116">
        <f>SUM(E50:E58)</f>
        <v>69.5</v>
      </c>
      <c r="F59" s="767" t="s">
        <v>78</v>
      </c>
      <c r="G59" s="767"/>
      <c r="H59" s="767"/>
      <c r="I59" s="116">
        <f>SUM(I50:I58)</f>
        <v>93055.06</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507.27</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2.6589999999999999E-3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542.69129999999996</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2.5300000000000001E-3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2.6589999999999999E-3</v>
      </c>
      <c r="I68" s="120">
        <f>ROUND(F68*H68,2)</f>
        <v>111756.65</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2.6589999999999999E-3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2.6589999999999999E-3</v>
      </c>
      <c r="I71" s="120">
        <f>IF(D71="Y",ROUND(F71*H71,2),0)</f>
        <v>389.83</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2.6589999999999999E-3</v>
      </c>
      <c r="I72" s="120">
        <f>ROUND(F72*H72,2)</f>
        <v>30147.5</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2.6589999999999999E-3</v>
      </c>
      <c r="I73" s="120">
        <f>ROUND(F73*H73,2)</f>
        <v>36913.26</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2.6589999999999999E-3</v>
      </c>
      <c r="I77" s="120">
        <f t="shared" ref="I77:I82" si="14">ROUND(F77*H77,2)</f>
        <v>19842.900000000001</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2.6589999999999999E-3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2.5300000000000001E-3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2.5300000000000001E-3</v>
      </c>
      <c r="I80" s="120">
        <f t="shared" si="14"/>
        <v>21663.85</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2.5300000000000001E-3</v>
      </c>
      <c r="I81" s="120">
        <f t="shared" si="14"/>
        <v>426717.97</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2.5300000000000001E-3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100502.81</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2.6589999999999999E-3</v>
      </c>
      <c r="I84" s="120">
        <f>ROUND(F84*H84,2)</f>
        <v>57472.54</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263.24079999999998</v>
      </c>
      <c r="D89" s="781"/>
      <c r="E89" s="54">
        <f>H8</f>
        <v>1.0424</v>
      </c>
      <c r="F89" s="545">
        <f>'0664'!F89</f>
        <v>966.9</v>
      </c>
      <c r="G89" s="186" t="s">
        <v>13</v>
      </c>
      <c r="H89" s="120">
        <f>ROUND(C89*E89*F89,2)</f>
        <v>265319.5</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279.45050000000003</v>
      </c>
      <c r="D90" s="781"/>
      <c r="E90" s="54">
        <f>H8</f>
        <v>1.0424</v>
      </c>
      <c r="F90" s="545">
        <f>'0664'!F90</f>
        <v>923.19</v>
      </c>
      <c r="G90" s="186" t="s">
        <v>13</v>
      </c>
      <c r="H90" s="120">
        <f>ROUND(C90*E90*F90,2)</f>
        <v>268924.51</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542.69129999999996</v>
      </c>
      <c r="D92" s="782"/>
      <c r="E92" s="168"/>
      <c r="F92" s="168"/>
      <c r="G92" s="168"/>
      <c r="H92" s="169" t="s">
        <v>145</v>
      </c>
      <c r="I92" s="120">
        <f>IF(A1=75,0,H91+H90+H89)</f>
        <v>534244.01</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42</v>
      </c>
      <c r="D98" s="192">
        <v>41</v>
      </c>
      <c r="E98" s="147">
        <f>(C98+D98)/2</f>
        <v>41.5</v>
      </c>
      <c r="F98" s="173" t="s">
        <v>39</v>
      </c>
      <c r="G98" s="546">
        <f>'0664'!G98</f>
        <v>486</v>
      </c>
      <c r="I98" s="120">
        <f>ROUND(G98*E98,2)</f>
        <v>20169</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3926636.74</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3926636.74</v>
      </c>
      <c r="I118" s="113">
        <f>ROUND(IF(E29=0,0,IF(E29&gt;250,-(((250/E29)*H118)*IF(G118="H",0.02,0.05)),IF(G118="H",-0.02*H118,-0.05*H118))),2)</f>
        <v>-96759.039999999994</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3829877.7</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-3832517.22</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-2639.5200000000186</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-2639.52</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99572.800000000003</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78:P78"/>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N105:O105"/>
    <mergeCell ref="P105:Q105"/>
    <mergeCell ref="R105:S105"/>
    <mergeCell ref="P106:Q106"/>
    <mergeCell ref="R106:S106"/>
    <mergeCell ref="A98:B98"/>
    <mergeCell ref="N98:O98"/>
    <mergeCell ref="P98:R98"/>
    <mergeCell ref="A99:B99"/>
    <mergeCell ref="N99:O99"/>
    <mergeCell ref="P99:R99"/>
    <mergeCell ref="A102:C102"/>
    <mergeCell ref="F102:I102"/>
    <mergeCell ref="N102:U102"/>
    <mergeCell ref="N135:U135"/>
    <mergeCell ref="N115:U115"/>
    <mergeCell ref="N112:P112"/>
    <mergeCell ref="A112:C112"/>
    <mergeCell ref="F112:H112"/>
    <mergeCell ref="N113:T113"/>
    <mergeCell ref="A114:H114"/>
    <mergeCell ref="F111:H111"/>
    <mergeCell ref="N111:P111"/>
    <mergeCell ref="A11:B11"/>
    <mergeCell ref="A115:G115"/>
    <mergeCell ref="N116:U116"/>
    <mergeCell ref="A116:G116"/>
    <mergeCell ref="R108:S108"/>
    <mergeCell ref="A106:B106"/>
    <mergeCell ref="F106:G106"/>
    <mergeCell ref="N106:O106"/>
    <mergeCell ref="A111:C111"/>
    <mergeCell ref="A107:B107"/>
    <mergeCell ref="F107:G107"/>
    <mergeCell ref="N107:O107"/>
    <mergeCell ref="P107:Q107"/>
    <mergeCell ref="R107:S107"/>
    <mergeCell ref="A108:B108"/>
    <mergeCell ref="F108:G108"/>
    <mergeCell ref="N108:O108"/>
    <mergeCell ref="P108:Q108"/>
    <mergeCell ref="A109:B109"/>
    <mergeCell ref="N109:O109"/>
    <mergeCell ref="C103:E103"/>
    <mergeCell ref="F104:G104"/>
    <mergeCell ref="A105:B105"/>
    <mergeCell ref="F105:G105"/>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FF00"/>
  </sheetPr>
  <dimension ref="A1:U202"/>
  <sheetViews>
    <sheetView showGridLines="0" zoomScale="90" zoomScaleNormal="90" workbookViewId="0">
      <pane ySplit="1" topLeftCell="A89"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170</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301.88</v>
      </c>
      <c r="D17" s="192">
        <v>285.81</v>
      </c>
      <c r="E17" s="147">
        <f t="shared" si="3"/>
        <v>587.69000000000005</v>
      </c>
      <c r="F17" s="814">
        <f>'0664'!F17:G17</f>
        <v>1.01</v>
      </c>
      <c r="G17" s="814"/>
      <c r="H17" s="99">
        <f t="shared" si="4"/>
        <v>593.56690000000003</v>
      </c>
      <c r="I17" s="120">
        <f t="shared" si="0"/>
        <v>2705668.69</v>
      </c>
      <c r="N17" s="840" t="s">
        <v>33</v>
      </c>
      <c r="O17" s="840"/>
      <c r="P17" s="841">
        <f t="shared" si="1"/>
        <v>0</v>
      </c>
      <c r="Q17" s="841"/>
      <c r="R17" s="842">
        <v>1</v>
      </c>
      <c r="S17" s="842"/>
      <c r="T17" s="114">
        <f t="shared" si="5"/>
        <v>0</v>
      </c>
      <c r="U17" s="115">
        <f t="shared" si="2"/>
        <v>0</v>
      </c>
    </row>
    <row r="18" spans="1:21" x14ac:dyDescent="0.25">
      <c r="A18" s="764" t="s">
        <v>34</v>
      </c>
      <c r="B18" s="764"/>
      <c r="C18" s="192">
        <v>34.03</v>
      </c>
      <c r="D18" s="192">
        <v>32.82</v>
      </c>
      <c r="E18" s="147">
        <f t="shared" si="3"/>
        <v>66.849999999999994</v>
      </c>
      <c r="F18" s="814">
        <f>'0664'!F18:G18</f>
        <v>1.01</v>
      </c>
      <c r="G18" s="814"/>
      <c r="H18" s="99">
        <f t="shared" si="4"/>
        <v>67.518500000000003</v>
      </c>
      <c r="I18" s="120">
        <f t="shared" si="0"/>
        <v>307771.02</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7.18</v>
      </c>
      <c r="D27" s="192">
        <v>6.26</v>
      </c>
      <c r="E27" s="147">
        <f t="shared" si="3"/>
        <v>13.44</v>
      </c>
      <c r="F27" s="814">
        <f>'0664'!F27:G27</f>
        <v>1.1990000000000001</v>
      </c>
      <c r="G27" s="814"/>
      <c r="H27" s="99">
        <f t="shared" si="4"/>
        <v>16.114599999999999</v>
      </c>
      <c r="I27" s="120">
        <f t="shared" si="0"/>
        <v>73455.53</v>
      </c>
      <c r="N27" s="840" t="s">
        <v>118</v>
      </c>
      <c r="O27" s="840"/>
      <c r="P27" s="841">
        <f t="shared" si="1"/>
        <v>0</v>
      </c>
      <c r="Q27" s="841"/>
      <c r="R27" s="842">
        <v>1</v>
      </c>
      <c r="S27" s="842"/>
      <c r="T27" s="114">
        <f t="shared" si="5"/>
        <v>0</v>
      </c>
      <c r="U27" s="115">
        <f t="shared" si="2"/>
        <v>0</v>
      </c>
    </row>
    <row r="28" spans="1:21" x14ac:dyDescent="0.25">
      <c r="A28" s="790" t="s">
        <v>119</v>
      </c>
      <c r="B28" s="790"/>
      <c r="C28" s="137">
        <v>33.33</v>
      </c>
      <c r="D28" s="137">
        <v>30.46</v>
      </c>
      <c r="E28" s="147">
        <f t="shared" si="3"/>
        <v>63.79</v>
      </c>
      <c r="F28" s="815">
        <f>'0664'!F28:G28</f>
        <v>1.01</v>
      </c>
      <c r="G28" s="815"/>
      <c r="H28" s="112">
        <f t="shared" si="4"/>
        <v>64.427899999999994</v>
      </c>
      <c r="I28" s="113">
        <f t="shared" si="0"/>
        <v>293683.07</v>
      </c>
      <c r="N28" s="845" t="s">
        <v>119</v>
      </c>
      <c r="O28" s="845"/>
      <c r="P28" s="841">
        <f t="shared" si="1"/>
        <v>0</v>
      </c>
      <c r="Q28" s="841"/>
      <c r="R28" s="846">
        <v>1</v>
      </c>
      <c r="S28" s="846"/>
      <c r="T28" s="114">
        <f t="shared" si="5"/>
        <v>0</v>
      </c>
      <c r="U28" s="115">
        <f t="shared" si="2"/>
        <v>0</v>
      </c>
    </row>
    <row r="29" spans="1:21" x14ac:dyDescent="0.25">
      <c r="A29" s="828" t="s">
        <v>5</v>
      </c>
      <c r="B29" s="828"/>
      <c r="C29" s="113">
        <f>SUM(C13:C28)</f>
        <v>376.41999999999996</v>
      </c>
      <c r="D29" s="113">
        <f>SUM(D13:D28)</f>
        <v>355.34999999999997</v>
      </c>
      <c r="E29" s="116">
        <f>SUM(E13:E28)</f>
        <v>731.7700000000001</v>
      </c>
      <c r="F29" s="820"/>
      <c r="G29" s="820"/>
      <c r="H29" s="118">
        <f>SUM(H13:H28)</f>
        <v>741.62790000000007</v>
      </c>
      <c r="I29" s="113">
        <f>SUM(I13:I28)</f>
        <v>3380578.3099999996</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741.62790000000007</v>
      </c>
      <c r="F45" s="36"/>
      <c r="G45" s="128"/>
      <c r="H45" s="129" t="s">
        <v>131</v>
      </c>
      <c r="I45" s="113">
        <f>SUM(I43,I29)</f>
        <v>3380578.3099999996</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29.58</v>
      </c>
      <c r="D56" s="192">
        <v>29.31</v>
      </c>
      <c r="E56" s="147">
        <f t="shared" si="10"/>
        <v>58.89</v>
      </c>
      <c r="F56" s="143" t="s">
        <v>15</v>
      </c>
      <c r="G56" s="52">
        <v>251</v>
      </c>
      <c r="H56" s="485">
        <f>'0664'!H56</f>
        <v>835</v>
      </c>
      <c r="I56" s="120">
        <f t="shared" si="11"/>
        <v>49173.15</v>
      </c>
      <c r="N56" s="863"/>
      <c r="O56" s="863"/>
      <c r="P56" s="865"/>
      <c r="Q56" s="865"/>
      <c r="R56" s="45" t="s">
        <v>15</v>
      </c>
      <c r="S56" s="43">
        <v>251</v>
      </c>
      <c r="T56" s="138">
        <f t="shared" si="12"/>
        <v>835</v>
      </c>
      <c r="U56" s="139">
        <f t="shared" si="13"/>
        <v>0</v>
      </c>
    </row>
    <row r="57" spans="1:21" x14ac:dyDescent="0.25">
      <c r="A57" s="792"/>
      <c r="B57" s="792"/>
      <c r="C57" s="192">
        <v>4.45</v>
      </c>
      <c r="D57" s="192">
        <v>3.51</v>
      </c>
      <c r="E57" s="147">
        <f t="shared" si="10"/>
        <v>7.96</v>
      </c>
      <c r="F57" s="143" t="s">
        <v>15</v>
      </c>
      <c r="G57" s="52">
        <v>252</v>
      </c>
      <c r="H57" s="485">
        <f>'0664'!H57</f>
        <v>3168</v>
      </c>
      <c r="I57" s="120">
        <f t="shared" si="11"/>
        <v>25217.279999999999</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34.03</v>
      </c>
      <c r="D59" s="116">
        <f>SUM(D50:D58)</f>
        <v>32.82</v>
      </c>
      <c r="E59" s="116">
        <f>SUM(E50:E58)</f>
        <v>66.849999999999994</v>
      </c>
      <c r="F59" s="767" t="s">
        <v>78</v>
      </c>
      <c r="G59" s="767"/>
      <c r="H59" s="767"/>
      <c r="I59" s="116">
        <f>SUM(I50:I58)</f>
        <v>74390.429999999993</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731.7700000000001</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3.836E-3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741.62790000000007</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3.4580000000000001E-3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3.836E-3</v>
      </c>
      <c r="I68" s="120">
        <f>ROUND(F68*H68,2)</f>
        <v>161225.46</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3.836E-3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3.836E-3</v>
      </c>
      <c r="I71" s="120">
        <f>IF(D71="Y",ROUND(F71*H71,2),0)</f>
        <v>562.38</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3.836E-3</v>
      </c>
      <c r="I72" s="120">
        <f>ROUND(F72*H72,2)</f>
        <v>43492.22</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3.836E-3</v>
      </c>
      <c r="I73" s="120">
        <f>ROUND(F73*H73,2)</f>
        <v>53252.83</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3.836E-3</v>
      </c>
      <c r="I77" s="120">
        <f t="shared" ref="I77:I82" si="14">ROUND(F77*H77,2)</f>
        <v>28626.31</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3.836E-3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3.4580000000000001E-3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3.4580000000000001E-3</v>
      </c>
      <c r="I80" s="120">
        <f t="shared" si="14"/>
        <v>29610.12</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3.4580000000000001E-3</v>
      </c>
      <c r="I81" s="120">
        <f t="shared" si="14"/>
        <v>583237.43999999994</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3.4580000000000001E-3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143458.72</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3.836E-3</v>
      </c>
      <c r="I84" s="120">
        <f>ROUND(F84*H84,2)</f>
        <v>82912.62</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0</v>
      </c>
      <c r="D90" s="781"/>
      <c r="E90" s="54">
        <f>H8</f>
        <v>1.0424</v>
      </c>
      <c r="F90" s="545">
        <f>'0664'!F90</f>
        <v>923.19</v>
      </c>
      <c r="G90" s="186" t="s">
        <v>13</v>
      </c>
      <c r="H90" s="120">
        <f>ROUND(C90*E90*F90,2)</f>
        <v>0</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741.62790000000007</v>
      </c>
      <c r="D91" s="781"/>
      <c r="E91" s="54">
        <f>H8</f>
        <v>1.0424</v>
      </c>
      <c r="F91" s="545">
        <f>'0664'!F91</f>
        <v>925.42</v>
      </c>
      <c r="G91" s="186" t="s">
        <v>13</v>
      </c>
      <c r="H91" s="113">
        <f>ROUND(C91*E91*F91,2)</f>
        <v>715417.14</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741.62790000000007</v>
      </c>
      <c r="D92" s="782"/>
      <c r="E92" s="168"/>
      <c r="F92" s="168"/>
      <c r="G92" s="168"/>
      <c r="H92" s="169" t="s">
        <v>145</v>
      </c>
      <c r="I92" s="120">
        <f>IF(A1=75,0,H91+H90+H89)</f>
        <v>715417.14</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0</v>
      </c>
      <c r="D98" s="192">
        <v>253</v>
      </c>
      <c r="E98" s="147">
        <f>(C98+D98)/2</f>
        <v>126.5</v>
      </c>
      <c r="F98" s="173" t="s">
        <v>39</v>
      </c>
      <c r="G98" s="546">
        <f>'0664'!G98</f>
        <v>486</v>
      </c>
      <c r="I98" s="120">
        <f>ROUND(G98*E98,2)</f>
        <v>61479</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5358242.9799999995</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7"/>
      <c r="H118" s="188">
        <f>IF(H116=1,I116,I114)</f>
        <v>5358242.9799999995</v>
      </c>
      <c r="I118" s="113">
        <f>ROUND(IF(E29=0,0,IF(E29&gt;250,-(((250/E29)*H118)*IF(G118="H",0.02,0.05)),IF(G118="H",-0.02*H118,-0.05*H118))),2)</f>
        <v>-91528.81</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5266714.17</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-5257120.25</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9593.9199999999255</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9593.92</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176383.34</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78:P78"/>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N105:O105"/>
    <mergeCell ref="P105:Q105"/>
    <mergeCell ref="R105:S105"/>
    <mergeCell ref="P106:Q106"/>
    <mergeCell ref="R106:S106"/>
    <mergeCell ref="A98:B98"/>
    <mergeCell ref="N98:O98"/>
    <mergeCell ref="P98:R98"/>
    <mergeCell ref="A99:B99"/>
    <mergeCell ref="N99:O99"/>
    <mergeCell ref="P99:R99"/>
    <mergeCell ref="A102:C102"/>
    <mergeCell ref="F102:I102"/>
    <mergeCell ref="N102:U102"/>
    <mergeCell ref="N135:U135"/>
    <mergeCell ref="N115:U115"/>
    <mergeCell ref="N112:P112"/>
    <mergeCell ref="A112:C112"/>
    <mergeCell ref="F112:H112"/>
    <mergeCell ref="N113:T113"/>
    <mergeCell ref="A114:H114"/>
    <mergeCell ref="F111:H111"/>
    <mergeCell ref="N111:P111"/>
    <mergeCell ref="A11:B11"/>
    <mergeCell ref="A115:G115"/>
    <mergeCell ref="N116:U116"/>
    <mergeCell ref="A116:G116"/>
    <mergeCell ref="R108:S108"/>
    <mergeCell ref="A106:B106"/>
    <mergeCell ref="F106:G106"/>
    <mergeCell ref="N106:O106"/>
    <mergeCell ref="A111:C111"/>
    <mergeCell ref="A107:B107"/>
    <mergeCell ref="F107:G107"/>
    <mergeCell ref="N107:O107"/>
    <mergeCell ref="P107:Q107"/>
    <mergeCell ref="R107:S107"/>
    <mergeCell ref="A108:B108"/>
    <mergeCell ref="F108:G108"/>
    <mergeCell ref="N108:O108"/>
    <mergeCell ref="P108:Q108"/>
    <mergeCell ref="A109:B109"/>
    <mergeCell ref="N109:O109"/>
    <mergeCell ref="C103:E103"/>
    <mergeCell ref="F104:G104"/>
    <mergeCell ref="A105:B105"/>
    <mergeCell ref="F105:G105"/>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00"/>
  </sheetPr>
  <dimension ref="A1:U202"/>
  <sheetViews>
    <sheetView showGridLines="0" zoomScale="90" zoomScaleNormal="90" workbookViewId="0">
      <pane ySplit="1" topLeftCell="A89"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171</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3.47</v>
      </c>
      <c r="D15" s="192">
        <v>3.97</v>
      </c>
      <c r="E15" s="147">
        <f t="shared" si="3"/>
        <v>7.44</v>
      </c>
      <c r="F15" s="814">
        <f>'0664'!F15:G15</f>
        <v>1</v>
      </c>
      <c r="G15" s="814"/>
      <c r="H15" s="99">
        <f t="shared" si="4"/>
        <v>7.44</v>
      </c>
      <c r="I15" s="120">
        <f t="shared" si="0"/>
        <v>33913.910000000003</v>
      </c>
      <c r="N15" s="840" t="s">
        <v>31</v>
      </c>
      <c r="O15" s="840"/>
      <c r="P15" s="841">
        <f t="shared" si="1"/>
        <v>0</v>
      </c>
      <c r="Q15" s="841"/>
      <c r="R15" s="842">
        <v>1</v>
      </c>
      <c r="S15" s="842"/>
      <c r="T15" s="114">
        <f t="shared" si="5"/>
        <v>0</v>
      </c>
      <c r="U15" s="115">
        <f t="shared" si="2"/>
        <v>0</v>
      </c>
    </row>
    <row r="16" spans="1:21" x14ac:dyDescent="0.25">
      <c r="A16" s="764" t="s">
        <v>32</v>
      </c>
      <c r="B16" s="764"/>
      <c r="C16" s="192">
        <v>0.5</v>
      </c>
      <c r="D16" s="192">
        <v>0.5</v>
      </c>
      <c r="E16" s="147">
        <f t="shared" si="3"/>
        <v>1</v>
      </c>
      <c r="F16" s="814">
        <f>'0664'!F16:G16</f>
        <v>1</v>
      </c>
      <c r="G16" s="814"/>
      <c r="H16" s="99">
        <f t="shared" si="4"/>
        <v>1</v>
      </c>
      <c r="I16" s="120">
        <f t="shared" si="0"/>
        <v>4558.32</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44.61</v>
      </c>
      <c r="D17" s="192">
        <v>43.78</v>
      </c>
      <c r="E17" s="147">
        <f t="shared" si="3"/>
        <v>88.39</v>
      </c>
      <c r="F17" s="814">
        <f>'0664'!F17:G17</f>
        <v>1.01</v>
      </c>
      <c r="G17" s="814"/>
      <c r="H17" s="99">
        <f t="shared" si="4"/>
        <v>89.273899999999998</v>
      </c>
      <c r="I17" s="120">
        <f t="shared" si="0"/>
        <v>406939.13</v>
      </c>
      <c r="N17" s="840" t="s">
        <v>33</v>
      </c>
      <c r="O17" s="840"/>
      <c r="P17" s="841">
        <f t="shared" si="1"/>
        <v>0</v>
      </c>
      <c r="Q17" s="841"/>
      <c r="R17" s="842">
        <v>1</v>
      </c>
      <c r="S17" s="842"/>
      <c r="T17" s="114">
        <f t="shared" si="5"/>
        <v>0</v>
      </c>
      <c r="U17" s="115">
        <f t="shared" si="2"/>
        <v>0</v>
      </c>
    </row>
    <row r="18" spans="1:21" x14ac:dyDescent="0.25">
      <c r="A18" s="764" t="s">
        <v>34</v>
      </c>
      <c r="B18" s="764"/>
      <c r="C18" s="192">
        <v>14.16</v>
      </c>
      <c r="D18" s="192">
        <v>14.04</v>
      </c>
      <c r="E18" s="147">
        <f t="shared" si="3"/>
        <v>28.2</v>
      </c>
      <c r="F18" s="814">
        <f>'0664'!F18:G18</f>
        <v>1.01</v>
      </c>
      <c r="G18" s="814"/>
      <c r="H18" s="99">
        <f t="shared" si="4"/>
        <v>28.481999999999999</v>
      </c>
      <c r="I18" s="120">
        <f t="shared" si="0"/>
        <v>129830.11</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0.5</v>
      </c>
      <c r="D25" s="192">
        <v>0.5</v>
      </c>
      <c r="E25" s="147">
        <f t="shared" si="3"/>
        <v>1</v>
      </c>
      <c r="F25" s="814">
        <f>'0664'!F25:G25</f>
        <v>1.1990000000000001</v>
      </c>
      <c r="G25" s="814"/>
      <c r="H25" s="99">
        <f t="shared" si="4"/>
        <v>1.1990000000000001</v>
      </c>
      <c r="I25" s="120">
        <f t="shared" si="0"/>
        <v>5465.43</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147">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63.239999999999995</v>
      </c>
      <c r="D29" s="113">
        <f>SUM(D13:D28)</f>
        <v>62.79</v>
      </c>
      <c r="E29" s="116">
        <f>SUM(E13:E28)</f>
        <v>126.03</v>
      </c>
      <c r="F29" s="820"/>
      <c r="G29" s="820"/>
      <c r="H29" s="118">
        <f>SUM(H13:H28)</f>
        <v>127.39489999999999</v>
      </c>
      <c r="I29" s="113">
        <f>SUM(I13:I28)</f>
        <v>580706.9</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127.39489999999999</v>
      </c>
      <c r="F45" s="36"/>
      <c r="G45" s="128"/>
      <c r="H45" s="129" t="s">
        <v>131</v>
      </c>
      <c r="I45" s="113">
        <f>SUM(I43,I29)</f>
        <v>580706.9</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0.5</v>
      </c>
      <c r="D53" s="192">
        <v>0.5</v>
      </c>
      <c r="E53" s="147">
        <f t="shared" si="10"/>
        <v>1</v>
      </c>
      <c r="F53" s="143" t="s">
        <v>14</v>
      </c>
      <c r="G53" s="52">
        <v>251</v>
      </c>
      <c r="H53" s="485">
        <f>'0664'!H53</f>
        <v>1173</v>
      </c>
      <c r="I53" s="120">
        <f t="shared" si="11"/>
        <v>1173</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10.73</v>
      </c>
      <c r="D56" s="192">
        <v>10.81</v>
      </c>
      <c r="E56" s="147">
        <f t="shared" si="10"/>
        <v>21.54</v>
      </c>
      <c r="F56" s="143" t="s">
        <v>15</v>
      </c>
      <c r="G56" s="52">
        <v>251</v>
      </c>
      <c r="H56" s="485">
        <f>'0664'!H56</f>
        <v>835</v>
      </c>
      <c r="I56" s="120">
        <f t="shared" si="11"/>
        <v>17985.900000000001</v>
      </c>
      <c r="N56" s="863"/>
      <c r="O56" s="863"/>
      <c r="P56" s="865"/>
      <c r="Q56" s="865"/>
      <c r="R56" s="45" t="s">
        <v>15</v>
      </c>
      <c r="S56" s="43">
        <v>251</v>
      </c>
      <c r="T56" s="138">
        <f t="shared" si="12"/>
        <v>835</v>
      </c>
      <c r="U56" s="139">
        <f t="shared" si="13"/>
        <v>0</v>
      </c>
    </row>
    <row r="57" spans="1:21" x14ac:dyDescent="0.25">
      <c r="A57" s="792"/>
      <c r="B57" s="792"/>
      <c r="C57" s="192">
        <v>2.93</v>
      </c>
      <c r="D57" s="192">
        <v>2.83</v>
      </c>
      <c r="E57" s="147">
        <f t="shared" si="10"/>
        <v>5.76</v>
      </c>
      <c r="F57" s="143" t="s">
        <v>15</v>
      </c>
      <c r="G57" s="52">
        <v>252</v>
      </c>
      <c r="H57" s="485">
        <f>'0664'!H57</f>
        <v>3168</v>
      </c>
      <c r="I57" s="120">
        <f t="shared" si="11"/>
        <v>18247.68</v>
      </c>
      <c r="N57" s="863"/>
      <c r="O57" s="863"/>
      <c r="P57" s="865"/>
      <c r="Q57" s="865"/>
      <c r="R57" s="45" t="s">
        <v>15</v>
      </c>
      <c r="S57" s="43">
        <v>252</v>
      </c>
      <c r="T57" s="138">
        <f t="shared" si="12"/>
        <v>3168</v>
      </c>
      <c r="U57" s="139">
        <f t="shared" si="13"/>
        <v>0</v>
      </c>
    </row>
    <row r="58" spans="1:21" ht="16.5" thickBot="1" x14ac:dyDescent="0.3">
      <c r="A58" s="792"/>
      <c r="B58" s="792"/>
      <c r="C58" s="192">
        <v>0.5</v>
      </c>
      <c r="D58" s="192">
        <v>0.4</v>
      </c>
      <c r="E58" s="147">
        <f t="shared" si="10"/>
        <v>0.9</v>
      </c>
      <c r="F58" s="143" t="s">
        <v>15</v>
      </c>
      <c r="G58" s="52">
        <v>253</v>
      </c>
      <c r="H58" s="485">
        <f>'0664'!H58</f>
        <v>6685</v>
      </c>
      <c r="I58" s="120">
        <f t="shared" si="11"/>
        <v>6016.5</v>
      </c>
      <c r="N58" s="863"/>
      <c r="O58" s="863"/>
      <c r="P58" s="866"/>
      <c r="Q58" s="866"/>
      <c r="R58" s="45" t="s">
        <v>15</v>
      </c>
      <c r="S58" s="43">
        <v>253</v>
      </c>
      <c r="T58" s="138">
        <f t="shared" si="12"/>
        <v>6685</v>
      </c>
      <c r="U58" s="141">
        <f t="shared" si="13"/>
        <v>0</v>
      </c>
    </row>
    <row r="59" spans="1:21" ht="16.5" thickBot="1" x14ac:dyDescent="0.3">
      <c r="A59" s="767" t="s">
        <v>16</v>
      </c>
      <c r="B59" s="767"/>
      <c r="C59" s="116">
        <f>SUM(C50:C58)</f>
        <v>14.66</v>
      </c>
      <c r="D59" s="116">
        <f>SUM(D50:D58)</f>
        <v>14.540000000000001</v>
      </c>
      <c r="E59" s="116">
        <f>SUM(E50:E58)</f>
        <v>29.199999999999996</v>
      </c>
      <c r="F59" s="767" t="s">
        <v>78</v>
      </c>
      <c r="G59" s="767"/>
      <c r="H59" s="767"/>
      <c r="I59" s="116">
        <f>SUM(I50:I58)</f>
        <v>43423.08</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126.03</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6.6100000000000002E-4</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127.39489999999999</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5.9400000000000002E-4</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6.6100000000000002E-4</v>
      </c>
      <c r="I68" s="120">
        <f>ROUND(F68*H68,2)</f>
        <v>27781.55</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6.6100000000000002E-4</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6.6100000000000002E-4</v>
      </c>
      <c r="I71" s="120">
        <f>IF(D71="Y",ROUND(F71*H71,2),0)</f>
        <v>96.91</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6.6100000000000002E-4</v>
      </c>
      <c r="I72" s="120">
        <f>ROUND(F72*H72,2)</f>
        <v>7494.36</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6.6100000000000002E-4</v>
      </c>
      <c r="I73" s="120">
        <f>ROUND(F73*H73,2)</f>
        <v>9176.26</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6.6100000000000002E-4</v>
      </c>
      <c r="I77" s="120">
        <f t="shared" ref="I77:I82" si="14">ROUND(F77*H77,2)</f>
        <v>4932.74</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6.6100000000000002E-4</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5.9400000000000002E-4</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5.9400000000000002E-4</v>
      </c>
      <c r="I80" s="120">
        <f t="shared" si="14"/>
        <v>5086.3</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5.9400000000000002E-4</v>
      </c>
      <c r="I81" s="120">
        <f t="shared" si="14"/>
        <v>100185.96</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5.9400000000000002E-4</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21944.86</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6.6100000000000002E-4</v>
      </c>
      <c r="I84" s="120">
        <f>ROUND(F84*H84,2)</f>
        <v>14287.08</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1.1990000000000001</v>
      </c>
      <c r="D89" s="781"/>
      <c r="E89" s="54">
        <f>H8</f>
        <v>1.0424</v>
      </c>
      <c r="F89" s="545">
        <f>'0664'!F89</f>
        <v>966.9</v>
      </c>
      <c r="G89" s="186" t="s">
        <v>13</v>
      </c>
      <c r="H89" s="120">
        <f>ROUND(C89*E89*F89,2)</f>
        <v>1208.47</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8.4400000000000013</v>
      </c>
      <c r="D90" s="781"/>
      <c r="E90" s="54">
        <f>H8</f>
        <v>1.0424</v>
      </c>
      <c r="F90" s="545">
        <f>'0664'!F90</f>
        <v>923.19</v>
      </c>
      <c r="G90" s="186" t="s">
        <v>13</v>
      </c>
      <c r="H90" s="120">
        <f>ROUND(C90*E90*F90,2)</f>
        <v>8122.09</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117.7559</v>
      </c>
      <c r="D91" s="781"/>
      <c r="E91" s="54">
        <f>H8</f>
        <v>1.0424</v>
      </c>
      <c r="F91" s="545">
        <f>'0664'!F91</f>
        <v>925.42</v>
      </c>
      <c r="G91" s="186" t="s">
        <v>13</v>
      </c>
      <c r="H91" s="113">
        <f>ROUND(C91*E91*F91,2)</f>
        <v>113594.15</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127.39489999999999</v>
      </c>
      <c r="D92" s="782"/>
      <c r="E92" s="168"/>
      <c r="F92" s="168"/>
      <c r="G92" s="168"/>
      <c r="H92" s="169" t="s">
        <v>145</v>
      </c>
      <c r="I92" s="120">
        <f>IF(A1=75,0,H91+H90+H89)</f>
        <v>122924.70999999999</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66</v>
      </c>
      <c r="D98" s="192">
        <v>70</v>
      </c>
      <c r="E98" s="147">
        <f>(C98+D98)/2</f>
        <v>68</v>
      </c>
      <c r="F98" s="173" t="s">
        <v>39</v>
      </c>
      <c r="G98" s="546">
        <f>'0664'!G98</f>
        <v>486</v>
      </c>
      <c r="I98" s="120">
        <f>ROUND(G98*E98,2)</f>
        <v>33048</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971088.71</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971088.71</v>
      </c>
      <c r="I118" s="113">
        <f>ROUND(IF(E29=0,0,IF(E29&gt;250,-(((250/E29)*H118)*IF(G118="H",0.02,0.05)),IF(G118="H",-0.02*H118,-0.05*H118))),2)</f>
        <v>-48554.44</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922534.27</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-919495.96</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3038.3100000000559</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3038.31</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0</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A13:B13"/>
    <mergeCell ref="F13:G13"/>
    <mergeCell ref="A12:B12"/>
    <mergeCell ref="F12:G12"/>
    <mergeCell ref="N13:O13"/>
    <mergeCell ref="P13:Q13"/>
    <mergeCell ref="F15:G15"/>
    <mergeCell ref="N15:O15"/>
    <mergeCell ref="A16:B16"/>
    <mergeCell ref="F16:G16"/>
    <mergeCell ref="N16:O16"/>
    <mergeCell ref="P16:Q16"/>
    <mergeCell ref="A19:B19"/>
    <mergeCell ref="F19:G19"/>
    <mergeCell ref="N19:O19"/>
    <mergeCell ref="P19:Q19"/>
    <mergeCell ref="A22:B22"/>
    <mergeCell ref="F22:G22"/>
    <mergeCell ref="N22:O22"/>
    <mergeCell ref="P22:Q22"/>
    <mergeCell ref="A25:B25"/>
    <mergeCell ref="F25:G25"/>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4:B14"/>
    <mergeCell ref="F14:G14"/>
    <mergeCell ref="N14:O14"/>
    <mergeCell ref="P14:Q14"/>
    <mergeCell ref="R14:S14"/>
    <mergeCell ref="P15:Q15"/>
    <mergeCell ref="R15:S15"/>
    <mergeCell ref="A15:B15"/>
    <mergeCell ref="R16:S16"/>
    <mergeCell ref="A17:B17"/>
    <mergeCell ref="F17:G17"/>
    <mergeCell ref="N17:O17"/>
    <mergeCell ref="P17:Q17"/>
    <mergeCell ref="R17:S17"/>
    <mergeCell ref="A18:B18"/>
    <mergeCell ref="F18:G18"/>
    <mergeCell ref="N18:O18"/>
    <mergeCell ref="P18:Q18"/>
    <mergeCell ref="R18:S18"/>
    <mergeCell ref="R19:S19"/>
    <mergeCell ref="A20:B20"/>
    <mergeCell ref="F20:G20"/>
    <mergeCell ref="N20:O20"/>
    <mergeCell ref="P20:Q20"/>
    <mergeCell ref="R20:S20"/>
    <mergeCell ref="A21:B21"/>
    <mergeCell ref="F21:G21"/>
    <mergeCell ref="N21:O21"/>
    <mergeCell ref="P21:Q21"/>
    <mergeCell ref="R21:S21"/>
    <mergeCell ref="R22:S22"/>
    <mergeCell ref="A23:B23"/>
    <mergeCell ref="F23:G23"/>
    <mergeCell ref="N23:O23"/>
    <mergeCell ref="P23:Q23"/>
    <mergeCell ref="R23:S23"/>
    <mergeCell ref="A24:B24"/>
    <mergeCell ref="F24:G24"/>
    <mergeCell ref="N24:O24"/>
    <mergeCell ref="P24:Q24"/>
    <mergeCell ref="R24:S24"/>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FF00"/>
  </sheetPr>
  <dimension ref="A1:U202"/>
  <sheetViews>
    <sheetView showGridLines="0" zoomScale="90" zoomScaleNormal="90" workbookViewId="0">
      <pane ySplit="1" topLeftCell="A101"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161</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44.47</v>
      </c>
      <c r="D18" s="192">
        <v>47.27</v>
      </c>
      <c r="E18" s="147">
        <f t="shared" si="3"/>
        <v>91.740000000000009</v>
      </c>
      <c r="F18" s="814">
        <f>'0664'!F18:G18</f>
        <v>1.01</v>
      </c>
      <c r="G18" s="814"/>
      <c r="H18" s="99">
        <f t="shared" si="4"/>
        <v>92.657399999999996</v>
      </c>
      <c r="I18" s="120">
        <f t="shared" si="0"/>
        <v>422362.21</v>
      </c>
      <c r="J18" s="81" t="str">
        <f>IF(ROUND(E18,2)=ROUND(SUM(E56:E58),2)," ","CHECK 4-8 LINES BELOW")</f>
        <v xml:space="preserve"> </v>
      </c>
      <c r="N18" s="840" t="s">
        <v>34</v>
      </c>
      <c r="O18" s="840"/>
      <c r="P18" s="841">
        <f t="shared" si="1"/>
        <v>91.740000000000009</v>
      </c>
      <c r="Q18" s="841"/>
      <c r="R18" s="842">
        <v>1</v>
      </c>
      <c r="S18" s="842"/>
      <c r="T18" s="114">
        <f t="shared" si="5"/>
        <v>91.74</v>
      </c>
      <c r="U18" s="117">
        <f t="shared" si="2"/>
        <v>418180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44.47</v>
      </c>
      <c r="D29" s="113">
        <f>SUM(D13:D28)</f>
        <v>47.27</v>
      </c>
      <c r="E29" s="113">
        <f>SUM(E13:E28)</f>
        <v>91.740000000000009</v>
      </c>
      <c r="F29" s="820"/>
      <c r="G29" s="820"/>
      <c r="H29" s="118">
        <f>SUM(H13:H28)</f>
        <v>92.657399999999996</v>
      </c>
      <c r="I29" s="113">
        <f>SUM(I13:I28)</f>
        <v>422362.21</v>
      </c>
      <c r="N29" s="850" t="s">
        <v>5</v>
      </c>
      <c r="O29" s="850"/>
      <c r="P29" s="851">
        <f>SUM(P13:P28)</f>
        <v>91.740000000000009</v>
      </c>
      <c r="Q29" s="851"/>
      <c r="R29" s="852"/>
      <c r="S29" s="852"/>
      <c r="T29" s="119">
        <f>SUM(T13:T28)</f>
        <v>91.74</v>
      </c>
      <c r="U29" s="115">
        <f>SUM(U13:U28)</f>
        <v>418180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92.657399999999996</v>
      </c>
      <c r="F45" s="36"/>
      <c r="G45" s="128"/>
      <c r="H45" s="129" t="s">
        <v>131</v>
      </c>
      <c r="I45" s="113">
        <f>SUM(I43,I29)</f>
        <v>422362.21</v>
      </c>
      <c r="N45" s="855" t="s">
        <v>56</v>
      </c>
      <c r="O45" s="855"/>
      <c r="P45" s="855"/>
      <c r="Q45" s="855"/>
      <c r="R45" s="37">
        <f>R43+T29</f>
        <v>91.74</v>
      </c>
      <c r="S45" s="852" t="s">
        <v>54</v>
      </c>
      <c r="T45" s="852"/>
      <c r="U45" s="130">
        <f>SUM(U43,U29)</f>
        <v>418180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23.48</v>
      </c>
      <c r="D57" s="192">
        <v>28.9</v>
      </c>
      <c r="E57" s="147">
        <f t="shared" si="10"/>
        <v>52.379999999999995</v>
      </c>
      <c r="F57" s="143" t="s">
        <v>15</v>
      </c>
      <c r="G57" s="52">
        <v>252</v>
      </c>
      <c r="H57" s="485">
        <f>'0664'!H57</f>
        <v>3168</v>
      </c>
      <c r="I57" s="120">
        <f t="shared" si="11"/>
        <v>165939.84</v>
      </c>
      <c r="N57" s="863"/>
      <c r="O57" s="863"/>
      <c r="P57" s="865"/>
      <c r="Q57" s="865"/>
      <c r="R57" s="45" t="s">
        <v>15</v>
      </c>
      <c r="S57" s="43">
        <v>252</v>
      </c>
      <c r="T57" s="138">
        <f t="shared" si="12"/>
        <v>3168</v>
      </c>
      <c r="U57" s="139">
        <f t="shared" si="13"/>
        <v>0</v>
      </c>
    </row>
    <row r="58" spans="1:21" ht="16.5" thickBot="1" x14ac:dyDescent="0.3">
      <c r="A58" s="792"/>
      <c r="B58" s="792"/>
      <c r="C58" s="192">
        <v>20.99</v>
      </c>
      <c r="D58" s="192">
        <v>18.37</v>
      </c>
      <c r="E58" s="147">
        <f t="shared" si="10"/>
        <v>39.36</v>
      </c>
      <c r="F58" s="143" t="s">
        <v>15</v>
      </c>
      <c r="G58" s="52">
        <v>253</v>
      </c>
      <c r="H58" s="485">
        <f>'0664'!H58</f>
        <v>6685</v>
      </c>
      <c r="I58" s="120">
        <f t="shared" si="11"/>
        <v>263121.59999999998</v>
      </c>
      <c r="N58" s="863"/>
      <c r="O58" s="863"/>
      <c r="P58" s="866"/>
      <c r="Q58" s="866"/>
      <c r="R58" s="45" t="s">
        <v>15</v>
      </c>
      <c r="S58" s="43">
        <v>253</v>
      </c>
      <c r="T58" s="138">
        <f t="shared" si="12"/>
        <v>6685</v>
      </c>
      <c r="U58" s="141">
        <f t="shared" si="13"/>
        <v>0</v>
      </c>
    </row>
    <row r="59" spans="1:21" ht="16.5" thickBot="1" x14ac:dyDescent="0.3">
      <c r="A59" s="767" t="s">
        <v>16</v>
      </c>
      <c r="B59" s="767"/>
      <c r="C59" s="116">
        <f>SUM(C50:C58)</f>
        <v>44.47</v>
      </c>
      <c r="D59" s="116">
        <f>SUM(D50:D58)</f>
        <v>47.269999999999996</v>
      </c>
      <c r="E59" s="116">
        <f>SUM(E50:E58)</f>
        <v>91.74</v>
      </c>
      <c r="F59" s="767" t="s">
        <v>78</v>
      </c>
      <c r="G59" s="767"/>
      <c r="H59" s="767"/>
      <c r="I59" s="116">
        <f>SUM(I50:I58)</f>
        <v>429061.43999999994</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91.740000000000009</v>
      </c>
      <c r="D62" s="882" t="s">
        <v>137</v>
      </c>
      <c r="E62" s="882"/>
      <c r="F62" s="882"/>
      <c r="G62" s="882"/>
      <c r="H62" s="542">
        <f>'0664'!H62</f>
        <v>190754.06</v>
      </c>
      <c r="I62" s="144"/>
      <c r="N62" s="860" t="s">
        <v>327</v>
      </c>
      <c r="O62" s="840"/>
      <c r="P62" s="46">
        <f>P29</f>
        <v>91.740000000000009</v>
      </c>
      <c r="Q62" s="861" t="s">
        <v>79</v>
      </c>
      <c r="R62" s="861"/>
      <c r="S62" s="861"/>
      <c r="T62" s="862">
        <f>H62</f>
        <v>190754.06</v>
      </c>
      <c r="U62" s="862"/>
    </row>
    <row r="63" spans="1:21" x14ac:dyDescent="0.25">
      <c r="B63" s="86"/>
      <c r="G63" s="47" t="s">
        <v>13</v>
      </c>
      <c r="H63" s="145">
        <f>ROUND(C62/H62,6)</f>
        <v>4.8099999999999998E-4</v>
      </c>
      <c r="I63" s="146"/>
      <c r="N63" s="840" t="s">
        <v>19</v>
      </c>
      <c r="O63" s="840"/>
      <c r="P63" s="840"/>
      <c r="Q63" s="840"/>
      <c r="R63" s="840"/>
      <c r="S63" s="840"/>
      <c r="T63" s="868">
        <f>ROUND(P62/T62,6)</f>
        <v>4.8099999999999998E-4</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92.657399999999996</v>
      </c>
      <c r="D65" s="882" t="s">
        <v>142</v>
      </c>
      <c r="E65" s="882"/>
      <c r="F65" s="882"/>
      <c r="G65" s="882"/>
      <c r="H65" s="543">
        <f>'0664'!H65</f>
        <v>214462.41</v>
      </c>
      <c r="I65" s="147"/>
      <c r="N65" s="840" t="s">
        <v>81</v>
      </c>
      <c r="O65" s="840"/>
      <c r="P65" s="46">
        <f>R45</f>
        <v>91.74</v>
      </c>
      <c r="Q65" s="861" t="s">
        <v>80</v>
      </c>
      <c r="R65" s="861"/>
      <c r="S65" s="861"/>
      <c r="T65" s="862">
        <f>H65</f>
        <v>214462.41</v>
      </c>
      <c r="U65" s="862"/>
    </row>
    <row r="66" spans="1:21" s="38" customFormat="1" x14ac:dyDescent="0.25">
      <c r="A66" s="148"/>
      <c r="G66" s="48" t="s">
        <v>13</v>
      </c>
      <c r="H66" s="149">
        <f>ROUND(C65/H65,6)</f>
        <v>4.3199999999999998E-4</v>
      </c>
      <c r="I66" s="149"/>
      <c r="N66" s="845" t="s">
        <v>20</v>
      </c>
      <c r="O66" s="845"/>
      <c r="P66" s="845"/>
      <c r="Q66" s="845"/>
      <c r="R66" s="845"/>
      <c r="S66" s="845"/>
      <c r="T66" s="867">
        <f>ROUND(P65/T65,6)</f>
        <v>4.28E-4</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4.8099999999999998E-4</v>
      </c>
      <c r="I68" s="120">
        <f>ROUND(F68*H68,2)</f>
        <v>20216.23</v>
      </c>
      <c r="N68" s="840" t="s">
        <v>87</v>
      </c>
      <c r="O68" s="840"/>
      <c r="P68" s="840"/>
      <c r="Q68" s="50"/>
      <c r="R68" s="156">
        <f>F68</f>
        <v>42029577</v>
      </c>
      <c r="S68" s="42" t="s">
        <v>6</v>
      </c>
      <c r="T68" s="157">
        <f>T63</f>
        <v>4.8099999999999998E-4</v>
      </c>
      <c r="U68" s="115">
        <f>ROUND(R68*T68,0)</f>
        <v>20216</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4.8099999999999998E-4</v>
      </c>
      <c r="I70" s="120">
        <f>ROUND(F70*H70,2)</f>
        <v>0</v>
      </c>
      <c r="N70" s="51"/>
      <c r="O70" s="51"/>
      <c r="P70" s="51"/>
      <c r="Q70" s="50"/>
      <c r="R70" s="156">
        <f>F70</f>
        <v>0</v>
      </c>
      <c r="S70" s="42" t="s">
        <v>6</v>
      </c>
      <c r="T70" s="157">
        <f>T63</f>
        <v>4.8099999999999998E-4</v>
      </c>
      <c r="U70" s="115">
        <f>ROUND(R70*T70,0)</f>
        <v>0</v>
      </c>
    </row>
    <row r="71" spans="1:21" x14ac:dyDescent="0.25">
      <c r="A71" s="764" t="s">
        <v>85</v>
      </c>
      <c r="B71" s="764"/>
      <c r="C71" s="764"/>
      <c r="D71" s="556" t="s">
        <v>358</v>
      </c>
      <c r="E71" s="610" t="s">
        <v>372</v>
      </c>
      <c r="F71" s="544">
        <f>'0664'!F71</f>
        <v>146607</v>
      </c>
      <c r="G71" s="40" t="s">
        <v>6</v>
      </c>
      <c r="H71" s="155">
        <f>H63</f>
        <v>4.8099999999999998E-4</v>
      </c>
      <c r="I71" s="120">
        <f>IF(D71="Y",ROUND(F71*H71,2),0)</f>
        <v>70.52</v>
      </c>
      <c r="N71" s="840" t="s">
        <v>85</v>
      </c>
      <c r="O71" s="840"/>
      <c r="P71" s="840"/>
      <c r="Q71" s="50"/>
      <c r="R71" s="156">
        <f>F71</f>
        <v>146607</v>
      </c>
      <c r="S71" s="42" t="s">
        <v>6</v>
      </c>
      <c r="T71" s="157">
        <f>T63</f>
        <v>4.8099999999999998E-4</v>
      </c>
      <c r="U71" s="115">
        <f>ROUND(R71*T71,0)</f>
        <v>71</v>
      </c>
    </row>
    <row r="72" spans="1:21" x14ac:dyDescent="0.25">
      <c r="A72" s="764" t="s">
        <v>84</v>
      </c>
      <c r="B72" s="764"/>
      <c r="C72" s="764"/>
      <c r="D72" s="86"/>
      <c r="E72" s="71" t="s">
        <v>3</v>
      </c>
      <c r="F72" s="544">
        <f>'0664'!F72</f>
        <v>11337910</v>
      </c>
      <c r="G72" s="40" t="s">
        <v>6</v>
      </c>
      <c r="H72" s="155">
        <f>H63</f>
        <v>4.8099999999999998E-4</v>
      </c>
      <c r="I72" s="120">
        <f>ROUND(F72*H72,2)</f>
        <v>5453.53</v>
      </c>
      <c r="N72" s="840" t="s">
        <v>84</v>
      </c>
      <c r="O72" s="840"/>
      <c r="P72" s="840"/>
      <c r="Q72" s="50"/>
      <c r="R72" s="156">
        <f>F72</f>
        <v>11337910</v>
      </c>
      <c r="S72" s="42" t="s">
        <v>6</v>
      </c>
      <c r="T72" s="157">
        <f>T63</f>
        <v>4.8099999999999998E-4</v>
      </c>
      <c r="U72" s="115">
        <f>ROUND(R72*T72,0)</f>
        <v>5454</v>
      </c>
    </row>
    <row r="73" spans="1:21" x14ac:dyDescent="0.25">
      <c r="A73" s="764" t="s">
        <v>83</v>
      </c>
      <c r="B73" s="764"/>
      <c r="C73" s="764"/>
      <c r="D73" s="86"/>
      <c r="E73" s="71" t="s">
        <v>3</v>
      </c>
      <c r="F73" s="544">
        <f>'0664'!F73</f>
        <v>13882385</v>
      </c>
      <c r="G73" s="40" t="s">
        <v>6</v>
      </c>
      <c r="H73" s="155">
        <f>H63</f>
        <v>4.8099999999999998E-4</v>
      </c>
      <c r="I73" s="120">
        <f>ROUND(F73*H73,2)</f>
        <v>6677.43</v>
      </c>
      <c r="N73" s="840" t="s">
        <v>83</v>
      </c>
      <c r="O73" s="840"/>
      <c r="P73" s="840"/>
      <c r="Q73" s="50"/>
      <c r="R73" s="159">
        <f>F73</f>
        <v>13882385</v>
      </c>
      <c r="S73" s="42" t="s">
        <v>6</v>
      </c>
      <c r="T73" s="157">
        <f>T63</f>
        <v>4.8099999999999998E-4</v>
      </c>
      <c r="U73" s="115">
        <f>ROUND(R73*T73,0)</f>
        <v>6677</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4.8099999999999998E-4</v>
      </c>
      <c r="I77" s="120">
        <f t="shared" ref="I77:I82" si="14">ROUND(F77*H77,2)</f>
        <v>3589.48</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4.8099999999999998E-4</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4.3199999999999998E-4</v>
      </c>
      <c r="I79" s="120">
        <f t="shared" si="14"/>
        <v>0</v>
      </c>
      <c r="N79" s="860" t="s">
        <v>414</v>
      </c>
      <c r="O79" s="840"/>
      <c r="P79" s="840"/>
      <c r="Q79" s="50"/>
      <c r="R79" s="159">
        <f t="shared" si="15"/>
        <v>0</v>
      </c>
      <c r="S79" s="42" t="s">
        <v>6</v>
      </c>
      <c r="T79" s="157">
        <f>T66</f>
        <v>4.28E-4</v>
      </c>
      <c r="U79" s="115">
        <f t="shared" si="16"/>
        <v>0</v>
      </c>
    </row>
    <row r="80" spans="1:21" x14ac:dyDescent="0.25">
      <c r="A80" s="765" t="s">
        <v>415</v>
      </c>
      <c r="B80" s="764"/>
      <c r="C80" s="764"/>
      <c r="D80" s="86"/>
      <c r="E80" s="71" t="s">
        <v>4</v>
      </c>
      <c r="F80" s="544">
        <f>'0664'!F80</f>
        <v>8562788</v>
      </c>
      <c r="G80" s="40" t="s">
        <v>6</v>
      </c>
      <c r="H80" s="155">
        <f>H66</f>
        <v>4.3199999999999998E-4</v>
      </c>
      <c r="I80" s="120">
        <f t="shared" si="14"/>
        <v>3699.12</v>
      </c>
      <c r="N80" s="860" t="s">
        <v>415</v>
      </c>
      <c r="O80" s="840"/>
      <c r="P80" s="840"/>
      <c r="Q80" s="50"/>
      <c r="R80" s="159">
        <f t="shared" si="15"/>
        <v>8562788</v>
      </c>
      <c r="S80" s="42" t="s">
        <v>6</v>
      </c>
      <c r="T80" s="157">
        <f>T66</f>
        <v>4.28E-4</v>
      </c>
      <c r="U80" s="115">
        <f t="shared" si="16"/>
        <v>3665</v>
      </c>
    </row>
    <row r="81" spans="1:21" x14ac:dyDescent="0.25">
      <c r="A81" s="765" t="s">
        <v>419</v>
      </c>
      <c r="B81" s="764"/>
      <c r="C81" s="764"/>
      <c r="D81" s="86"/>
      <c r="E81" s="71" t="s">
        <v>4</v>
      </c>
      <c r="F81" s="544">
        <f>'0664'!F81</f>
        <v>168663228</v>
      </c>
      <c r="G81" s="40" t="s">
        <v>6</v>
      </c>
      <c r="H81" s="155">
        <f>H66</f>
        <v>4.3199999999999998E-4</v>
      </c>
      <c r="I81" s="120">
        <f t="shared" si="14"/>
        <v>72862.509999999995</v>
      </c>
      <c r="N81" s="860" t="s">
        <v>419</v>
      </c>
      <c r="O81" s="840"/>
      <c r="P81" s="840"/>
      <c r="Q81" s="50"/>
      <c r="R81" s="159">
        <f t="shared" si="15"/>
        <v>168663228</v>
      </c>
      <c r="S81" s="42" t="s">
        <v>6</v>
      </c>
      <c r="T81" s="157">
        <f>T66</f>
        <v>4.28E-4</v>
      </c>
      <c r="U81" s="115">
        <f t="shared" si="16"/>
        <v>72188</v>
      </c>
    </row>
    <row r="82" spans="1:21" x14ac:dyDescent="0.25">
      <c r="A82" s="765" t="s">
        <v>420</v>
      </c>
      <c r="B82" s="764"/>
      <c r="C82" s="764"/>
      <c r="D82" s="86"/>
      <c r="E82" s="71" t="s">
        <v>4</v>
      </c>
      <c r="F82" s="544">
        <f>'0664'!F82</f>
        <v>0</v>
      </c>
      <c r="G82" s="40" t="s">
        <v>6</v>
      </c>
      <c r="H82" s="155">
        <f>H66</f>
        <v>4.3199999999999998E-4</v>
      </c>
      <c r="I82" s="120">
        <f t="shared" si="14"/>
        <v>0</v>
      </c>
      <c r="N82" s="860" t="s">
        <v>420</v>
      </c>
      <c r="O82" s="840"/>
      <c r="P82" s="840"/>
      <c r="Q82" s="50"/>
      <c r="R82" s="156">
        <f t="shared" si="15"/>
        <v>0</v>
      </c>
      <c r="S82" s="42" t="s">
        <v>6</v>
      </c>
      <c r="T82" s="157">
        <f>T66</f>
        <v>4.28E-4</v>
      </c>
      <c r="U82" s="115">
        <f t="shared" si="16"/>
        <v>0</v>
      </c>
    </row>
    <row r="83" spans="1:21" x14ac:dyDescent="0.25">
      <c r="A83" s="717" t="s">
        <v>425</v>
      </c>
      <c r="B83" s="443"/>
      <c r="C83" s="443"/>
      <c r="D83" s="443"/>
      <c r="E83" s="683" t="s">
        <v>45</v>
      </c>
      <c r="F83" s="544"/>
      <c r="G83" s="445"/>
      <c r="H83" s="155"/>
      <c r="I83" s="120">
        <v>20232.849999999999</v>
      </c>
      <c r="N83" s="719" t="s">
        <v>425</v>
      </c>
      <c r="O83" s="444"/>
      <c r="P83" s="444"/>
      <c r="Q83" s="50"/>
      <c r="R83" s="159">
        <f t="shared" si="15"/>
        <v>0</v>
      </c>
      <c r="S83" s="446" t="s">
        <v>6</v>
      </c>
      <c r="T83" s="157">
        <f>T66</f>
        <v>4.28E-4</v>
      </c>
      <c r="U83" s="115">
        <f>IF($H$116=1,I83,0)</f>
        <v>20232.849999999999</v>
      </c>
    </row>
    <row r="84" spans="1:21" x14ac:dyDescent="0.25">
      <c r="A84" s="765" t="s">
        <v>457</v>
      </c>
      <c r="B84" s="764"/>
      <c r="C84" s="764"/>
      <c r="D84" s="744"/>
      <c r="E84" s="747" t="s">
        <v>3</v>
      </c>
      <c r="F84" s="544">
        <f>'0664'!F84</f>
        <v>21614343</v>
      </c>
      <c r="G84" s="749" t="s">
        <v>6</v>
      </c>
      <c r="H84" s="155">
        <f>H63</f>
        <v>4.8099999999999998E-4</v>
      </c>
      <c r="I84" s="120">
        <f>ROUND(F84*H84,2)</f>
        <v>10396.5</v>
      </c>
      <c r="N84" s="860" t="s">
        <v>457</v>
      </c>
      <c r="O84" s="840"/>
      <c r="P84" s="840"/>
      <c r="Q84" s="50"/>
      <c r="R84" s="156">
        <f>F84</f>
        <v>21614343</v>
      </c>
      <c r="S84" s="751" t="s">
        <v>6</v>
      </c>
      <c r="T84" s="157">
        <f>T68</f>
        <v>4.8099999999999998E-4</v>
      </c>
      <c r="U84" s="115">
        <f>ROUND(R84*T84,0)</f>
        <v>10396</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0</v>
      </c>
      <c r="D90" s="781"/>
      <c r="E90" s="54">
        <f>H8</f>
        <v>1.0424</v>
      </c>
      <c r="F90" s="545">
        <f>'0664'!F90</f>
        <v>923.19</v>
      </c>
      <c r="G90" s="186" t="s">
        <v>13</v>
      </c>
      <c r="H90" s="120">
        <f>ROUND(C90*E90*F90,2)</f>
        <v>0</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92.657399999999996</v>
      </c>
      <c r="D91" s="781"/>
      <c r="E91" s="54">
        <f>H8</f>
        <v>1.0424</v>
      </c>
      <c r="F91" s="545">
        <f>'0664'!F91</f>
        <v>925.42</v>
      </c>
      <c r="G91" s="186" t="s">
        <v>13</v>
      </c>
      <c r="H91" s="113">
        <f>ROUND(C91*E91*F91,2)</f>
        <v>89382.68</v>
      </c>
      <c r="I91" s="61"/>
      <c r="N91" s="65" t="s">
        <v>15</v>
      </c>
      <c r="O91" s="66">
        <f>T17+T18+T21+T24+T27+T28</f>
        <v>91.74</v>
      </c>
      <c r="P91" s="875">
        <f>T8</f>
        <v>1.0424</v>
      </c>
      <c r="Q91" s="875"/>
      <c r="R91" s="58">
        <f>F91</f>
        <v>925.42</v>
      </c>
      <c r="S91" s="59" t="s">
        <v>13</v>
      </c>
      <c r="T91" s="159">
        <f>ROUND(O91*P91*R91,0)</f>
        <v>88498</v>
      </c>
      <c r="U91" s="63"/>
    </row>
    <row r="92" spans="1:21" ht="16.5" thickBot="1" x14ac:dyDescent="0.3">
      <c r="A92" s="67"/>
      <c r="B92" s="167" t="s">
        <v>147</v>
      </c>
      <c r="C92" s="782">
        <f>SUM(C89:C91)</f>
        <v>92.657399999999996</v>
      </c>
      <c r="D92" s="782"/>
      <c r="E92" s="168"/>
      <c r="F92" s="168"/>
      <c r="G92" s="168"/>
      <c r="H92" s="169" t="s">
        <v>145</v>
      </c>
      <c r="I92" s="120">
        <f>IF(A1=75,0,H91+H90+H89)</f>
        <v>89382.68</v>
      </c>
      <c r="N92" s="70" t="s">
        <v>122</v>
      </c>
      <c r="O92" s="69">
        <f>SUM(O89:O91)</f>
        <v>91.74</v>
      </c>
      <c r="P92" s="876" t="s">
        <v>18</v>
      </c>
      <c r="Q92" s="877"/>
      <c r="R92" s="877"/>
      <c r="S92" s="877"/>
      <c r="T92" s="877"/>
      <c r="U92" s="115">
        <f>IF(N1=75,0,T91+T90+T89)</f>
        <v>88498</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43</v>
      </c>
      <c r="D98" s="192">
        <v>45</v>
      </c>
      <c r="E98" s="147">
        <f>(C98+D98)/2</f>
        <v>44</v>
      </c>
      <c r="F98" s="173" t="s">
        <v>39</v>
      </c>
      <c r="G98" s="546">
        <f>'0664'!G98</f>
        <v>486</v>
      </c>
      <c r="I98" s="120">
        <f>ROUND(G98*E98,2)</f>
        <v>21384</v>
      </c>
      <c r="N98" s="873" t="s">
        <v>66</v>
      </c>
      <c r="O98" s="873"/>
      <c r="P98" s="874">
        <f>IF(H116=1,E98,0)</f>
        <v>44</v>
      </c>
      <c r="Q98" s="874"/>
      <c r="R98" s="874"/>
      <c r="S98" s="102" t="s">
        <v>39</v>
      </c>
      <c r="T98" s="72">
        <f>G98</f>
        <v>486</v>
      </c>
      <c r="U98" s="115">
        <f>ROUND(T98*P98,0)</f>
        <v>21384</v>
      </c>
    </row>
    <row r="99" spans="1:21" x14ac:dyDescent="0.25">
      <c r="A99" s="767" t="s">
        <v>82</v>
      </c>
      <c r="B99" s="767"/>
      <c r="C99" s="192">
        <v>0</v>
      </c>
      <c r="D99" s="192">
        <v>1</v>
      </c>
      <c r="E99" s="147">
        <f>(C99+D99)/2</f>
        <v>0.5</v>
      </c>
      <c r="F99" s="173" t="s">
        <v>39</v>
      </c>
      <c r="G99" s="546">
        <f>'0664'!G99</f>
        <v>1498</v>
      </c>
      <c r="I99" s="120">
        <f>ROUND(G99*E99,2)</f>
        <v>749</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656565.85</v>
      </c>
    </row>
    <row r="114" spans="1:21" ht="16.5" thickTop="1" x14ac:dyDescent="0.25">
      <c r="A114" s="767" t="s">
        <v>8</v>
      </c>
      <c r="B114" s="767"/>
      <c r="C114" s="767"/>
      <c r="D114" s="767"/>
      <c r="E114" s="767"/>
      <c r="F114" s="767"/>
      <c r="G114" s="767"/>
      <c r="H114" s="767"/>
      <c r="I114" s="120">
        <f>SUM(I112,I111,I109,I99,I98,I92,I84,I82,I81,I83,I80,I79,I78,I77,I75,I74,I73,I72,I71,I70,I68,I59,I45)</f>
        <v>1106137.5</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f>IF(E29=0,"",IF((E14+E16+SUM(E18:E24))/E29&gt;0.75,1,""))</f>
        <v>1</v>
      </c>
      <c r="I116" s="147">
        <f>U113</f>
        <v>656565.85</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656565.85</v>
      </c>
      <c r="I118" s="113">
        <f>ROUND(IF(E29=0,0,IF(E29&gt;250,-(((250/E29)*H118)*IF(G118="H",0.02,0.05)),IF(G118="H",-0.02*H118,-0.05*H118))),2)</f>
        <v>-32828.29</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1073309.21</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-1074096.98</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-787.77000000001863</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-787.77</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0</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78:P78"/>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R105:S105"/>
    <mergeCell ref="A98:B98"/>
    <mergeCell ref="N98:O98"/>
    <mergeCell ref="P98:R98"/>
    <mergeCell ref="A99:B99"/>
    <mergeCell ref="N99:O99"/>
    <mergeCell ref="P99:R99"/>
    <mergeCell ref="R107:S107"/>
    <mergeCell ref="A102:C102"/>
    <mergeCell ref="F102:I102"/>
    <mergeCell ref="N102:U102"/>
    <mergeCell ref="C103:E103"/>
    <mergeCell ref="F104:G104"/>
    <mergeCell ref="A105:B105"/>
    <mergeCell ref="F105:G105"/>
    <mergeCell ref="N105:O105"/>
    <mergeCell ref="P105:Q105"/>
    <mergeCell ref="A108:B108"/>
    <mergeCell ref="F108:G108"/>
    <mergeCell ref="N108:O108"/>
    <mergeCell ref="P108:Q108"/>
    <mergeCell ref="F112:H112"/>
    <mergeCell ref="R108:S108"/>
    <mergeCell ref="A109:B109"/>
    <mergeCell ref="N109:O109"/>
    <mergeCell ref="A106:B106"/>
    <mergeCell ref="F106:G106"/>
    <mergeCell ref="N106:O106"/>
    <mergeCell ref="P106:Q106"/>
    <mergeCell ref="R106:S106"/>
    <mergeCell ref="A107:B107"/>
    <mergeCell ref="F107:G107"/>
    <mergeCell ref="N107:O107"/>
    <mergeCell ref="P107:Q107"/>
    <mergeCell ref="N116:U116"/>
    <mergeCell ref="A116:G116"/>
    <mergeCell ref="N135:U135"/>
    <mergeCell ref="N115:U115"/>
    <mergeCell ref="A111:C111"/>
    <mergeCell ref="F111:H111"/>
    <mergeCell ref="N111:P111"/>
    <mergeCell ref="N112:P112"/>
    <mergeCell ref="A112:C112"/>
    <mergeCell ref="N113:T113"/>
    <mergeCell ref="A114:H114"/>
    <mergeCell ref="A115:G115"/>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sheetPr>
  <dimension ref="A1:U202"/>
  <sheetViews>
    <sheetView showGridLines="0" zoomScale="90" zoomScaleNormal="90" workbookViewId="0">
      <pane ySplit="1" topLeftCell="A92"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172</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99.05</v>
      </c>
      <c r="D17" s="192">
        <v>144.88999999999999</v>
      </c>
      <c r="E17" s="147">
        <f t="shared" si="3"/>
        <v>243.94</v>
      </c>
      <c r="F17" s="814">
        <f>'0664'!F17:G17</f>
        <v>1.01</v>
      </c>
      <c r="G17" s="814"/>
      <c r="H17" s="99">
        <f t="shared" si="4"/>
        <v>246.3794</v>
      </c>
      <c r="I17" s="120">
        <f t="shared" si="0"/>
        <v>1123076.49</v>
      </c>
      <c r="N17" s="840" t="s">
        <v>33</v>
      </c>
      <c r="O17" s="840"/>
      <c r="P17" s="841">
        <f t="shared" si="1"/>
        <v>0</v>
      </c>
      <c r="Q17" s="841"/>
      <c r="R17" s="842">
        <v>1</v>
      </c>
      <c r="S17" s="842"/>
      <c r="T17" s="114">
        <f t="shared" si="5"/>
        <v>0</v>
      </c>
      <c r="U17" s="115">
        <f t="shared" si="2"/>
        <v>0</v>
      </c>
    </row>
    <row r="18" spans="1:21" x14ac:dyDescent="0.25">
      <c r="A18" s="764" t="s">
        <v>34</v>
      </c>
      <c r="B18" s="764"/>
      <c r="C18" s="192">
        <v>27.96</v>
      </c>
      <c r="D18" s="192">
        <v>33.1</v>
      </c>
      <c r="E18" s="147">
        <f t="shared" si="3"/>
        <v>61.06</v>
      </c>
      <c r="F18" s="814">
        <f>'0664'!F18:G18</f>
        <v>1.01</v>
      </c>
      <c r="G18" s="814"/>
      <c r="H18" s="99">
        <f t="shared" si="4"/>
        <v>61.6706</v>
      </c>
      <c r="I18" s="120">
        <f t="shared" si="0"/>
        <v>281114.40999999997</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8.9</v>
      </c>
      <c r="D27" s="192">
        <v>12.93</v>
      </c>
      <c r="E27" s="147">
        <f t="shared" si="3"/>
        <v>21.83</v>
      </c>
      <c r="F27" s="814">
        <f>'0664'!F27:G27</f>
        <v>1.1990000000000001</v>
      </c>
      <c r="G27" s="814"/>
      <c r="H27" s="99">
        <f t="shared" si="4"/>
        <v>26.174199999999999</v>
      </c>
      <c r="I27" s="120">
        <f t="shared" si="0"/>
        <v>119310.42</v>
      </c>
      <c r="N27" s="840" t="s">
        <v>118</v>
      </c>
      <c r="O27" s="840"/>
      <c r="P27" s="841">
        <f t="shared" si="1"/>
        <v>0</v>
      </c>
      <c r="Q27" s="841"/>
      <c r="R27" s="842">
        <v>1</v>
      </c>
      <c r="S27" s="842"/>
      <c r="T27" s="114">
        <f t="shared" si="5"/>
        <v>0</v>
      </c>
      <c r="U27" s="115">
        <f t="shared" si="2"/>
        <v>0</v>
      </c>
    </row>
    <row r="28" spans="1:21" x14ac:dyDescent="0.25">
      <c r="A28" s="790" t="s">
        <v>119</v>
      </c>
      <c r="B28" s="790"/>
      <c r="C28" s="137">
        <v>0.2</v>
      </c>
      <c r="D28" s="137">
        <v>0</v>
      </c>
      <c r="E28" s="204">
        <f t="shared" si="3"/>
        <v>0.2</v>
      </c>
      <c r="F28" s="815">
        <f>'0664'!F28:G28</f>
        <v>1.01</v>
      </c>
      <c r="G28" s="815"/>
      <c r="H28" s="112">
        <f t="shared" si="4"/>
        <v>0.20200000000000001</v>
      </c>
      <c r="I28" s="113">
        <f t="shared" si="0"/>
        <v>920.78</v>
      </c>
      <c r="N28" s="845" t="s">
        <v>119</v>
      </c>
      <c r="O28" s="845"/>
      <c r="P28" s="841">
        <f t="shared" si="1"/>
        <v>0</v>
      </c>
      <c r="Q28" s="841"/>
      <c r="R28" s="846">
        <v>1</v>
      </c>
      <c r="S28" s="846"/>
      <c r="T28" s="114">
        <f t="shared" si="5"/>
        <v>0</v>
      </c>
      <c r="U28" s="115">
        <f t="shared" si="2"/>
        <v>0</v>
      </c>
    </row>
    <row r="29" spans="1:21" x14ac:dyDescent="0.25">
      <c r="A29" s="828" t="s">
        <v>5</v>
      </c>
      <c r="B29" s="828"/>
      <c r="C29" s="113">
        <f>SUM(C13:C28)</f>
        <v>136.10999999999999</v>
      </c>
      <c r="D29" s="113">
        <f>SUM(D13:D28)</f>
        <v>190.92</v>
      </c>
      <c r="E29" s="113">
        <f>SUM(E13:E28)</f>
        <v>327.02999999999997</v>
      </c>
      <c r="F29" s="820"/>
      <c r="G29" s="820"/>
      <c r="H29" s="118">
        <f>SUM(H13:H28)</f>
        <v>334.42619999999999</v>
      </c>
      <c r="I29" s="113">
        <f>SUM(I13:I28)</f>
        <v>1524422.0999999999</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334.42619999999999</v>
      </c>
      <c r="F45" s="36"/>
      <c r="G45" s="128"/>
      <c r="H45" s="129" t="s">
        <v>131</v>
      </c>
      <c r="I45" s="113">
        <f>SUM(I43,I29)</f>
        <v>1524422.0999999999</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26.96</v>
      </c>
      <c r="D56" s="192">
        <v>29.72</v>
      </c>
      <c r="E56" s="147">
        <f t="shared" si="10"/>
        <v>56.68</v>
      </c>
      <c r="F56" s="143" t="s">
        <v>15</v>
      </c>
      <c r="G56" s="52">
        <v>251</v>
      </c>
      <c r="H56" s="485">
        <f>'0664'!H56</f>
        <v>835</v>
      </c>
      <c r="I56" s="120">
        <f t="shared" si="11"/>
        <v>47327.8</v>
      </c>
      <c r="N56" s="863"/>
      <c r="O56" s="863"/>
      <c r="P56" s="865"/>
      <c r="Q56" s="865"/>
      <c r="R56" s="45" t="s">
        <v>15</v>
      </c>
      <c r="S56" s="43">
        <v>251</v>
      </c>
      <c r="T56" s="138">
        <f t="shared" si="12"/>
        <v>835</v>
      </c>
      <c r="U56" s="139">
        <f t="shared" si="13"/>
        <v>0</v>
      </c>
    </row>
    <row r="57" spans="1:21" x14ac:dyDescent="0.25">
      <c r="A57" s="792"/>
      <c r="B57" s="792"/>
      <c r="C57" s="192">
        <v>1</v>
      </c>
      <c r="D57" s="192">
        <v>3.38</v>
      </c>
      <c r="E57" s="147">
        <f t="shared" si="10"/>
        <v>4.38</v>
      </c>
      <c r="F57" s="143" t="s">
        <v>15</v>
      </c>
      <c r="G57" s="52">
        <v>252</v>
      </c>
      <c r="H57" s="485">
        <f>'0664'!H57</f>
        <v>3168</v>
      </c>
      <c r="I57" s="120">
        <f t="shared" si="11"/>
        <v>13875.84</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27.96</v>
      </c>
      <c r="D59" s="116">
        <f>SUM(D50:D58)</f>
        <v>33.1</v>
      </c>
      <c r="E59" s="116">
        <f>SUM(E50:E58)</f>
        <v>61.06</v>
      </c>
      <c r="F59" s="767" t="s">
        <v>78</v>
      </c>
      <c r="G59" s="767"/>
      <c r="H59" s="767"/>
      <c r="I59" s="116">
        <f>SUM(I50:I58)</f>
        <v>61203.64</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327.02999999999997</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1.714E-3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334.42619999999999</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1.5590000000000001E-3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1.714E-3</v>
      </c>
      <c r="I68" s="120">
        <f>ROUND(F68*H68,2)</f>
        <v>72038.69</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1.714E-3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1.714E-3</v>
      </c>
      <c r="I71" s="120">
        <f>IF(D71="Y",ROUND(F71*H71,2),0)</f>
        <v>251.28</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1.714E-3</v>
      </c>
      <c r="I72" s="120">
        <f>ROUND(F72*H72,2)</f>
        <v>19433.18</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1.714E-3</v>
      </c>
      <c r="I73" s="120">
        <f>ROUND(F73*H73,2)</f>
        <v>23794.41</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1.714E-3</v>
      </c>
      <c r="I77" s="120">
        <f t="shared" ref="I77:I82" si="14">ROUND(F77*H77,2)</f>
        <v>12790.8</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1.714E-3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1.5590000000000001E-3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1.5590000000000001E-3</v>
      </c>
      <c r="I80" s="120">
        <f t="shared" si="14"/>
        <v>13349.39</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1.5590000000000001E-3</v>
      </c>
      <c r="I81" s="120">
        <f t="shared" si="14"/>
        <v>262945.96999999997</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1.5590000000000001E-3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58130.55</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1.714E-3</v>
      </c>
      <c r="I84" s="120">
        <f>ROUND(F84*H84,2)</f>
        <v>37046.980000000003</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0</v>
      </c>
      <c r="D90" s="781"/>
      <c r="E90" s="54">
        <f>H8</f>
        <v>1.0424</v>
      </c>
      <c r="F90" s="545">
        <f>'0664'!F90</f>
        <v>923.19</v>
      </c>
      <c r="G90" s="186" t="s">
        <v>13</v>
      </c>
      <c r="H90" s="120">
        <f>ROUND(C90*E90*F90,2)</f>
        <v>0</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334.42619999999999</v>
      </c>
      <c r="D91" s="781"/>
      <c r="E91" s="54">
        <f>H8</f>
        <v>1.0424</v>
      </c>
      <c r="F91" s="545">
        <f>'0664'!F91</f>
        <v>925.42</v>
      </c>
      <c r="G91" s="186" t="s">
        <v>13</v>
      </c>
      <c r="H91" s="113">
        <f>ROUND(C91*E91*F91,2)</f>
        <v>322606.84999999998</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334.42619999999999</v>
      </c>
      <c r="D92" s="782"/>
      <c r="E92" s="168"/>
      <c r="F92" s="168"/>
      <c r="G92" s="168"/>
      <c r="H92" s="169" t="s">
        <v>145</v>
      </c>
      <c r="I92" s="120">
        <f>IF(A1=75,0,H91+H90+H89)</f>
        <v>322606.84999999998</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7</v>
      </c>
      <c r="D98" s="192">
        <v>130</v>
      </c>
      <c r="E98" s="147">
        <f>(C98+D98)/2</f>
        <v>68.5</v>
      </c>
      <c r="F98" s="173" t="s">
        <v>39</v>
      </c>
      <c r="G98" s="546">
        <f>'0664'!G98</f>
        <v>486</v>
      </c>
      <c r="I98" s="120">
        <f>ROUND(G98*E98,2)</f>
        <v>33291</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2441304.84</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2441304.84</v>
      </c>
      <c r="I118" s="113">
        <f>ROUND(IF(E29=0,0,IF(E29&gt;250,-(((250/E29)*H118)*IF(G118="H",0.02,0.05)),IF(G118="H",-0.02*H118,-0.05*H118))),2)</f>
        <v>-93313.49</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2347991.3499999996</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-2348317.81</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-326.46000000042841</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-326.45999999999998</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28751.75</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00"/>
  </sheetPr>
  <dimension ref="A1:U202"/>
  <sheetViews>
    <sheetView showGridLines="0" zoomScale="90" zoomScaleNormal="90" workbookViewId="0">
      <pane ySplit="1" topLeftCell="A95"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173</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96.73</v>
      </c>
      <c r="D13" s="190">
        <v>93.73</v>
      </c>
      <c r="E13" s="245">
        <f>IF(D$29=0,C13*2,C13+D13)</f>
        <v>190.46</v>
      </c>
      <c r="F13" s="819">
        <f>'0664'!F13:G13</f>
        <v>1.1259999999999999</v>
      </c>
      <c r="G13" s="819"/>
      <c r="H13" s="194">
        <f>ROUND(E13*F13,4)</f>
        <v>214.458</v>
      </c>
      <c r="I13" s="140">
        <f t="shared" ref="I13:I28" si="0">ROUND(ROUND(H13*$C$8,4)*($H$8),2)</f>
        <v>977568.49</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15</v>
      </c>
      <c r="D14" s="192">
        <v>19.04</v>
      </c>
      <c r="E14" s="147">
        <f t="shared" ref="E14:E28" si="3">IF(D$29=0,C14*2,C14+D14)</f>
        <v>34.04</v>
      </c>
      <c r="F14" s="814">
        <f>'0664'!F14:G14</f>
        <v>1.1259999999999999</v>
      </c>
      <c r="G14" s="814"/>
      <c r="H14" s="99">
        <f t="shared" ref="H14:H28" si="4">ROUND(E14*F14,4)</f>
        <v>38.329000000000001</v>
      </c>
      <c r="I14" s="120">
        <f t="shared" si="0"/>
        <v>174715.9</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40.53</v>
      </c>
      <c r="D15" s="192">
        <v>40.97</v>
      </c>
      <c r="E15" s="147">
        <f t="shared" si="3"/>
        <v>81.5</v>
      </c>
      <c r="F15" s="814">
        <f>'0664'!F15:G15</f>
        <v>1</v>
      </c>
      <c r="G15" s="814"/>
      <c r="H15" s="99">
        <f t="shared" si="4"/>
        <v>81.5</v>
      </c>
      <c r="I15" s="120">
        <f t="shared" si="0"/>
        <v>371503.19</v>
      </c>
      <c r="N15" s="840" t="s">
        <v>31</v>
      </c>
      <c r="O15" s="840"/>
      <c r="P15" s="841">
        <f t="shared" si="1"/>
        <v>0</v>
      </c>
      <c r="Q15" s="841"/>
      <c r="R15" s="842">
        <v>1</v>
      </c>
      <c r="S15" s="842"/>
      <c r="T15" s="114">
        <f t="shared" si="5"/>
        <v>0</v>
      </c>
      <c r="U15" s="115">
        <f t="shared" si="2"/>
        <v>0</v>
      </c>
    </row>
    <row r="16" spans="1:21" x14ac:dyDescent="0.25">
      <c r="A16" s="764" t="s">
        <v>32</v>
      </c>
      <c r="B16" s="764"/>
      <c r="C16" s="192">
        <v>11.48</v>
      </c>
      <c r="D16" s="192">
        <v>11.05</v>
      </c>
      <c r="E16" s="147">
        <f t="shared" si="3"/>
        <v>22.53</v>
      </c>
      <c r="F16" s="814">
        <f>'0664'!F16:G16</f>
        <v>1</v>
      </c>
      <c r="G16" s="814"/>
      <c r="H16" s="99">
        <f t="shared" si="4"/>
        <v>22.53</v>
      </c>
      <c r="I16" s="120">
        <f t="shared" si="0"/>
        <v>102698.98</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4.7300000000000004</v>
      </c>
      <c r="D25" s="192">
        <v>4.3</v>
      </c>
      <c r="E25" s="147">
        <f t="shared" si="3"/>
        <v>9.0300000000000011</v>
      </c>
      <c r="F25" s="814">
        <f>'0664'!F25:G25</f>
        <v>1.1990000000000001</v>
      </c>
      <c r="G25" s="814"/>
      <c r="H25" s="99">
        <f t="shared" si="4"/>
        <v>10.827</v>
      </c>
      <c r="I25" s="120">
        <f t="shared" si="0"/>
        <v>49352.95</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168.46999999999997</v>
      </c>
      <c r="D29" s="113">
        <f>SUM(D13:D28)</f>
        <v>169.09000000000003</v>
      </c>
      <c r="E29" s="113">
        <f>SUM(E13:E28)</f>
        <v>337.55999999999995</v>
      </c>
      <c r="F29" s="820"/>
      <c r="G29" s="820"/>
      <c r="H29" s="118">
        <f>SUM(H13:H28)</f>
        <v>367.64400000000001</v>
      </c>
      <c r="I29" s="113">
        <f>SUM(I13:I28)</f>
        <v>1675839.5099999998</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367.64400000000001</v>
      </c>
      <c r="F45" s="36"/>
      <c r="G45" s="128"/>
      <c r="H45" s="129" t="s">
        <v>131</v>
      </c>
      <c r="I45" s="113">
        <f>SUM(I43,I29)</f>
        <v>1675839.5099999998</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14.5</v>
      </c>
      <c r="D50" s="192">
        <v>18.54</v>
      </c>
      <c r="E50" s="147">
        <f>IF(D$59=0,C50*2,C50+D50)</f>
        <v>33.04</v>
      </c>
      <c r="F50" s="40" t="s">
        <v>21</v>
      </c>
      <c r="G50" s="52">
        <v>251</v>
      </c>
      <c r="H50" s="485">
        <f>'0664'!H50</f>
        <v>1047</v>
      </c>
      <c r="I50" s="120">
        <f>ROUND(E50*H50,2)</f>
        <v>34592.879999999997</v>
      </c>
      <c r="N50" s="863" t="s">
        <v>28</v>
      </c>
      <c r="O50" s="863"/>
      <c r="P50" s="864"/>
      <c r="Q50" s="864"/>
      <c r="R50" s="42" t="s">
        <v>21</v>
      </c>
      <c r="S50" s="43">
        <v>251</v>
      </c>
      <c r="T50" s="138">
        <f>H50</f>
        <v>1047</v>
      </c>
      <c r="U50" s="139">
        <f>ROUND(P50*T50,0)</f>
        <v>0</v>
      </c>
    </row>
    <row r="51" spans="1:21" x14ac:dyDescent="0.25">
      <c r="A51" s="792"/>
      <c r="B51" s="792"/>
      <c r="C51" s="192">
        <v>0.5</v>
      </c>
      <c r="D51" s="192">
        <v>0.5</v>
      </c>
      <c r="E51" s="147">
        <f t="shared" ref="E51:E58" si="10">IF(D$59=0,C51*2,C51+D51)</f>
        <v>1</v>
      </c>
      <c r="F51" s="52" t="s">
        <v>21</v>
      </c>
      <c r="G51" s="52">
        <v>252</v>
      </c>
      <c r="H51" s="485">
        <f>'0664'!H51</f>
        <v>3380</v>
      </c>
      <c r="I51" s="120">
        <f t="shared" ref="I51:I58" si="11">ROUND(E51*H51,2)</f>
        <v>3380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10.98</v>
      </c>
      <c r="D53" s="192">
        <v>9.6300000000000008</v>
      </c>
      <c r="E53" s="147">
        <f t="shared" si="10"/>
        <v>20.61</v>
      </c>
      <c r="F53" s="143" t="s">
        <v>14</v>
      </c>
      <c r="G53" s="52">
        <v>251</v>
      </c>
      <c r="H53" s="485">
        <f>'0664'!H53</f>
        <v>1173</v>
      </c>
      <c r="I53" s="120">
        <f t="shared" si="11"/>
        <v>24175.53</v>
      </c>
      <c r="N53" s="863"/>
      <c r="O53" s="863"/>
      <c r="P53" s="865"/>
      <c r="Q53" s="865"/>
      <c r="R53" s="45" t="s">
        <v>14</v>
      </c>
      <c r="S53" s="43">
        <v>251</v>
      </c>
      <c r="T53" s="138">
        <f t="shared" si="12"/>
        <v>1173</v>
      </c>
      <c r="U53" s="139">
        <f t="shared" si="13"/>
        <v>0</v>
      </c>
    </row>
    <row r="54" spans="1:21" x14ac:dyDescent="0.25">
      <c r="A54" s="792"/>
      <c r="B54" s="792"/>
      <c r="C54" s="192">
        <v>0.5</v>
      </c>
      <c r="D54" s="192">
        <v>1.42</v>
      </c>
      <c r="E54" s="147">
        <f t="shared" si="10"/>
        <v>1.92</v>
      </c>
      <c r="F54" s="143" t="s">
        <v>14</v>
      </c>
      <c r="G54" s="52">
        <v>252</v>
      </c>
      <c r="H54" s="485">
        <f>'0664'!H54</f>
        <v>3506</v>
      </c>
      <c r="I54" s="120">
        <f t="shared" si="11"/>
        <v>6731.52</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26.48</v>
      </c>
      <c r="D59" s="116">
        <f>SUM(D50:D58)</f>
        <v>30.090000000000003</v>
      </c>
      <c r="E59" s="116">
        <f>SUM(E50:E58)</f>
        <v>56.57</v>
      </c>
      <c r="F59" s="767" t="s">
        <v>78</v>
      </c>
      <c r="G59" s="767"/>
      <c r="H59" s="767"/>
      <c r="I59" s="116">
        <f>SUM(I50:I58)</f>
        <v>68879.929999999993</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337.55999999999995</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1.7700000000000001E-3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367.64400000000001</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1.714E-3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1.7700000000000001E-3</v>
      </c>
      <c r="I68" s="120">
        <f>ROUND(F68*H68,2)</f>
        <v>74392.350000000006</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1.7700000000000001E-3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1.7700000000000001E-3</v>
      </c>
      <c r="I71" s="120">
        <f>IF(D71="Y",ROUND(F71*H71,2),0)</f>
        <v>259.49</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1.7700000000000001E-3</v>
      </c>
      <c r="I72" s="120">
        <f>ROUND(F72*H72,2)</f>
        <v>20068.099999999999</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1.7700000000000001E-3</v>
      </c>
      <c r="I73" s="120">
        <f>ROUND(F73*H73,2)</f>
        <v>24571.82</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1.7700000000000001E-3</v>
      </c>
      <c r="I77" s="120">
        <f t="shared" ref="I77:I82" si="14">ROUND(F77*H77,2)</f>
        <v>13208.7</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1.7700000000000001E-3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1.714E-3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1.714E-3</v>
      </c>
      <c r="I80" s="120">
        <f t="shared" si="14"/>
        <v>14676.62</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1.714E-3</v>
      </c>
      <c r="I81" s="120">
        <f t="shared" si="14"/>
        <v>289088.77</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1.714E-3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69141.89</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1.7700000000000001E-3</v>
      </c>
      <c r="I84" s="120">
        <f>ROUND(F84*H84,2)</f>
        <v>38257.39</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263.61400000000003</v>
      </c>
      <c r="D89" s="781"/>
      <c r="E89" s="54">
        <f>H8</f>
        <v>1.0424</v>
      </c>
      <c r="F89" s="545">
        <f>'0664'!F89</f>
        <v>966.9</v>
      </c>
      <c r="G89" s="186" t="s">
        <v>13</v>
      </c>
      <c r="H89" s="120">
        <f>ROUND(C89*E89*F89,2)</f>
        <v>265695.64</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104.03</v>
      </c>
      <c r="D90" s="781"/>
      <c r="E90" s="54">
        <f>H8</f>
        <v>1.0424</v>
      </c>
      <c r="F90" s="545">
        <f>'0664'!F90</f>
        <v>923.19</v>
      </c>
      <c r="G90" s="186" t="s">
        <v>13</v>
      </c>
      <c r="H90" s="120">
        <f>ROUND(C90*E90*F90,2)</f>
        <v>100111.53</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367.64400000000001</v>
      </c>
      <c r="D92" s="782"/>
      <c r="E92" s="168"/>
      <c r="F92" s="168"/>
      <c r="G92" s="168"/>
      <c r="H92" s="169" t="s">
        <v>145</v>
      </c>
      <c r="I92" s="120">
        <f>IF(A1=75,0,H91+H90+H89)</f>
        <v>365807.17000000004</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0</v>
      </c>
      <c r="D98" s="192">
        <v>0</v>
      </c>
      <c r="E98" s="147">
        <f>(C98+D98)/2</f>
        <v>0</v>
      </c>
      <c r="F98" s="173" t="s">
        <v>39</v>
      </c>
      <c r="G98" s="546">
        <f>'0664'!G98</f>
        <v>486</v>
      </c>
      <c r="I98" s="120">
        <f>ROUND(G98*E98,2)</f>
        <v>0</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2654191.7399999998</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7" t="s">
        <v>306</v>
      </c>
      <c r="H118" s="188">
        <f>IF(H116=1,I116,I114)</f>
        <v>2654191.7399999998</v>
      </c>
      <c r="I118" s="113">
        <f>ROUND(IF(E29=0,0,IF(E29&gt;250,-(((250/E29)*H118)*IF(G118="H",0.02,0.05)),IF(G118="H",-0.02*H118,-0.05*H118))),2)</f>
        <v>-39314.370000000003</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2614877.3699999996</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-2616247.33</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-1369.9600000004284</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-1369.96</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13769.46</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A13:B13"/>
    <mergeCell ref="F13:G13"/>
    <mergeCell ref="A12:B12"/>
    <mergeCell ref="F12:G12"/>
    <mergeCell ref="N13:O13"/>
    <mergeCell ref="P13:Q13"/>
    <mergeCell ref="F15:G15"/>
    <mergeCell ref="N15:O15"/>
    <mergeCell ref="A16:B16"/>
    <mergeCell ref="F16:G16"/>
    <mergeCell ref="N16:O16"/>
    <mergeCell ref="P16:Q16"/>
    <mergeCell ref="A19:B19"/>
    <mergeCell ref="F19:G19"/>
    <mergeCell ref="N19:O19"/>
    <mergeCell ref="P19:Q19"/>
    <mergeCell ref="A22:B22"/>
    <mergeCell ref="F22:G22"/>
    <mergeCell ref="N22:O22"/>
    <mergeCell ref="P22:Q22"/>
    <mergeCell ref="A25:B25"/>
    <mergeCell ref="F25:G25"/>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4:B14"/>
    <mergeCell ref="F14:G14"/>
    <mergeCell ref="N14:O14"/>
    <mergeCell ref="P14:Q14"/>
    <mergeCell ref="R14:S14"/>
    <mergeCell ref="P15:Q15"/>
    <mergeCell ref="R15:S15"/>
    <mergeCell ref="A15:B15"/>
    <mergeCell ref="R16:S16"/>
    <mergeCell ref="A17:B17"/>
    <mergeCell ref="F17:G17"/>
    <mergeCell ref="N17:O17"/>
    <mergeCell ref="P17:Q17"/>
    <mergeCell ref="R17:S17"/>
    <mergeCell ref="A18:B18"/>
    <mergeCell ref="F18:G18"/>
    <mergeCell ref="N18:O18"/>
    <mergeCell ref="P18:Q18"/>
    <mergeCell ref="R18:S18"/>
    <mergeCell ref="R19:S19"/>
    <mergeCell ref="A20:B20"/>
    <mergeCell ref="F20:G20"/>
    <mergeCell ref="N20:O20"/>
    <mergeCell ref="P20:Q20"/>
    <mergeCell ref="R20:S20"/>
    <mergeCell ref="A21:B21"/>
    <mergeCell ref="F21:G21"/>
    <mergeCell ref="N21:O21"/>
    <mergeCell ref="P21:Q21"/>
    <mergeCell ref="R21:S21"/>
    <mergeCell ref="R22:S22"/>
    <mergeCell ref="A23:B23"/>
    <mergeCell ref="F23:G23"/>
    <mergeCell ref="N23:O23"/>
    <mergeCell ref="P23:Q23"/>
    <mergeCell ref="R23:S23"/>
    <mergeCell ref="A24:B24"/>
    <mergeCell ref="F24:G24"/>
    <mergeCell ref="N24:O24"/>
    <mergeCell ref="P24:Q24"/>
    <mergeCell ref="R24:S24"/>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FF00"/>
  </sheetPr>
  <dimension ref="A1:U202"/>
  <sheetViews>
    <sheetView showGridLines="0" zoomScale="90" zoomScaleNormal="90" workbookViewId="0">
      <pane ySplit="1" topLeftCell="A98"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174</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112.07</v>
      </c>
      <c r="D17" s="192">
        <v>137.09</v>
      </c>
      <c r="E17" s="147">
        <f t="shared" si="3"/>
        <v>249.16</v>
      </c>
      <c r="F17" s="814">
        <f>'0664'!F17:G17</f>
        <v>1.01</v>
      </c>
      <c r="G17" s="814"/>
      <c r="H17" s="99">
        <f t="shared" si="4"/>
        <v>251.6516</v>
      </c>
      <c r="I17" s="120">
        <f t="shared" si="0"/>
        <v>1147108.8700000001</v>
      </c>
      <c r="N17" s="840" t="s">
        <v>33</v>
      </c>
      <c r="O17" s="840"/>
      <c r="P17" s="841">
        <f t="shared" si="1"/>
        <v>0</v>
      </c>
      <c r="Q17" s="841"/>
      <c r="R17" s="842">
        <v>1</v>
      </c>
      <c r="S17" s="842"/>
      <c r="T17" s="114">
        <f t="shared" si="5"/>
        <v>0</v>
      </c>
      <c r="U17" s="115">
        <f t="shared" si="2"/>
        <v>0</v>
      </c>
    </row>
    <row r="18" spans="1:21" x14ac:dyDescent="0.25">
      <c r="A18" s="764" t="s">
        <v>34</v>
      </c>
      <c r="B18" s="764"/>
      <c r="C18" s="192">
        <v>28.41</v>
      </c>
      <c r="D18" s="192">
        <v>30.05</v>
      </c>
      <c r="E18" s="147">
        <f t="shared" si="3"/>
        <v>58.46</v>
      </c>
      <c r="F18" s="814">
        <f>'0664'!F18:G18</f>
        <v>1.01</v>
      </c>
      <c r="G18" s="814"/>
      <c r="H18" s="99">
        <f t="shared" si="4"/>
        <v>59.044600000000003</v>
      </c>
      <c r="I18" s="120">
        <f t="shared" si="0"/>
        <v>269144.26</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8.4</v>
      </c>
      <c r="D27" s="192">
        <v>11</v>
      </c>
      <c r="E27" s="147">
        <f t="shared" si="3"/>
        <v>19.399999999999999</v>
      </c>
      <c r="F27" s="814">
        <f>'0664'!F27:G27</f>
        <v>1.1990000000000001</v>
      </c>
      <c r="G27" s="814"/>
      <c r="H27" s="99">
        <f t="shared" si="4"/>
        <v>23.2606</v>
      </c>
      <c r="I27" s="120">
        <f t="shared" si="0"/>
        <v>106029.29</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0.28999999999999998</v>
      </c>
      <c r="E28" s="204">
        <f t="shared" si="3"/>
        <v>0.28999999999999998</v>
      </c>
      <c r="F28" s="815">
        <f>'0664'!F28:G28</f>
        <v>1.01</v>
      </c>
      <c r="G28" s="815"/>
      <c r="H28" s="112">
        <f t="shared" si="4"/>
        <v>0.29289999999999999</v>
      </c>
      <c r="I28" s="113">
        <f t="shared" si="0"/>
        <v>1335.13</v>
      </c>
      <c r="N28" s="845" t="s">
        <v>119</v>
      </c>
      <c r="O28" s="845"/>
      <c r="P28" s="841">
        <f t="shared" si="1"/>
        <v>0</v>
      </c>
      <c r="Q28" s="841"/>
      <c r="R28" s="846">
        <v>1</v>
      </c>
      <c r="S28" s="846"/>
      <c r="T28" s="114">
        <f t="shared" si="5"/>
        <v>0</v>
      </c>
      <c r="U28" s="115">
        <f t="shared" si="2"/>
        <v>0</v>
      </c>
    </row>
    <row r="29" spans="1:21" x14ac:dyDescent="0.25">
      <c r="A29" s="828" t="s">
        <v>5</v>
      </c>
      <c r="B29" s="828"/>
      <c r="C29" s="113">
        <f>SUM(C13:C28)</f>
        <v>148.88</v>
      </c>
      <c r="D29" s="113">
        <f>SUM(D13:D28)</f>
        <v>178.43</v>
      </c>
      <c r="E29" s="113">
        <f>SUM(E13:E28)</f>
        <v>327.31</v>
      </c>
      <c r="F29" s="820"/>
      <c r="G29" s="820"/>
      <c r="H29" s="118">
        <f>SUM(H13:H28)</f>
        <v>334.24969999999996</v>
      </c>
      <c r="I29" s="113">
        <f>SUM(I13:I28)</f>
        <v>1523617.55</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334.24969999999996</v>
      </c>
      <c r="F45" s="36"/>
      <c r="G45" s="128"/>
      <c r="H45" s="129" t="s">
        <v>131</v>
      </c>
      <c r="I45" s="113">
        <f>SUM(I43,I29)</f>
        <v>1523617.55</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21.93</v>
      </c>
      <c r="D56" s="192">
        <v>23.32</v>
      </c>
      <c r="E56" s="147">
        <f t="shared" si="10"/>
        <v>45.25</v>
      </c>
      <c r="F56" s="143" t="s">
        <v>15</v>
      </c>
      <c r="G56" s="52">
        <v>251</v>
      </c>
      <c r="H56" s="485">
        <f>'0664'!H56</f>
        <v>835</v>
      </c>
      <c r="I56" s="120">
        <f t="shared" si="11"/>
        <v>37783.75</v>
      </c>
      <c r="N56" s="863"/>
      <c r="O56" s="863"/>
      <c r="P56" s="865"/>
      <c r="Q56" s="865"/>
      <c r="R56" s="45" t="s">
        <v>15</v>
      </c>
      <c r="S56" s="43">
        <v>251</v>
      </c>
      <c r="T56" s="138">
        <f t="shared" si="12"/>
        <v>835</v>
      </c>
      <c r="U56" s="139">
        <f t="shared" si="13"/>
        <v>0</v>
      </c>
    </row>
    <row r="57" spans="1:21" x14ac:dyDescent="0.25">
      <c r="A57" s="792"/>
      <c r="B57" s="792"/>
      <c r="C57" s="192">
        <v>5.98</v>
      </c>
      <c r="D57" s="192">
        <v>5.83</v>
      </c>
      <c r="E57" s="147">
        <f t="shared" si="10"/>
        <v>11.81</v>
      </c>
      <c r="F57" s="143" t="s">
        <v>15</v>
      </c>
      <c r="G57" s="52">
        <v>252</v>
      </c>
      <c r="H57" s="485">
        <f>'0664'!H57</f>
        <v>3168</v>
      </c>
      <c r="I57" s="120">
        <f t="shared" si="11"/>
        <v>37414.080000000002</v>
      </c>
      <c r="N57" s="863"/>
      <c r="O57" s="863"/>
      <c r="P57" s="865"/>
      <c r="Q57" s="865"/>
      <c r="R57" s="45" t="s">
        <v>15</v>
      </c>
      <c r="S57" s="43">
        <v>252</v>
      </c>
      <c r="T57" s="138">
        <f t="shared" si="12"/>
        <v>3168</v>
      </c>
      <c r="U57" s="139">
        <f t="shared" si="13"/>
        <v>0</v>
      </c>
    </row>
    <row r="58" spans="1:21" ht="16.5" thickBot="1" x14ac:dyDescent="0.3">
      <c r="A58" s="792"/>
      <c r="B58" s="792"/>
      <c r="C58" s="192">
        <v>0.5</v>
      </c>
      <c r="D58" s="192">
        <v>0.9</v>
      </c>
      <c r="E58" s="147">
        <f t="shared" si="10"/>
        <v>1.4</v>
      </c>
      <c r="F58" s="143" t="s">
        <v>15</v>
      </c>
      <c r="G58" s="52">
        <v>253</v>
      </c>
      <c r="H58" s="485">
        <f>'0664'!H58</f>
        <v>6685</v>
      </c>
      <c r="I58" s="120">
        <f t="shared" si="11"/>
        <v>9359</v>
      </c>
      <c r="N58" s="863"/>
      <c r="O58" s="863"/>
      <c r="P58" s="866"/>
      <c r="Q58" s="866"/>
      <c r="R58" s="45" t="s">
        <v>15</v>
      </c>
      <c r="S58" s="43">
        <v>253</v>
      </c>
      <c r="T58" s="138">
        <f t="shared" si="12"/>
        <v>6685</v>
      </c>
      <c r="U58" s="141">
        <f t="shared" si="13"/>
        <v>0</v>
      </c>
    </row>
    <row r="59" spans="1:21" ht="16.5" thickBot="1" x14ac:dyDescent="0.3">
      <c r="A59" s="767" t="s">
        <v>16</v>
      </c>
      <c r="B59" s="767"/>
      <c r="C59" s="116">
        <f>SUM(C50:C58)</f>
        <v>28.41</v>
      </c>
      <c r="D59" s="116">
        <f>SUM(D50:D58)</f>
        <v>30.049999999999997</v>
      </c>
      <c r="E59" s="116">
        <f>SUM(E50:E58)</f>
        <v>58.46</v>
      </c>
      <c r="F59" s="767" t="s">
        <v>78</v>
      </c>
      <c r="G59" s="767"/>
      <c r="H59" s="767"/>
      <c r="I59" s="116">
        <f>SUM(I50:I58)</f>
        <v>84556.83</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327.31</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1.7160000000000001E-3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334.24969999999996</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1.5590000000000001E-3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1.7160000000000001E-3</v>
      </c>
      <c r="I68" s="120">
        <f>ROUND(F68*H68,2)</f>
        <v>72122.75</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1.7160000000000001E-3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1.7160000000000001E-3</v>
      </c>
      <c r="I71" s="120">
        <f>IF(D71="Y",ROUND(F71*H71,2),0)</f>
        <v>251.58</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1.7160000000000001E-3</v>
      </c>
      <c r="I72" s="120">
        <f>ROUND(F72*H72,2)</f>
        <v>19455.849999999999</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1.7160000000000001E-3</v>
      </c>
      <c r="I73" s="120">
        <f>ROUND(F73*H73,2)</f>
        <v>23822.17</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1.7160000000000001E-3</v>
      </c>
      <c r="I77" s="120">
        <f t="shared" ref="I77:I82" si="14">ROUND(F77*H77,2)</f>
        <v>12805.72</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1.7160000000000001E-3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1.5590000000000001E-3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1.5590000000000001E-3</v>
      </c>
      <c r="I80" s="120">
        <f t="shared" si="14"/>
        <v>13349.39</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1.5590000000000001E-3</v>
      </c>
      <c r="I81" s="120">
        <f t="shared" si="14"/>
        <v>262945.96999999997</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1.5590000000000001E-3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55445.8</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1.7160000000000001E-3</v>
      </c>
      <c r="I84" s="120">
        <f>ROUND(F84*H84,2)</f>
        <v>37090.21</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0</v>
      </c>
      <c r="D90" s="781"/>
      <c r="E90" s="54">
        <f>H8</f>
        <v>1.0424</v>
      </c>
      <c r="F90" s="545">
        <f>'0664'!F90</f>
        <v>923.19</v>
      </c>
      <c r="G90" s="186" t="s">
        <v>13</v>
      </c>
      <c r="H90" s="120">
        <f>ROUND(C90*E90*F90,2)</f>
        <v>0</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334.24969999999996</v>
      </c>
      <c r="D91" s="781"/>
      <c r="E91" s="54">
        <f>H8</f>
        <v>1.0424</v>
      </c>
      <c r="F91" s="545">
        <f>'0664'!F91</f>
        <v>925.42</v>
      </c>
      <c r="G91" s="186" t="s">
        <v>13</v>
      </c>
      <c r="H91" s="113">
        <f>ROUND(C91*E91*F91,2)</f>
        <v>322436.58</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334.24969999999996</v>
      </c>
      <c r="D92" s="782"/>
      <c r="E92" s="168"/>
      <c r="F92" s="168"/>
      <c r="G92" s="168"/>
      <c r="H92" s="169" t="s">
        <v>145</v>
      </c>
      <c r="I92" s="120">
        <f>IF(A1=75,0,H91+H90+H89)</f>
        <v>322436.58</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5</v>
      </c>
      <c r="D98" s="192">
        <v>61</v>
      </c>
      <c r="E98" s="147">
        <f>(C98+D98)/2</f>
        <v>33</v>
      </c>
      <c r="F98" s="173" t="s">
        <v>39</v>
      </c>
      <c r="G98" s="546">
        <f>'0664'!G98</f>
        <v>486</v>
      </c>
      <c r="I98" s="120">
        <f>ROUND(G98*E98,2)</f>
        <v>16038</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2443938.4</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2443938.4</v>
      </c>
      <c r="I118" s="113">
        <f>ROUND(IF(E29=0,0,IF(E29&gt;250,-(((250/E29)*H118)*IF(G118="H",0.02,0.05)),IF(G118="H",-0.02*H118,-0.05*H118))),2)</f>
        <v>-93334.24</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2350604.1599999997</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-2357612.2200000002</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-7008.0600000005215</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-7008.06</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28862.68</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A13:B13"/>
    <mergeCell ref="F13:G13"/>
    <mergeCell ref="A12:B12"/>
    <mergeCell ref="F12:G12"/>
    <mergeCell ref="N13:O13"/>
    <mergeCell ref="P13:Q13"/>
    <mergeCell ref="F15:G15"/>
    <mergeCell ref="N15:O15"/>
    <mergeCell ref="A16:B16"/>
    <mergeCell ref="F16:G16"/>
    <mergeCell ref="N16:O16"/>
    <mergeCell ref="P16:Q16"/>
    <mergeCell ref="A19:B19"/>
    <mergeCell ref="F19:G19"/>
    <mergeCell ref="N19:O19"/>
    <mergeCell ref="P19:Q19"/>
    <mergeCell ref="A22:B22"/>
    <mergeCell ref="F22:G22"/>
    <mergeCell ref="N22:O22"/>
    <mergeCell ref="P22:Q22"/>
    <mergeCell ref="A25:B25"/>
    <mergeCell ref="F25:G25"/>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4:B14"/>
    <mergeCell ref="F14:G14"/>
    <mergeCell ref="N14:O14"/>
    <mergeCell ref="P14:Q14"/>
    <mergeCell ref="R14:S14"/>
    <mergeCell ref="P15:Q15"/>
    <mergeCell ref="R15:S15"/>
    <mergeCell ref="A15:B15"/>
    <mergeCell ref="R16:S16"/>
    <mergeCell ref="A17:B17"/>
    <mergeCell ref="F17:G17"/>
    <mergeCell ref="N17:O17"/>
    <mergeCell ref="P17:Q17"/>
    <mergeCell ref="R17:S17"/>
    <mergeCell ref="A18:B18"/>
    <mergeCell ref="F18:G18"/>
    <mergeCell ref="N18:O18"/>
    <mergeCell ref="P18:Q18"/>
    <mergeCell ref="R18:S18"/>
    <mergeCell ref="R19:S19"/>
    <mergeCell ref="A20:B20"/>
    <mergeCell ref="F20:G20"/>
    <mergeCell ref="N20:O20"/>
    <mergeCell ref="P20:Q20"/>
    <mergeCell ref="R20:S20"/>
    <mergeCell ref="A21:B21"/>
    <mergeCell ref="F21:G21"/>
    <mergeCell ref="N21:O21"/>
    <mergeCell ref="P21:Q21"/>
    <mergeCell ref="R21:S21"/>
    <mergeCell ref="R22:S22"/>
    <mergeCell ref="A23:B23"/>
    <mergeCell ref="F23:G23"/>
    <mergeCell ref="N23:O23"/>
    <mergeCell ref="P23:Q23"/>
    <mergeCell ref="R23:S23"/>
    <mergeCell ref="A24:B24"/>
    <mergeCell ref="F24:G24"/>
    <mergeCell ref="N24:O24"/>
    <mergeCell ref="P24:Q24"/>
    <mergeCell ref="R24:S24"/>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FF00"/>
  </sheetPr>
  <dimension ref="A1:U202"/>
  <sheetViews>
    <sheetView showGridLines="0" zoomScale="90" zoomScaleNormal="90" workbookViewId="0">
      <pane ySplit="1" topLeftCell="A92"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175</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190.59</v>
      </c>
      <c r="D13" s="190">
        <v>188.62</v>
      </c>
      <c r="E13" s="245">
        <f>IF(D$29=0,C13*2,C13+D13)</f>
        <v>379.21000000000004</v>
      </c>
      <c r="F13" s="819">
        <f>'0664'!F13:G13</f>
        <v>1.1259999999999999</v>
      </c>
      <c r="G13" s="819"/>
      <c r="H13" s="194">
        <f>ROUND(E13*F13,4)</f>
        <v>426.9905</v>
      </c>
      <c r="I13" s="140">
        <f t="shared" ref="I13:I28" si="0">ROUND(ROUND(H13*$C$8,4)*($H$8),2)</f>
        <v>1946359.93</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23.5</v>
      </c>
      <c r="D14" s="192">
        <v>25.98</v>
      </c>
      <c r="E14" s="147">
        <f t="shared" ref="E14:E28" si="3">IF(D$29=0,C14*2,C14+D14)</f>
        <v>49.480000000000004</v>
      </c>
      <c r="F14" s="814">
        <f>'0664'!F14:G14</f>
        <v>1.1259999999999999</v>
      </c>
      <c r="G14" s="814"/>
      <c r="H14" s="99">
        <f t="shared" ref="H14:H28" si="4">ROUND(E14*F14,4)</f>
        <v>55.714500000000001</v>
      </c>
      <c r="I14" s="120">
        <f t="shared" si="0"/>
        <v>253964.6</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228</v>
      </c>
      <c r="D15" s="192">
        <v>223.48</v>
      </c>
      <c r="E15" s="147">
        <f t="shared" si="3"/>
        <v>451.48</v>
      </c>
      <c r="F15" s="814">
        <f>'0664'!F15:G15</f>
        <v>1</v>
      </c>
      <c r="G15" s="814"/>
      <c r="H15" s="99">
        <f t="shared" si="4"/>
        <v>451.48</v>
      </c>
      <c r="I15" s="120">
        <f t="shared" si="0"/>
        <v>2057990.94</v>
      </c>
      <c r="N15" s="840" t="s">
        <v>31</v>
      </c>
      <c r="O15" s="840"/>
      <c r="P15" s="841">
        <f t="shared" si="1"/>
        <v>0</v>
      </c>
      <c r="Q15" s="841"/>
      <c r="R15" s="842">
        <v>1</v>
      </c>
      <c r="S15" s="842"/>
      <c r="T15" s="114">
        <f t="shared" si="5"/>
        <v>0</v>
      </c>
      <c r="U15" s="115">
        <f t="shared" si="2"/>
        <v>0</v>
      </c>
    </row>
    <row r="16" spans="1:21" x14ac:dyDescent="0.25">
      <c r="A16" s="764" t="s">
        <v>32</v>
      </c>
      <c r="B16" s="764"/>
      <c r="C16" s="192">
        <v>31.52</v>
      </c>
      <c r="D16" s="192">
        <v>31.98</v>
      </c>
      <c r="E16" s="147">
        <f t="shared" si="3"/>
        <v>63.5</v>
      </c>
      <c r="F16" s="814">
        <f>'0664'!F16:G16</f>
        <v>1</v>
      </c>
      <c r="G16" s="814"/>
      <c r="H16" s="99">
        <f t="shared" si="4"/>
        <v>63.5</v>
      </c>
      <c r="I16" s="120">
        <f t="shared" si="0"/>
        <v>289453.40999999997</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10.93</v>
      </c>
      <c r="D25" s="192">
        <v>9.68</v>
      </c>
      <c r="E25" s="147">
        <f t="shared" si="3"/>
        <v>20.61</v>
      </c>
      <c r="F25" s="814">
        <f>'0664'!F25:G25</f>
        <v>1.1990000000000001</v>
      </c>
      <c r="G25" s="814"/>
      <c r="H25" s="99">
        <f t="shared" si="4"/>
        <v>24.711400000000001</v>
      </c>
      <c r="I25" s="120">
        <f t="shared" si="0"/>
        <v>112642.5</v>
      </c>
      <c r="N25" s="840" t="s">
        <v>116</v>
      </c>
      <c r="O25" s="840"/>
      <c r="P25" s="841">
        <f t="shared" si="1"/>
        <v>0</v>
      </c>
      <c r="Q25" s="841"/>
      <c r="R25" s="842">
        <v>1</v>
      </c>
      <c r="S25" s="842"/>
      <c r="T25" s="114">
        <f t="shared" si="5"/>
        <v>0</v>
      </c>
      <c r="U25" s="115">
        <f t="shared" si="2"/>
        <v>0</v>
      </c>
    </row>
    <row r="26" spans="1:21" x14ac:dyDescent="0.25">
      <c r="A26" s="764" t="s">
        <v>117</v>
      </c>
      <c r="B26" s="764"/>
      <c r="C26" s="192">
        <v>4.43</v>
      </c>
      <c r="D26" s="192">
        <v>3.44</v>
      </c>
      <c r="E26" s="147">
        <f t="shared" si="3"/>
        <v>7.8699999999999992</v>
      </c>
      <c r="F26" s="814">
        <f>'0664'!F26:G26</f>
        <v>1.1990000000000001</v>
      </c>
      <c r="G26" s="814"/>
      <c r="H26" s="99">
        <f t="shared" si="4"/>
        <v>9.4360999999999997</v>
      </c>
      <c r="I26" s="120">
        <f t="shared" si="0"/>
        <v>43012.78</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488.97</v>
      </c>
      <c r="D29" s="113">
        <f>SUM(D13:D28)</f>
        <v>483.18</v>
      </c>
      <c r="E29" s="113">
        <f>SUM(E13:E28)</f>
        <v>972.15000000000009</v>
      </c>
      <c r="F29" s="820"/>
      <c r="G29" s="820"/>
      <c r="H29" s="118">
        <f>SUM(H13:H28)</f>
        <v>1031.8325</v>
      </c>
      <c r="I29" s="113">
        <f>SUM(I13:I28)</f>
        <v>4703424.16</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1031.8325</v>
      </c>
      <c r="F45" s="36"/>
      <c r="G45" s="128"/>
      <c r="H45" s="129" t="s">
        <v>131</v>
      </c>
      <c r="I45" s="113">
        <f>SUM(I43,I29)</f>
        <v>4703424.16</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17.5</v>
      </c>
      <c r="D50" s="192">
        <v>21.57</v>
      </c>
      <c r="E50" s="147">
        <f>IF(D$59=0,C50*2,C50+D50)</f>
        <v>39.07</v>
      </c>
      <c r="F50" s="40" t="s">
        <v>21</v>
      </c>
      <c r="G50" s="52">
        <v>251</v>
      </c>
      <c r="H50" s="485">
        <f>'0664'!H50</f>
        <v>1047</v>
      </c>
      <c r="I50" s="120">
        <f>ROUND(E50*H50,2)</f>
        <v>40906.29</v>
      </c>
      <c r="N50" s="863" t="s">
        <v>28</v>
      </c>
      <c r="O50" s="863"/>
      <c r="P50" s="864"/>
      <c r="Q50" s="864"/>
      <c r="R50" s="42" t="s">
        <v>21</v>
      </c>
      <c r="S50" s="43">
        <v>251</v>
      </c>
      <c r="T50" s="138">
        <f>H50</f>
        <v>1047</v>
      </c>
      <c r="U50" s="139">
        <f>ROUND(P50*T50,0)</f>
        <v>0</v>
      </c>
    </row>
    <row r="51" spans="1:21" x14ac:dyDescent="0.25">
      <c r="A51" s="792"/>
      <c r="B51" s="792"/>
      <c r="C51" s="192">
        <v>6</v>
      </c>
      <c r="D51" s="192">
        <v>4.41</v>
      </c>
      <c r="E51" s="147">
        <f t="shared" ref="E51:E58" si="10">IF(D$59=0,C51*2,C51+D51)</f>
        <v>10.41</v>
      </c>
      <c r="F51" s="52" t="s">
        <v>21</v>
      </c>
      <c r="G51" s="52">
        <v>252</v>
      </c>
      <c r="H51" s="485">
        <f>'0664'!H51</f>
        <v>3380</v>
      </c>
      <c r="I51" s="120">
        <f t="shared" ref="I51:I58" si="11">ROUND(E51*H51,2)</f>
        <v>35185.800000000003</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27.02</v>
      </c>
      <c r="D53" s="192">
        <v>28.06</v>
      </c>
      <c r="E53" s="147">
        <f t="shared" si="10"/>
        <v>55.08</v>
      </c>
      <c r="F53" s="143" t="s">
        <v>14</v>
      </c>
      <c r="G53" s="52">
        <v>251</v>
      </c>
      <c r="H53" s="485">
        <f>'0664'!H53</f>
        <v>1173</v>
      </c>
      <c r="I53" s="120">
        <f t="shared" si="11"/>
        <v>64608.84</v>
      </c>
      <c r="N53" s="863"/>
      <c r="O53" s="863"/>
      <c r="P53" s="865"/>
      <c r="Q53" s="865"/>
      <c r="R53" s="45" t="s">
        <v>14</v>
      </c>
      <c r="S53" s="43">
        <v>251</v>
      </c>
      <c r="T53" s="138">
        <f t="shared" si="12"/>
        <v>1173</v>
      </c>
      <c r="U53" s="139">
        <f t="shared" si="13"/>
        <v>0</v>
      </c>
    </row>
    <row r="54" spans="1:21" x14ac:dyDescent="0.25">
      <c r="A54" s="792"/>
      <c r="B54" s="792"/>
      <c r="C54" s="192">
        <v>4.5</v>
      </c>
      <c r="D54" s="192">
        <v>3.92</v>
      </c>
      <c r="E54" s="147">
        <f t="shared" si="10"/>
        <v>8.42</v>
      </c>
      <c r="F54" s="143" t="s">
        <v>14</v>
      </c>
      <c r="G54" s="52">
        <v>252</v>
      </c>
      <c r="H54" s="485">
        <f>'0664'!H54</f>
        <v>3506</v>
      </c>
      <c r="I54" s="120">
        <f t="shared" si="11"/>
        <v>29520.52</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55.019999999999996</v>
      </c>
      <c r="D59" s="116">
        <f>SUM(D50:D58)</f>
        <v>57.96</v>
      </c>
      <c r="E59" s="116">
        <f>SUM(E50:E58)</f>
        <v>112.98</v>
      </c>
      <c r="F59" s="767" t="s">
        <v>78</v>
      </c>
      <c r="G59" s="767"/>
      <c r="H59" s="767"/>
      <c r="I59" s="116">
        <f>SUM(I50:I58)</f>
        <v>170221.44999999998</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972.15000000000009</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5.0959999999999998E-3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1031.8325</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4.8110000000000002E-3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5.0959999999999998E-3</v>
      </c>
      <c r="I68" s="120">
        <f>ROUND(F68*H68,2)</f>
        <v>214182.72</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5.0959999999999998E-3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5.0959999999999998E-3</v>
      </c>
      <c r="I71" s="120">
        <f>IF(D71="Y",ROUND(F71*H71,2),0)</f>
        <v>747.11</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5.0959999999999998E-3</v>
      </c>
      <c r="I72" s="120">
        <f>ROUND(F72*H72,2)</f>
        <v>57777.99</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5.0959999999999998E-3</v>
      </c>
      <c r="I73" s="120">
        <f>ROUND(F73*H73,2)</f>
        <v>70744.63</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5.0959999999999998E-3</v>
      </c>
      <c r="I77" s="120">
        <f t="shared" ref="I77:I82" si="14">ROUND(F77*H77,2)</f>
        <v>38029.11</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5.0959999999999998E-3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4.8110000000000002E-3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4.8110000000000002E-3</v>
      </c>
      <c r="I80" s="120">
        <f t="shared" si="14"/>
        <v>41195.57</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4.8110000000000002E-3</v>
      </c>
      <c r="I81" s="120">
        <f t="shared" si="14"/>
        <v>811438.79</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4.8110000000000002E-3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198165.24</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5.0959999999999998E-3</v>
      </c>
      <c r="I84" s="120">
        <f>ROUND(F84*H84,2)</f>
        <v>110146.69</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507.41640000000001</v>
      </c>
      <c r="D89" s="781"/>
      <c r="E89" s="54">
        <f>H8</f>
        <v>1.0424</v>
      </c>
      <c r="F89" s="545">
        <f>'0664'!F89</f>
        <v>966.9</v>
      </c>
      <c r="G89" s="186" t="s">
        <v>13</v>
      </c>
      <c r="H89" s="120">
        <f>ROUND(C89*E89*F89,2)</f>
        <v>511423.24</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524.41610000000003</v>
      </c>
      <c r="D90" s="781"/>
      <c r="E90" s="54">
        <f>H8</f>
        <v>1.0424</v>
      </c>
      <c r="F90" s="545">
        <f>'0664'!F90</f>
        <v>923.19</v>
      </c>
      <c r="G90" s="186" t="s">
        <v>13</v>
      </c>
      <c r="H90" s="120">
        <f>ROUND(C90*E90*F90,2)</f>
        <v>504663.05</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1031.8325</v>
      </c>
      <c r="D92" s="782"/>
      <c r="E92" s="168"/>
      <c r="F92" s="168"/>
      <c r="G92" s="168"/>
      <c r="H92" s="169" t="s">
        <v>145</v>
      </c>
      <c r="I92" s="120">
        <f>IF(A1=75,0,H91+H90+H89)</f>
        <v>1016086.29</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27</v>
      </c>
      <c r="D98" s="192">
        <v>35</v>
      </c>
      <c r="E98" s="147">
        <f>(C98+D98)/2</f>
        <v>31</v>
      </c>
      <c r="F98" s="173" t="s">
        <v>39</v>
      </c>
      <c r="G98" s="546">
        <f>'0664'!G98</f>
        <v>486</v>
      </c>
      <c r="I98" s="120">
        <f>ROUND(G98*E98,2)</f>
        <v>15066</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7447225.75</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7" t="s">
        <v>306</v>
      </c>
      <c r="H118" s="188">
        <f>IF(H116=1,I116,I114)</f>
        <v>7447225.75</v>
      </c>
      <c r="I118" s="113">
        <f>ROUND(IF(E29=0,0,IF(E29&gt;250,-(((250/E29)*H118)*IF(G118="H",0.02,0.05)),IF(G118="H",-0.02*H118,-0.05*H118))),2)</f>
        <v>-38302.86</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7408922.8899999997</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-7414429.46</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-5506.570000000298</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-5506.57</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110641.66</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A13:B13"/>
    <mergeCell ref="F13:G13"/>
    <mergeCell ref="A12:B12"/>
    <mergeCell ref="F12:G12"/>
    <mergeCell ref="N13:O13"/>
    <mergeCell ref="P13:Q13"/>
    <mergeCell ref="F15:G15"/>
    <mergeCell ref="N15:O15"/>
    <mergeCell ref="A16:B16"/>
    <mergeCell ref="F16:G16"/>
    <mergeCell ref="N16:O16"/>
    <mergeCell ref="P16:Q16"/>
    <mergeCell ref="A19:B19"/>
    <mergeCell ref="F19:G19"/>
    <mergeCell ref="N19:O19"/>
    <mergeCell ref="P19:Q19"/>
    <mergeCell ref="A22:B22"/>
    <mergeCell ref="F22:G22"/>
    <mergeCell ref="N22:O22"/>
    <mergeCell ref="P22:Q22"/>
    <mergeCell ref="A25:B25"/>
    <mergeCell ref="F25:G25"/>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4:B14"/>
    <mergeCell ref="F14:G14"/>
    <mergeCell ref="N14:O14"/>
    <mergeCell ref="P14:Q14"/>
    <mergeCell ref="R14:S14"/>
    <mergeCell ref="P15:Q15"/>
    <mergeCell ref="R15:S15"/>
    <mergeCell ref="A15:B15"/>
    <mergeCell ref="R16:S16"/>
    <mergeCell ref="A17:B17"/>
    <mergeCell ref="F17:G17"/>
    <mergeCell ref="N17:O17"/>
    <mergeCell ref="P17:Q17"/>
    <mergeCell ref="R17:S17"/>
    <mergeCell ref="A18:B18"/>
    <mergeCell ref="F18:G18"/>
    <mergeCell ref="N18:O18"/>
    <mergeCell ref="P18:Q18"/>
    <mergeCell ref="R18:S18"/>
    <mergeCell ref="R19:S19"/>
    <mergeCell ref="A20:B20"/>
    <mergeCell ref="F20:G20"/>
    <mergeCell ref="N20:O20"/>
    <mergeCell ref="P20:Q20"/>
    <mergeCell ref="R20:S20"/>
    <mergeCell ref="A21:B21"/>
    <mergeCell ref="F21:G21"/>
    <mergeCell ref="N21:O21"/>
    <mergeCell ref="P21:Q21"/>
    <mergeCell ref="R21:S21"/>
    <mergeCell ref="R22:S22"/>
    <mergeCell ref="A23:B23"/>
    <mergeCell ref="F23:G23"/>
    <mergeCell ref="N23:O23"/>
    <mergeCell ref="P23:Q23"/>
    <mergeCell ref="R23:S23"/>
    <mergeCell ref="A24:B24"/>
    <mergeCell ref="F24:G24"/>
    <mergeCell ref="N24:O24"/>
    <mergeCell ref="P24:Q24"/>
    <mergeCell ref="R24:S24"/>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78:P78"/>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A98:B98"/>
    <mergeCell ref="N98:O98"/>
    <mergeCell ref="P98:R98"/>
    <mergeCell ref="A99:B99"/>
    <mergeCell ref="N99:O99"/>
    <mergeCell ref="P99:R99"/>
    <mergeCell ref="P107:Q107"/>
    <mergeCell ref="R107:S107"/>
    <mergeCell ref="A102:C102"/>
    <mergeCell ref="F102:I102"/>
    <mergeCell ref="N102:U102"/>
    <mergeCell ref="C103:E103"/>
    <mergeCell ref="F104:G104"/>
    <mergeCell ref="A105:B105"/>
    <mergeCell ref="F105:G105"/>
    <mergeCell ref="N105:O105"/>
    <mergeCell ref="A106:B106"/>
    <mergeCell ref="F106:G106"/>
    <mergeCell ref="N106:O106"/>
    <mergeCell ref="P106:Q106"/>
    <mergeCell ref="R106:S106"/>
    <mergeCell ref="A107:B107"/>
    <mergeCell ref="F107:G107"/>
    <mergeCell ref="P105:Q105"/>
    <mergeCell ref="R105:S105"/>
    <mergeCell ref="A111:C111"/>
    <mergeCell ref="F111:H111"/>
    <mergeCell ref="N111:P111"/>
    <mergeCell ref="A108:B108"/>
    <mergeCell ref="F108:G108"/>
    <mergeCell ref="N108:O108"/>
    <mergeCell ref="P108:Q108"/>
    <mergeCell ref="N107:O107"/>
    <mergeCell ref="R108:S108"/>
    <mergeCell ref="A109:B109"/>
    <mergeCell ref="N109:O109"/>
    <mergeCell ref="N135:U135"/>
    <mergeCell ref="N115:U115"/>
    <mergeCell ref="N112:P112"/>
    <mergeCell ref="A112:C112"/>
    <mergeCell ref="F112:H112"/>
    <mergeCell ref="N113:T113"/>
    <mergeCell ref="A114:H114"/>
    <mergeCell ref="A115:G115"/>
    <mergeCell ref="N116:U116"/>
    <mergeCell ref="A116:G11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FF00"/>
  </sheetPr>
  <dimension ref="A1:U202"/>
  <sheetViews>
    <sheetView showGridLines="0" zoomScale="90" zoomScaleNormal="90" workbookViewId="0">
      <pane ySplit="1" topLeftCell="A83"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442" t="s">
        <v>176</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J9" s="400"/>
      <c r="K9" s="399"/>
      <c r="L9" s="399"/>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J10" s="401"/>
      <c r="K10" s="402"/>
      <c r="L10" s="402"/>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J11" s="400"/>
      <c r="K11" s="402"/>
      <c r="L11" s="402"/>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K12" s="394"/>
      <c r="L12" s="394"/>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223.64</v>
      </c>
      <c r="D15" s="192">
        <v>218.56</v>
      </c>
      <c r="E15" s="147">
        <f t="shared" si="3"/>
        <v>442.2</v>
      </c>
      <c r="F15" s="814">
        <f>'0664'!F15:G15</f>
        <v>1</v>
      </c>
      <c r="G15" s="814"/>
      <c r="H15" s="99">
        <f t="shared" si="4"/>
        <v>442.2</v>
      </c>
      <c r="I15" s="120">
        <f t="shared" si="0"/>
        <v>2015689.72</v>
      </c>
      <c r="N15" s="840" t="s">
        <v>31</v>
      </c>
      <c r="O15" s="840"/>
      <c r="P15" s="841">
        <f t="shared" si="1"/>
        <v>0</v>
      </c>
      <c r="Q15" s="841"/>
      <c r="R15" s="842">
        <v>1</v>
      </c>
      <c r="S15" s="842"/>
      <c r="T15" s="114">
        <f t="shared" si="5"/>
        <v>0</v>
      </c>
      <c r="U15" s="115">
        <f t="shared" si="2"/>
        <v>0</v>
      </c>
    </row>
    <row r="16" spans="1:21" x14ac:dyDescent="0.25">
      <c r="A16" s="764" t="s">
        <v>32</v>
      </c>
      <c r="B16" s="764"/>
      <c r="C16" s="192">
        <v>37.869999999999997</v>
      </c>
      <c r="D16" s="192">
        <v>38.630000000000003</v>
      </c>
      <c r="E16" s="147">
        <f t="shared" si="3"/>
        <v>76.5</v>
      </c>
      <c r="F16" s="814">
        <f>'0664'!F16:G16</f>
        <v>1</v>
      </c>
      <c r="G16" s="814"/>
      <c r="H16" s="99">
        <f t="shared" si="4"/>
        <v>76.5</v>
      </c>
      <c r="I16" s="120">
        <f t="shared" si="0"/>
        <v>348711.59</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3.67</v>
      </c>
      <c r="D26" s="192">
        <v>4.57</v>
      </c>
      <c r="E26" s="147">
        <f t="shared" si="3"/>
        <v>8.24</v>
      </c>
      <c r="F26" s="814">
        <f>'0664'!F26:G26</f>
        <v>1.1990000000000001</v>
      </c>
      <c r="G26" s="814"/>
      <c r="H26" s="99">
        <f t="shared" si="4"/>
        <v>9.8797999999999995</v>
      </c>
      <c r="I26" s="120">
        <f t="shared" si="0"/>
        <v>45035.3</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265.18</v>
      </c>
      <c r="D29" s="113">
        <f>SUM(D13:D28)</f>
        <v>261.76</v>
      </c>
      <c r="E29" s="113">
        <f>SUM(E13:E28)</f>
        <v>526.94000000000005</v>
      </c>
      <c r="F29" s="820"/>
      <c r="G29" s="820"/>
      <c r="H29" s="118">
        <f>SUM(H13:H28)</f>
        <v>528.57980000000009</v>
      </c>
      <c r="I29" s="113">
        <f>SUM(I13:I28)</f>
        <v>2409436.61</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528.57980000000009</v>
      </c>
      <c r="F45" s="36"/>
      <c r="G45" s="128"/>
      <c r="H45" s="129" t="s">
        <v>131</v>
      </c>
      <c r="I45" s="113">
        <f>SUM(I43,I29)</f>
        <v>2409436.61</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36.369999999999997</v>
      </c>
      <c r="D53" s="192">
        <v>37.130000000000003</v>
      </c>
      <c r="E53" s="147">
        <f t="shared" si="10"/>
        <v>73.5</v>
      </c>
      <c r="F53" s="143" t="s">
        <v>14</v>
      </c>
      <c r="G53" s="52">
        <v>251</v>
      </c>
      <c r="H53" s="485">
        <f>'0664'!H53</f>
        <v>1173</v>
      </c>
      <c r="I53" s="120">
        <f t="shared" si="11"/>
        <v>86215.5</v>
      </c>
      <c r="N53" s="863"/>
      <c r="O53" s="863"/>
      <c r="P53" s="865"/>
      <c r="Q53" s="865"/>
      <c r="R53" s="45" t="s">
        <v>14</v>
      </c>
      <c r="S53" s="43">
        <v>251</v>
      </c>
      <c r="T53" s="138">
        <f t="shared" si="12"/>
        <v>1173</v>
      </c>
      <c r="U53" s="139">
        <f t="shared" si="13"/>
        <v>0</v>
      </c>
    </row>
    <row r="54" spans="1:21" x14ac:dyDescent="0.25">
      <c r="A54" s="792"/>
      <c r="B54" s="792"/>
      <c r="C54" s="192">
        <v>1.5</v>
      </c>
      <c r="D54" s="192">
        <v>1.5</v>
      </c>
      <c r="E54" s="147">
        <f t="shared" si="10"/>
        <v>3</v>
      </c>
      <c r="F54" s="143" t="s">
        <v>14</v>
      </c>
      <c r="G54" s="52">
        <v>252</v>
      </c>
      <c r="H54" s="485">
        <f>'0664'!H54</f>
        <v>3506</v>
      </c>
      <c r="I54" s="120">
        <f t="shared" si="11"/>
        <v>10518</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37.869999999999997</v>
      </c>
      <c r="D59" s="116">
        <f>SUM(D50:D58)</f>
        <v>38.630000000000003</v>
      </c>
      <c r="E59" s="116">
        <f>SUM(E50:E58)</f>
        <v>76.5</v>
      </c>
      <c r="F59" s="767" t="s">
        <v>78</v>
      </c>
      <c r="G59" s="767"/>
      <c r="H59" s="767"/>
      <c r="I59" s="116">
        <f>SUM(I50:I58)</f>
        <v>96733.5</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526.94000000000005</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2.7620000000000001E-3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528.57980000000009</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2.4650000000000002E-3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2.7620000000000001E-3</v>
      </c>
      <c r="I68" s="120">
        <f>ROUND(F68*H68,2)</f>
        <v>116085.69</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2.7620000000000001E-3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2.7620000000000001E-3</v>
      </c>
      <c r="I71" s="120">
        <f>IF(D71="Y",ROUND(F71*H71,2),0)</f>
        <v>404.93</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2.7620000000000001E-3</v>
      </c>
      <c r="I72" s="120">
        <f>ROUND(F72*H72,2)</f>
        <v>31315.31</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2.7620000000000001E-3</v>
      </c>
      <c r="I73" s="120">
        <f>ROUND(F73*H73,2)</f>
        <v>38343.15</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2.7620000000000001E-3</v>
      </c>
      <c r="I77" s="120">
        <f t="shared" ref="I77:I82" si="14">ROUND(F77*H77,2)</f>
        <v>20611.54</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2.7620000000000001E-3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2.4650000000000002E-3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2.4650000000000002E-3</v>
      </c>
      <c r="I80" s="120">
        <f t="shared" si="14"/>
        <v>21107.27</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2.4650000000000002E-3</v>
      </c>
      <c r="I81" s="120">
        <f t="shared" si="14"/>
        <v>415754.86</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2.4650000000000002E-3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95872.6</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2.7620000000000001E-3</v>
      </c>
      <c r="I84" s="120">
        <f>ROUND(F84*H84,2)</f>
        <v>59698.82</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528.57980000000009</v>
      </c>
      <c r="D90" s="781"/>
      <c r="E90" s="54">
        <f>H8</f>
        <v>1.0424</v>
      </c>
      <c r="F90" s="545">
        <f>'0664'!F90</f>
        <v>923.19</v>
      </c>
      <c r="G90" s="186" t="s">
        <v>13</v>
      </c>
      <c r="H90" s="120">
        <f>ROUND(C90*E90*F90,2)</f>
        <v>508669.92</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528.57980000000009</v>
      </c>
      <c r="D92" s="782"/>
      <c r="E92" s="168"/>
      <c r="F92" s="168"/>
      <c r="G92" s="168"/>
      <c r="H92" s="169" t="s">
        <v>145</v>
      </c>
      <c r="I92" s="120">
        <f>IF(A1=75,0,H91+H90+H89)</f>
        <v>508669.92</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150</v>
      </c>
      <c r="D98" s="192">
        <v>160</v>
      </c>
      <c r="E98" s="147">
        <f>(C98+D98)/2</f>
        <v>155</v>
      </c>
      <c r="F98" s="173" t="s">
        <v>39</v>
      </c>
      <c r="G98" s="546">
        <f>'0664'!G98</f>
        <v>486</v>
      </c>
      <c r="I98" s="120">
        <f>ROUND(G98*E98,2)</f>
        <v>75330</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3889364.1999999997</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3889364.1999999997</v>
      </c>
      <c r="I118" s="113">
        <f>ROUND(IF(E29=0,0,IF(E29&gt;250,-(((250/E29)*H118)*IF(G118="H",0.02,0.05)),IF(G118="H",-0.02*H118,-0.05*H118))),2)</f>
        <v>-92262.98</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3797101.2199999997</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412" t="s">
        <v>308</v>
      </c>
      <c r="B122" s="411"/>
      <c r="C122" s="189"/>
      <c r="D122" s="86"/>
      <c r="F122" s="86"/>
      <c r="G122" s="86"/>
      <c r="H122" s="89"/>
      <c r="I122" s="424">
        <v>-3799366.89</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-2265.6700000003912</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98" t="s">
        <v>307</v>
      </c>
      <c r="B128" s="86"/>
      <c r="C128" s="86"/>
      <c r="D128" s="86"/>
      <c r="E128" s="86"/>
      <c r="F128" s="86"/>
      <c r="G128" s="86"/>
      <c r="H128" s="89"/>
      <c r="I128" s="205">
        <f>ROUND(I124/I126,2)</f>
        <v>-2265.67</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102205.23</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R192"/>
  <sheetViews>
    <sheetView showGridLines="0" zoomScale="90" zoomScaleNormal="90" workbookViewId="0">
      <selection activeCell="M15" sqref="M15"/>
    </sheetView>
  </sheetViews>
  <sheetFormatPr defaultRowHeight="15.75" x14ac:dyDescent="0.25"/>
  <cols>
    <col min="1" max="1" width="10.28515625" style="86" customWidth="1"/>
    <col min="2" max="2" width="30.28515625" style="3" bestFit="1" customWidth="1"/>
    <col min="3" max="3" width="12.7109375" style="3" customWidth="1"/>
    <col min="4" max="4" width="11.5703125" style="3" customWidth="1"/>
    <col min="5" max="6" width="14" style="3" customWidth="1"/>
    <col min="7" max="7" width="7.42578125" style="3" customWidth="1"/>
    <col min="8" max="8" width="15.7109375" style="3" customWidth="1"/>
    <col min="9" max="9" width="20.85546875" style="3" bestFit="1" customWidth="1"/>
    <col min="10" max="10" width="17.7109375" style="3" bestFit="1" customWidth="1"/>
    <col min="11" max="11" width="15.7109375" style="3" bestFit="1" customWidth="1"/>
    <col min="12" max="12" width="16.85546875" style="3" bestFit="1" customWidth="1"/>
    <col min="13" max="16384" width="9.140625" style="3"/>
  </cols>
  <sheetData>
    <row r="1" spans="1:12" ht="16.5" thickBot="1" x14ac:dyDescent="0.3">
      <c r="A1" s="101">
        <v>50</v>
      </c>
      <c r="B1" s="800" t="s">
        <v>17</v>
      </c>
      <c r="C1" s="801"/>
      <c r="D1" s="801"/>
      <c r="E1" s="802"/>
      <c r="F1" s="802"/>
      <c r="G1" s="802"/>
      <c r="H1" s="802"/>
      <c r="I1" s="802"/>
      <c r="J1" s="288"/>
      <c r="K1" s="288"/>
      <c r="L1" s="288"/>
    </row>
    <row r="2" spans="1:12" ht="21" x14ac:dyDescent="0.35">
      <c r="A2" s="1" t="s">
        <v>320</v>
      </c>
      <c r="B2" s="2"/>
      <c r="C2" s="2"/>
      <c r="D2" s="2"/>
      <c r="E2" s="2"/>
      <c r="F2" s="2"/>
      <c r="G2" s="2"/>
      <c r="H2" s="2"/>
      <c r="I2" s="2"/>
    </row>
    <row r="3" spans="1:12" x14ac:dyDescent="0.25">
      <c r="A3" s="100" t="str">
        <f>'0664'!A3</f>
        <v>Based on the FLDOE 2021-22 FEFP Final Calculation</v>
      </c>
    </row>
    <row r="4" spans="1:12" x14ac:dyDescent="0.25">
      <c r="A4" s="803" t="s">
        <v>0</v>
      </c>
      <c r="B4" s="803"/>
      <c r="C4" s="804" t="s">
        <v>9</v>
      </c>
      <c r="D4" s="804"/>
      <c r="E4" s="804"/>
      <c r="F4" s="4" t="str">
        <f>'0664'!F4</f>
        <v>FY 2021-2022 Final Payment</v>
      </c>
      <c r="G4" s="4"/>
      <c r="H4" s="4"/>
      <c r="I4" s="4"/>
    </row>
    <row r="5" spans="1:12" ht="12" customHeight="1" thickBot="1" x14ac:dyDescent="0.3">
      <c r="A5" s="315"/>
      <c r="B5" s="315"/>
      <c r="C5" s="316"/>
      <c r="D5" s="316"/>
      <c r="E5" s="316"/>
      <c r="F5" s="317"/>
      <c r="G5" s="317"/>
      <c r="H5" s="317"/>
      <c r="I5" s="317"/>
    </row>
    <row r="6" spans="1:12" ht="12" customHeight="1" x14ac:dyDescent="0.25">
      <c r="A6" s="166"/>
      <c r="B6" s="166"/>
      <c r="C6" s="331"/>
      <c r="D6" s="331"/>
      <c r="E6" s="331"/>
      <c r="F6" s="332"/>
      <c r="G6" s="332"/>
      <c r="H6" s="332"/>
      <c r="I6" s="332"/>
      <c r="K6" s="390"/>
    </row>
    <row r="7" spans="1:12" x14ac:dyDescent="0.25">
      <c r="A7" s="805" t="str">
        <f>'0664'!A7:I7</f>
        <v>1.   2021-22 FEFP State and Local Funding</v>
      </c>
      <c r="B7" s="805"/>
      <c r="C7" s="805"/>
      <c r="D7" s="805"/>
      <c r="E7" s="805"/>
      <c r="F7" s="805"/>
      <c r="G7" s="805"/>
      <c r="H7" s="805"/>
      <c r="I7" s="805"/>
      <c r="K7" s="390"/>
    </row>
    <row r="8" spans="1:12" x14ac:dyDescent="0.25">
      <c r="A8" s="103"/>
      <c r="B8" s="104" t="s">
        <v>125</v>
      </c>
      <c r="C8" s="284">
        <f>'0664'!C8</f>
        <v>4372.91</v>
      </c>
      <c r="D8" s="105"/>
      <c r="E8" s="106"/>
      <c r="F8" s="285"/>
      <c r="G8" s="286" t="s">
        <v>124</v>
      </c>
      <c r="H8" s="287">
        <f>'0664'!H8</f>
        <v>1.0424</v>
      </c>
      <c r="I8" s="94"/>
    </row>
    <row r="9" spans="1:12" x14ac:dyDescent="0.25">
      <c r="A9" s="7"/>
      <c r="B9" s="7"/>
      <c r="C9" s="8"/>
      <c r="D9" s="8"/>
      <c r="E9" s="8"/>
      <c r="F9" s="9"/>
      <c r="G9" s="9"/>
      <c r="H9" s="10"/>
      <c r="I9" s="722" t="str">
        <f>'0664'!I9</f>
        <v>2021-22</v>
      </c>
    </row>
    <row r="10" spans="1:12" x14ac:dyDescent="0.25">
      <c r="A10" s="7"/>
      <c r="B10" s="7"/>
      <c r="C10" s="600" t="s">
        <v>435</v>
      </c>
      <c r="D10" s="669" t="s">
        <v>436</v>
      </c>
      <c r="E10" s="108" t="s">
        <v>8</v>
      </c>
      <c r="F10" s="806" t="s">
        <v>1</v>
      </c>
      <c r="G10" s="806"/>
      <c r="H10" s="10" t="s">
        <v>74</v>
      </c>
      <c r="I10" s="11" t="s">
        <v>36</v>
      </c>
    </row>
    <row r="11" spans="1:12" x14ac:dyDescent="0.25">
      <c r="A11" s="797" t="s">
        <v>1</v>
      </c>
      <c r="B11" s="797"/>
      <c r="C11" s="622" t="s">
        <v>2</v>
      </c>
      <c r="D11" s="622" t="s">
        <v>2</v>
      </c>
      <c r="E11" s="109" t="s">
        <v>2</v>
      </c>
      <c r="F11" s="807" t="s">
        <v>77</v>
      </c>
      <c r="G11" s="807"/>
      <c r="H11" s="17" t="s">
        <v>73</v>
      </c>
      <c r="I11" s="18" t="s">
        <v>76</v>
      </c>
    </row>
    <row r="12" spans="1:12" x14ac:dyDescent="0.25">
      <c r="A12" s="808" t="s">
        <v>48</v>
      </c>
      <c r="B12" s="808"/>
      <c r="C12" s="110"/>
      <c r="D12" s="110"/>
      <c r="E12" s="111" t="s">
        <v>49</v>
      </c>
      <c r="F12" s="809" t="s">
        <v>50</v>
      </c>
      <c r="G12" s="809"/>
      <c r="H12" s="21" t="s">
        <v>51</v>
      </c>
      <c r="I12" s="22" t="s">
        <v>52</v>
      </c>
    </row>
    <row r="13" spans="1:12" x14ac:dyDescent="0.25">
      <c r="A13" s="798" t="s">
        <v>29</v>
      </c>
      <c r="B13" s="798"/>
      <c r="C13" s="190">
        <f>SUM('0664:4111'!C13)</f>
        <v>2441.83</v>
      </c>
      <c r="D13" s="190">
        <f>SUM('0664:4111'!D13)</f>
        <v>2384.5499999999997</v>
      </c>
      <c r="E13" s="245">
        <f>SUM('0664:4111'!E13)</f>
        <v>4826.38</v>
      </c>
      <c r="F13" s="799">
        <f>'0664'!F13:G13</f>
        <v>1.1259999999999999</v>
      </c>
      <c r="G13" s="799"/>
      <c r="H13" s="194">
        <f>ROUND(E13*F13,4)</f>
        <v>5434.5038999999997</v>
      </c>
      <c r="I13" s="140">
        <f>SUM('0664:4111'!I13)</f>
        <v>24772215.34</v>
      </c>
    </row>
    <row r="14" spans="1:12" x14ac:dyDescent="0.25">
      <c r="A14" s="764" t="s">
        <v>30</v>
      </c>
      <c r="B14" s="764"/>
      <c r="C14" s="192">
        <f>SUM('0664:4111'!C14)</f>
        <v>284.92</v>
      </c>
      <c r="D14" s="192">
        <f>SUM('0664:4111'!D14)</f>
        <v>300.80999999999995</v>
      </c>
      <c r="E14" s="147">
        <f>SUM('0664:4111'!E14)</f>
        <v>585.7299999999999</v>
      </c>
      <c r="F14" s="796">
        <f>'0664'!F14:G14</f>
        <v>1.1259999999999999</v>
      </c>
      <c r="G14" s="796"/>
      <c r="H14" s="99">
        <f t="shared" ref="H14:H30" si="0">ROUND(E14*F14,4)</f>
        <v>659.53200000000004</v>
      </c>
      <c r="I14" s="120">
        <f>SUM('0664:4111'!I14)</f>
        <v>3006358.36</v>
      </c>
      <c r="J14" s="81"/>
    </row>
    <row r="15" spans="1:12" x14ac:dyDescent="0.25">
      <c r="A15" s="764" t="s">
        <v>31</v>
      </c>
      <c r="B15" s="764"/>
      <c r="C15" s="192">
        <f>SUM('0664:4111'!C15)</f>
        <v>3574.4699999999993</v>
      </c>
      <c r="D15" s="192">
        <f>SUM('0664:4111'!D15)</f>
        <v>3578.9899999999989</v>
      </c>
      <c r="E15" s="147">
        <f>SUM('0664:4111'!E15)</f>
        <v>7153.4599999999991</v>
      </c>
      <c r="F15" s="796">
        <f>'0664'!F15:G15</f>
        <v>1</v>
      </c>
      <c r="G15" s="796"/>
      <c r="H15" s="99">
        <f t="shared" si="0"/>
        <v>7153.46</v>
      </c>
      <c r="I15" s="120">
        <f>SUM('0664:4111'!I15)</f>
        <v>32607769.690000005</v>
      </c>
    </row>
    <row r="16" spans="1:12" x14ac:dyDescent="0.25">
      <c r="A16" s="764" t="s">
        <v>32</v>
      </c>
      <c r="B16" s="764"/>
      <c r="C16" s="192">
        <f>SUM('0664:4111'!C16)</f>
        <v>665.97</v>
      </c>
      <c r="D16" s="192">
        <f>SUM('0664:4111'!D16)</f>
        <v>646.61</v>
      </c>
      <c r="E16" s="147">
        <f>SUM('0664:4111'!E16)</f>
        <v>1312.58</v>
      </c>
      <c r="F16" s="796">
        <f>'0664'!F16:G16</f>
        <v>1</v>
      </c>
      <c r="G16" s="796"/>
      <c r="H16" s="99">
        <f t="shared" si="0"/>
        <v>1312.58</v>
      </c>
      <c r="I16" s="120">
        <f>SUM('0664:4111'!I16)</f>
        <v>5983161.4900000012</v>
      </c>
      <c r="J16" s="81"/>
    </row>
    <row r="17" spans="1:10" x14ac:dyDescent="0.25">
      <c r="A17" s="764" t="s">
        <v>33</v>
      </c>
      <c r="B17" s="764"/>
      <c r="C17" s="192">
        <f>SUM('0664:4111'!C17)</f>
        <v>2111.2199999999998</v>
      </c>
      <c r="D17" s="192">
        <f>SUM('0664:4111'!D17)</f>
        <v>2175.12</v>
      </c>
      <c r="E17" s="147">
        <f>SUM('0664:4111'!E17)</f>
        <v>4286.34</v>
      </c>
      <c r="F17" s="796">
        <f>'0664'!F17:G17</f>
        <v>1.01</v>
      </c>
      <c r="G17" s="796"/>
      <c r="H17" s="99">
        <f t="shared" si="0"/>
        <v>4329.2034000000003</v>
      </c>
      <c r="I17" s="120">
        <f>SUM('0664:4111'!I17)</f>
        <v>19733900.440000001</v>
      </c>
    </row>
    <row r="18" spans="1:10" x14ac:dyDescent="0.25">
      <c r="A18" s="764" t="s">
        <v>34</v>
      </c>
      <c r="B18" s="764"/>
      <c r="C18" s="192">
        <f>SUM('0664:4111'!C18)</f>
        <v>527.07999999999993</v>
      </c>
      <c r="D18" s="192">
        <f>SUM('0664:4111'!D18)</f>
        <v>534.67000000000007</v>
      </c>
      <c r="E18" s="147">
        <f>SUM('0664:4111'!E18)</f>
        <v>1061.7500000000002</v>
      </c>
      <c r="F18" s="796">
        <f>'0664'!F18:G18</f>
        <v>1.01</v>
      </c>
      <c r="G18" s="796"/>
      <c r="H18" s="99">
        <f t="shared" si="0"/>
        <v>1072.3675000000001</v>
      </c>
      <c r="I18" s="120">
        <f>SUM('0664:4111'!I18)</f>
        <v>4888195.72</v>
      </c>
      <c r="J18" s="81"/>
    </row>
    <row r="19" spans="1:10" x14ac:dyDescent="0.25">
      <c r="A19" s="764" t="s">
        <v>110</v>
      </c>
      <c r="B19" s="764"/>
      <c r="C19" s="192">
        <f>SUM('0664:4111'!C19)</f>
        <v>88.990000000000009</v>
      </c>
      <c r="D19" s="192">
        <f>SUM('0664:4111'!D19)</f>
        <v>85.84</v>
      </c>
      <c r="E19" s="147">
        <f>SUM('0664:4111'!E19)</f>
        <v>174.83</v>
      </c>
      <c r="F19" s="796">
        <f>'0664'!F19:G19</f>
        <v>3.6480000000000001</v>
      </c>
      <c r="G19" s="796"/>
      <c r="H19" s="99">
        <f t="shared" si="0"/>
        <v>637.77980000000002</v>
      </c>
      <c r="I19" s="120">
        <f>SUM('0664:4111'!I19)</f>
        <v>2907205.75</v>
      </c>
    </row>
    <row r="20" spans="1:10" x14ac:dyDescent="0.25">
      <c r="A20" s="764" t="s">
        <v>111</v>
      </c>
      <c r="B20" s="764"/>
      <c r="C20" s="192">
        <f>SUM('0664:4111'!C20)</f>
        <v>87.5</v>
      </c>
      <c r="D20" s="192">
        <f>SUM('0664:4111'!D20)</f>
        <v>78.5</v>
      </c>
      <c r="E20" s="147">
        <f>SUM('0664:4111'!E20)</f>
        <v>166</v>
      </c>
      <c r="F20" s="796">
        <f>'0664'!F20:G20</f>
        <v>3.6480000000000001</v>
      </c>
      <c r="G20" s="796"/>
      <c r="H20" s="99">
        <f t="shared" si="0"/>
        <v>605.56799999999998</v>
      </c>
      <c r="I20" s="120">
        <f>SUM('0664:4111'!I20)</f>
        <v>2760373.56</v>
      </c>
    </row>
    <row r="21" spans="1:10" x14ac:dyDescent="0.25">
      <c r="A21" s="764" t="s">
        <v>112</v>
      </c>
      <c r="B21" s="764"/>
      <c r="C21" s="192">
        <f>SUM('0664:4111'!C21)</f>
        <v>69.489999999999995</v>
      </c>
      <c r="D21" s="192">
        <f>SUM('0664:4111'!D21)</f>
        <v>65.97</v>
      </c>
      <c r="E21" s="147">
        <f>SUM('0664:4111'!E21)</f>
        <v>135.45999999999998</v>
      </c>
      <c r="F21" s="796">
        <f>'0664'!F21:G21</f>
        <v>3.6480000000000001</v>
      </c>
      <c r="G21" s="796"/>
      <c r="H21" s="99">
        <f t="shared" si="0"/>
        <v>494.15809999999999</v>
      </c>
      <c r="I21" s="120">
        <f>SUM('0664:4111'!I21)</f>
        <v>2252531.4299999997</v>
      </c>
    </row>
    <row r="22" spans="1:10" x14ac:dyDescent="0.25">
      <c r="A22" s="764" t="s">
        <v>113</v>
      </c>
      <c r="B22" s="764"/>
      <c r="C22" s="192">
        <f>SUM('0664:4111'!C22)</f>
        <v>20.5</v>
      </c>
      <c r="D22" s="192">
        <f>SUM('0664:4111'!D22)</f>
        <v>29.5</v>
      </c>
      <c r="E22" s="147">
        <f>SUM('0664:4111'!E22)</f>
        <v>50</v>
      </c>
      <c r="F22" s="796">
        <f>'0664'!F22:G22</f>
        <v>5.34</v>
      </c>
      <c r="G22" s="796"/>
      <c r="H22" s="99">
        <f t="shared" si="0"/>
        <v>267</v>
      </c>
      <c r="I22" s="120">
        <f>SUM('0664:4111'!I22)</f>
        <v>1217071.81</v>
      </c>
    </row>
    <row r="23" spans="1:10" x14ac:dyDescent="0.25">
      <c r="A23" s="764" t="s">
        <v>114</v>
      </c>
      <c r="B23" s="764"/>
      <c r="C23" s="192">
        <f>SUM('0664:4111'!C23)</f>
        <v>37</v>
      </c>
      <c r="D23" s="192">
        <f>SUM('0664:4111'!D23)</f>
        <v>45</v>
      </c>
      <c r="E23" s="147">
        <f>SUM('0664:4111'!E23)</f>
        <v>82</v>
      </c>
      <c r="F23" s="796">
        <f>'0664'!F23:G23</f>
        <v>5.34</v>
      </c>
      <c r="G23" s="796"/>
      <c r="H23" s="99">
        <f t="shared" si="0"/>
        <v>437.88</v>
      </c>
      <c r="I23" s="120">
        <f>SUM('0664:4111'!I23)</f>
        <v>1995997.78</v>
      </c>
    </row>
    <row r="24" spans="1:10" x14ac:dyDescent="0.25">
      <c r="A24" s="764" t="s">
        <v>115</v>
      </c>
      <c r="B24" s="764"/>
      <c r="C24" s="192">
        <f>SUM('0664:4111'!C24)</f>
        <v>47</v>
      </c>
      <c r="D24" s="192">
        <f>SUM('0664:4111'!D24)</f>
        <v>45.5</v>
      </c>
      <c r="E24" s="147">
        <f>SUM('0664:4111'!E24)</f>
        <v>92.5</v>
      </c>
      <c r="F24" s="796">
        <f>'0664'!F24:G24</f>
        <v>5.34</v>
      </c>
      <c r="G24" s="796"/>
      <c r="H24" s="99">
        <f t="shared" si="0"/>
        <v>493.95</v>
      </c>
      <c r="I24" s="120">
        <f>SUM('0664:4111'!I24)</f>
        <v>2251582.85</v>
      </c>
    </row>
    <row r="25" spans="1:10" x14ac:dyDescent="0.25">
      <c r="A25" s="764" t="s">
        <v>116</v>
      </c>
      <c r="B25" s="764"/>
      <c r="C25" s="192">
        <f>SUM('0664:4111'!C25)</f>
        <v>396.90000000000003</v>
      </c>
      <c r="D25" s="192">
        <f>SUM('0664:4111'!D25)</f>
        <v>393.03</v>
      </c>
      <c r="E25" s="147">
        <f>SUM('0664:4111'!E25)</f>
        <v>789.93</v>
      </c>
      <c r="F25" s="796">
        <f>'0664'!F25:G25</f>
        <v>1.1990000000000001</v>
      </c>
      <c r="G25" s="796"/>
      <c r="H25" s="99">
        <f t="shared" si="0"/>
        <v>947.12609999999995</v>
      </c>
      <c r="I25" s="120">
        <f>SUM('0664:4111'!I25)</f>
        <v>4317305.6100000003</v>
      </c>
    </row>
    <row r="26" spans="1:10" x14ac:dyDescent="0.25">
      <c r="A26" s="764" t="s">
        <v>117</v>
      </c>
      <c r="B26" s="764"/>
      <c r="C26" s="192">
        <f>SUM('0664:4111'!C26)</f>
        <v>268.87</v>
      </c>
      <c r="D26" s="192">
        <f>SUM('0664:4111'!D26)</f>
        <v>249.46999999999997</v>
      </c>
      <c r="E26" s="147">
        <f>SUM('0664:4111'!E26)</f>
        <v>518.33999999999992</v>
      </c>
      <c r="F26" s="796">
        <f>'0664'!F26:G26</f>
        <v>1.1990000000000001</v>
      </c>
      <c r="G26" s="796"/>
      <c r="H26" s="99">
        <f t="shared" si="0"/>
        <v>621.48969999999997</v>
      </c>
      <c r="I26" s="120">
        <f>SUM('0664:4111'!I26)</f>
        <v>2832949.33</v>
      </c>
    </row>
    <row r="27" spans="1:10" x14ac:dyDescent="0.25">
      <c r="A27" s="764" t="s">
        <v>118</v>
      </c>
      <c r="B27" s="764"/>
      <c r="C27" s="192">
        <f>SUM('0664:4111'!C27)</f>
        <v>130.17000000000002</v>
      </c>
      <c r="D27" s="192">
        <f>SUM('0664:4111'!D27)</f>
        <v>129.13999999999999</v>
      </c>
      <c r="E27" s="147">
        <f>SUM('0664:4111'!E27)</f>
        <v>259.30999999999995</v>
      </c>
      <c r="F27" s="796">
        <f>'0664'!F27:G27</f>
        <v>1.1990000000000001</v>
      </c>
      <c r="G27" s="796"/>
      <c r="H27" s="99">
        <f t="shared" si="0"/>
        <v>310.91269999999997</v>
      </c>
      <c r="I27" s="120">
        <f>SUM('0664:4111'!I27)</f>
        <v>1417240.02</v>
      </c>
    </row>
    <row r="28" spans="1:10" x14ac:dyDescent="0.25">
      <c r="A28" s="790" t="s">
        <v>119</v>
      </c>
      <c r="B28" s="790"/>
      <c r="C28" s="137">
        <f>SUM('0664:4111'!C28)</f>
        <v>307.36999999999995</v>
      </c>
      <c r="D28" s="137">
        <f>SUM('0664:4111'!D28)</f>
        <v>299.63</v>
      </c>
      <c r="E28" s="204">
        <f>SUM('0664:4111'!E28)</f>
        <v>607</v>
      </c>
      <c r="F28" s="793">
        <f>'0664'!F28:G28</f>
        <v>1.01</v>
      </c>
      <c r="G28" s="793"/>
      <c r="H28" s="112">
        <f t="shared" si="0"/>
        <v>613.07000000000005</v>
      </c>
      <c r="I28" s="113">
        <f>SUM('0664:4111'!I28)</f>
        <v>2794570.0999999992</v>
      </c>
    </row>
    <row r="29" spans="1:10" x14ac:dyDescent="0.25">
      <c r="A29" s="794" t="s">
        <v>205</v>
      </c>
      <c r="B29" s="768"/>
      <c r="C29" s="140">
        <f>SUM(C13:C28)</f>
        <v>11059.28</v>
      </c>
      <c r="D29" s="140">
        <f>SUM(D13:D28)</f>
        <v>11042.329999999996</v>
      </c>
      <c r="E29" s="245">
        <f>SUM(E13:E28)</f>
        <v>22101.61</v>
      </c>
      <c r="F29" s="795"/>
      <c r="G29" s="795"/>
      <c r="H29" s="194">
        <f>SUM(H13:H28)</f>
        <v>25390.581200000004</v>
      </c>
      <c r="I29" s="140">
        <f>SUM(I13:I28)</f>
        <v>115738429.27999999</v>
      </c>
      <c r="J29" s="247"/>
    </row>
    <row r="30" spans="1:10" x14ac:dyDescent="0.25">
      <c r="A30" s="246" t="s">
        <v>206</v>
      </c>
      <c r="B30" s="206"/>
      <c r="C30" s="192">
        <f>Virtual!E22</f>
        <v>0</v>
      </c>
      <c r="D30" s="192">
        <f>Virtual!E23</f>
        <v>0</v>
      </c>
      <c r="E30" s="147">
        <f>IF(D$29=0,C30*2,C30+D30)</f>
        <v>0</v>
      </c>
      <c r="F30" s="796">
        <v>0.7</v>
      </c>
      <c r="G30" s="796"/>
      <c r="H30" s="99">
        <f t="shared" si="0"/>
        <v>0</v>
      </c>
      <c r="I30" s="120">
        <f>Virtual!E28</f>
        <v>0</v>
      </c>
    </row>
    <row r="31" spans="1:10" x14ac:dyDescent="0.25">
      <c r="A31" s="794" t="s">
        <v>207</v>
      </c>
      <c r="B31" s="768"/>
      <c r="C31" s="116">
        <f>SUM(C29:C30)</f>
        <v>11059.28</v>
      </c>
      <c r="D31" s="116">
        <f>SUM(D29:D30)</f>
        <v>11042.329999999996</v>
      </c>
      <c r="E31" s="116">
        <f>SUM(E29:E30)</f>
        <v>22101.61</v>
      </c>
      <c r="F31" s="207"/>
      <c r="G31" s="207"/>
      <c r="H31" s="99"/>
      <c r="I31" s="116">
        <f>SUM(I29:I30)</f>
        <v>115738429.27999999</v>
      </c>
    </row>
    <row r="32" spans="1:10" x14ac:dyDescent="0.25">
      <c r="A32" s="27"/>
      <c r="B32" s="27"/>
      <c r="C32" s="120"/>
      <c r="D32" s="120"/>
      <c r="E32" s="120"/>
      <c r="F32" s="28"/>
      <c r="G32" s="28"/>
      <c r="H32" s="99"/>
      <c r="I32" s="120"/>
    </row>
    <row r="33" spans="1:9" x14ac:dyDescent="0.25">
      <c r="A33" s="195" t="s">
        <v>99</v>
      </c>
      <c r="B33" s="27"/>
      <c r="C33" s="120"/>
      <c r="D33" s="120"/>
      <c r="E33" s="120"/>
      <c r="F33" s="28"/>
      <c r="G33" s="28"/>
      <c r="H33" s="99"/>
      <c r="I33" s="120"/>
    </row>
    <row r="34" spans="1:9" hidden="1" x14ac:dyDescent="0.25">
      <c r="A34" s="3"/>
      <c r="B34" s="126"/>
      <c r="C34" s="126"/>
      <c r="D34" s="126"/>
      <c r="E34" s="126"/>
      <c r="F34" s="126"/>
      <c r="G34" s="126"/>
      <c r="H34" s="126"/>
      <c r="I34" s="619" t="s">
        <v>384</v>
      </c>
    </row>
    <row r="35" spans="1:9" hidden="1" x14ac:dyDescent="0.25">
      <c r="A35" s="27"/>
      <c r="B35" s="27"/>
      <c r="C35" s="107" t="s">
        <v>126</v>
      </c>
      <c r="D35" s="107" t="s">
        <v>127</v>
      </c>
      <c r="E35" s="108" t="s">
        <v>8</v>
      </c>
      <c r="F35" s="28"/>
      <c r="G35" s="28"/>
      <c r="H35" s="124"/>
      <c r="I35" s="25" t="s">
        <v>36</v>
      </c>
    </row>
    <row r="36" spans="1:9" hidden="1" x14ac:dyDescent="0.25">
      <c r="A36" s="797" t="s">
        <v>64</v>
      </c>
      <c r="B36" s="797"/>
      <c r="C36" s="109" t="s">
        <v>2</v>
      </c>
      <c r="D36" s="109" t="s">
        <v>2</v>
      </c>
      <c r="E36" s="109" t="s">
        <v>2</v>
      </c>
      <c r="F36" s="125"/>
      <c r="G36" s="125"/>
      <c r="H36" s="125"/>
      <c r="I36" s="32" t="s">
        <v>76</v>
      </c>
    </row>
    <row r="37" spans="1:9" hidden="1" x14ac:dyDescent="0.25">
      <c r="A37" s="798" t="s">
        <v>57</v>
      </c>
      <c r="B37" s="798"/>
      <c r="C37" s="196">
        <f>SUM('0664:4111'!C37)</f>
        <v>0</v>
      </c>
      <c r="D37" s="196">
        <f>SUM('0664:4111'!D37)</f>
        <v>0</v>
      </c>
      <c r="E37" s="245">
        <f>SUM('0664:4111'!E37)</f>
        <v>0</v>
      </c>
      <c r="F37" s="197"/>
      <c r="G37" s="197"/>
      <c r="H37" s="197"/>
      <c r="I37" s="140">
        <f>SUM('0664:4111'!I37)</f>
        <v>0</v>
      </c>
    </row>
    <row r="38" spans="1:9" hidden="1" x14ac:dyDescent="0.25">
      <c r="A38" s="790" t="s">
        <v>58</v>
      </c>
      <c r="B38" s="790"/>
      <c r="C38" s="199">
        <f>SUM('0664:4111'!C38)</f>
        <v>0</v>
      </c>
      <c r="D38" s="199">
        <f>SUM('0664:4111'!D38)</f>
        <v>0</v>
      </c>
      <c r="E38" s="147">
        <f>SUM('0664:4111'!E38)</f>
        <v>0</v>
      </c>
      <c r="F38" s="200"/>
      <c r="G38" s="200"/>
      <c r="H38" s="200"/>
      <c r="I38" s="120">
        <f>SUM('0664:4111'!I38)</f>
        <v>0</v>
      </c>
    </row>
    <row r="39" spans="1:9" hidden="1" x14ac:dyDescent="0.25">
      <c r="A39" s="789" t="s">
        <v>59</v>
      </c>
      <c r="B39" s="789"/>
      <c r="C39" s="199">
        <f>SUM('0664:4111'!C39)</f>
        <v>0</v>
      </c>
      <c r="D39" s="199">
        <f>SUM('0664:4111'!D39)</f>
        <v>0</v>
      </c>
      <c r="E39" s="147">
        <f>SUM('0664:4111'!E39)</f>
        <v>0</v>
      </c>
      <c r="F39" s="200"/>
      <c r="G39" s="200"/>
      <c r="H39" s="200"/>
      <c r="I39" s="120">
        <f>SUM('0664:4111'!I39)</f>
        <v>0</v>
      </c>
    </row>
    <row r="40" spans="1:9" hidden="1" x14ac:dyDescent="0.25">
      <c r="A40" s="790" t="s">
        <v>60</v>
      </c>
      <c r="B40" s="790"/>
      <c r="C40" s="199">
        <f>SUM('0664:4111'!C40)</f>
        <v>0</v>
      </c>
      <c r="D40" s="199">
        <f>SUM('0664:4111'!D40)</f>
        <v>0</v>
      </c>
      <c r="E40" s="147">
        <f>SUM('0664:4111'!E40)</f>
        <v>0</v>
      </c>
      <c r="F40" s="200"/>
      <c r="G40" s="200"/>
      <c r="H40" s="200"/>
      <c r="I40" s="120">
        <f>SUM('0664:4111'!I40)</f>
        <v>0</v>
      </c>
    </row>
    <row r="41" spans="1:9" hidden="1" x14ac:dyDescent="0.25">
      <c r="A41" s="790" t="s">
        <v>61</v>
      </c>
      <c r="B41" s="790"/>
      <c r="C41" s="199">
        <f>SUM('0664:4111'!C41)</f>
        <v>0</v>
      </c>
      <c r="D41" s="199">
        <f>SUM('0664:4111'!D41)</f>
        <v>0</v>
      </c>
      <c r="E41" s="147">
        <f>SUM('0664:4111'!E41)</f>
        <v>0</v>
      </c>
      <c r="F41" s="200"/>
      <c r="G41" s="200"/>
      <c r="H41" s="200"/>
      <c r="I41" s="120">
        <f>SUM('0664:4111'!I41)</f>
        <v>0</v>
      </c>
    </row>
    <row r="42" spans="1:9" hidden="1" x14ac:dyDescent="0.25">
      <c r="A42" s="790" t="s">
        <v>53</v>
      </c>
      <c r="B42" s="790"/>
      <c r="C42" s="198">
        <f>SUM('0664:4111'!C42)</f>
        <v>0</v>
      </c>
      <c r="D42" s="198">
        <f>SUM('0664:4111'!D42)</f>
        <v>0</v>
      </c>
      <c r="E42" s="204">
        <f>SUM('0664:4111'!E42)</f>
        <v>0</v>
      </c>
      <c r="F42" s="200"/>
      <c r="G42" s="200"/>
      <c r="H42" s="200"/>
      <c r="I42" s="113">
        <f>SUM('0664:4111'!I42)</f>
        <v>0</v>
      </c>
    </row>
    <row r="43" spans="1:9" hidden="1" x14ac:dyDescent="0.25">
      <c r="A43" s="61"/>
      <c r="B43" s="127" t="s">
        <v>128</v>
      </c>
      <c r="C43" s="116">
        <f>SUM(C37:C42)</f>
        <v>0</v>
      </c>
      <c r="D43" s="116">
        <f>SUM(D37:D42)</f>
        <v>0</v>
      </c>
      <c r="E43" s="116">
        <f>SUM(E37:E42)</f>
        <v>0</v>
      </c>
      <c r="F43" s="33"/>
      <c r="G43" s="128"/>
      <c r="H43" s="129" t="s">
        <v>130</v>
      </c>
      <c r="I43" s="116">
        <f>SUM(I37:I42)</f>
        <v>0</v>
      </c>
    </row>
    <row r="44" spans="1:9" hidden="1" x14ac:dyDescent="0.25">
      <c r="A44" s="61"/>
      <c r="B44" s="127"/>
      <c r="C44" s="120"/>
      <c r="D44" s="120"/>
      <c r="E44" s="140"/>
      <c r="F44" s="33"/>
      <c r="G44" s="128"/>
      <c r="H44" s="129"/>
      <c r="I44" s="120"/>
    </row>
    <row r="45" spans="1:9" ht="16.5" hidden="1" thickBot="1" x14ac:dyDescent="0.3">
      <c r="A45" s="61"/>
      <c r="B45" s="127" t="s">
        <v>129</v>
      </c>
      <c r="C45" s="61"/>
      <c r="D45" s="61"/>
      <c r="E45" s="201">
        <f>H29+E43</f>
        <v>25390.581200000004</v>
      </c>
      <c r="F45" s="36"/>
      <c r="G45" s="128"/>
      <c r="H45" s="129" t="s">
        <v>131</v>
      </c>
      <c r="I45" s="113">
        <f>SUM(I43,I31)</f>
        <v>115738429.27999999</v>
      </c>
    </row>
    <row r="46" spans="1:9" hidden="1" x14ac:dyDescent="0.25">
      <c r="A46" s="27"/>
      <c r="B46" s="27"/>
      <c r="C46" s="27"/>
      <c r="D46" s="27"/>
      <c r="E46" s="27"/>
      <c r="F46" s="36"/>
      <c r="G46" s="131"/>
      <c r="H46" s="131"/>
      <c r="I46" s="120"/>
    </row>
    <row r="47" spans="1:9" x14ac:dyDescent="0.25">
      <c r="A47" s="27"/>
      <c r="B47" s="27"/>
      <c r="C47" s="27"/>
      <c r="D47" s="27"/>
      <c r="E47" s="27"/>
      <c r="F47" s="36"/>
      <c r="G47" s="131"/>
      <c r="H47" s="131"/>
      <c r="I47" s="120"/>
    </row>
    <row r="48" spans="1:9" x14ac:dyDescent="0.25">
      <c r="A48" s="27"/>
      <c r="B48" s="27"/>
      <c r="C48" s="600" t="s">
        <v>435</v>
      </c>
      <c r="D48" s="669" t="s">
        <v>436</v>
      </c>
      <c r="E48" s="108" t="s">
        <v>8</v>
      </c>
      <c r="F48" s="132" t="s">
        <v>132</v>
      </c>
      <c r="G48" s="133" t="s">
        <v>134</v>
      </c>
      <c r="H48" s="134" t="s">
        <v>135</v>
      </c>
      <c r="I48" s="120"/>
    </row>
    <row r="49" spans="1:11" x14ac:dyDescent="0.25">
      <c r="A49" s="38" t="s">
        <v>89</v>
      </c>
      <c r="B49" s="38"/>
      <c r="C49" s="622" t="s">
        <v>2</v>
      </c>
      <c r="D49" s="622" t="s">
        <v>2</v>
      </c>
      <c r="E49" s="109" t="s">
        <v>2</v>
      </c>
      <c r="F49" s="111" t="s">
        <v>133</v>
      </c>
      <c r="G49" s="73" t="s">
        <v>133</v>
      </c>
      <c r="H49" s="135" t="s">
        <v>136</v>
      </c>
      <c r="I49" s="38"/>
    </row>
    <row r="50" spans="1:11" x14ac:dyDescent="0.25">
      <c r="A50" s="791" t="s">
        <v>100</v>
      </c>
      <c r="B50" s="791"/>
      <c r="C50" s="192">
        <f>SUM('0664:4111'!C50)</f>
        <v>239.97</v>
      </c>
      <c r="D50" s="192">
        <f>SUM('0664:4111'!D50)</f>
        <v>262.20999999999998</v>
      </c>
      <c r="E50" s="147">
        <f>SUM('0664:4111'!E50)</f>
        <v>502.17999999999995</v>
      </c>
      <c r="F50" s="289" t="s">
        <v>21</v>
      </c>
      <c r="G50" s="290">
        <v>251</v>
      </c>
      <c r="H50" s="291">
        <f>'0664'!H50</f>
        <v>1047</v>
      </c>
      <c r="I50" s="120">
        <f>SUM('0664:4111'!I50)</f>
        <v>525782.46000000008</v>
      </c>
      <c r="J50" s="247"/>
      <c r="K50" s="339"/>
    </row>
    <row r="51" spans="1:11" x14ac:dyDescent="0.25">
      <c r="A51" s="792"/>
      <c r="B51" s="792"/>
      <c r="C51" s="192">
        <f>SUM('0664:4111'!C51)</f>
        <v>36.43</v>
      </c>
      <c r="D51" s="192">
        <f>SUM('0664:4111'!D51)</f>
        <v>32.639999999999993</v>
      </c>
      <c r="E51" s="147">
        <f>SUM('0664:4111'!E51)</f>
        <v>69.069999999999993</v>
      </c>
      <c r="F51" s="290" t="s">
        <v>21</v>
      </c>
      <c r="G51" s="290">
        <v>252</v>
      </c>
      <c r="H51" s="291">
        <f>'0664'!H51</f>
        <v>3380</v>
      </c>
      <c r="I51" s="120">
        <f>SUM('0664:4111'!I51)</f>
        <v>233456.60000000003</v>
      </c>
      <c r="J51" s="247"/>
      <c r="K51" s="339"/>
    </row>
    <row r="52" spans="1:11" x14ac:dyDescent="0.25">
      <c r="A52" s="792"/>
      <c r="B52" s="792"/>
      <c r="C52" s="192">
        <f>SUM('0664:4111'!C52)</f>
        <v>8.52</v>
      </c>
      <c r="D52" s="192">
        <f>SUM('0664:4111'!D52)</f>
        <v>5.96</v>
      </c>
      <c r="E52" s="147">
        <f>SUM('0664:4111'!E52)</f>
        <v>14.48</v>
      </c>
      <c r="F52" s="290" t="s">
        <v>21</v>
      </c>
      <c r="G52" s="290">
        <v>253</v>
      </c>
      <c r="H52" s="291">
        <f>'0664'!H52</f>
        <v>6896</v>
      </c>
      <c r="I52" s="120">
        <f>SUM('0664:4111'!I52)</f>
        <v>99854.080000000002</v>
      </c>
      <c r="J52" s="247"/>
      <c r="K52" s="339"/>
    </row>
    <row r="53" spans="1:11" x14ac:dyDescent="0.25">
      <c r="A53" s="792"/>
      <c r="B53" s="792"/>
      <c r="C53" s="192">
        <f>SUM('0664:4111'!C53)</f>
        <v>603.19999999999993</v>
      </c>
      <c r="D53" s="192">
        <f>SUM('0664:4111'!D53)</f>
        <v>587.13</v>
      </c>
      <c r="E53" s="147">
        <f>SUM('0664:4111'!E53)</f>
        <v>1190.33</v>
      </c>
      <c r="F53" s="292" t="s">
        <v>14</v>
      </c>
      <c r="G53" s="290">
        <v>251</v>
      </c>
      <c r="H53" s="291">
        <f>'0664'!H53</f>
        <v>1173</v>
      </c>
      <c r="I53" s="120">
        <f>SUM('0664:4111'!I53)</f>
        <v>1396257.09</v>
      </c>
      <c r="J53" s="247"/>
      <c r="K53" s="339"/>
    </row>
    <row r="54" spans="1:11" x14ac:dyDescent="0.25">
      <c r="A54" s="792"/>
      <c r="B54" s="792"/>
      <c r="C54" s="192">
        <f>SUM('0664:4111'!C54)</f>
        <v>48.819999999999993</v>
      </c>
      <c r="D54" s="192">
        <f>SUM('0664:4111'!D54)</f>
        <v>44.080000000000005</v>
      </c>
      <c r="E54" s="147">
        <f>SUM('0664:4111'!E54)</f>
        <v>92.9</v>
      </c>
      <c r="F54" s="292" t="s">
        <v>14</v>
      </c>
      <c r="G54" s="290">
        <v>252</v>
      </c>
      <c r="H54" s="291">
        <f>'0664'!H54</f>
        <v>3506</v>
      </c>
      <c r="I54" s="120">
        <f>SUM('0664:4111'!I54)</f>
        <v>325707.39999999997</v>
      </c>
      <c r="J54" s="247"/>
      <c r="K54" s="339"/>
    </row>
    <row r="55" spans="1:11" x14ac:dyDescent="0.25">
      <c r="A55" s="792"/>
      <c r="B55" s="792"/>
      <c r="C55" s="192">
        <f>SUM('0664:4111'!C55)</f>
        <v>13.95</v>
      </c>
      <c r="D55" s="192">
        <f>SUM('0664:4111'!D55)</f>
        <v>15.4</v>
      </c>
      <c r="E55" s="147">
        <f>SUM('0664:4111'!E55)</f>
        <v>29.349999999999998</v>
      </c>
      <c r="F55" s="292" t="s">
        <v>14</v>
      </c>
      <c r="G55" s="290">
        <v>253</v>
      </c>
      <c r="H55" s="291">
        <f>'0664'!H55</f>
        <v>7023</v>
      </c>
      <c r="I55" s="120">
        <f>SUM('0664:4111'!I55)</f>
        <v>206125.05000000002</v>
      </c>
      <c r="J55" s="247"/>
      <c r="K55" s="339"/>
    </row>
    <row r="56" spans="1:11" x14ac:dyDescent="0.25">
      <c r="A56" s="792"/>
      <c r="B56" s="792"/>
      <c r="C56" s="192">
        <f>SUM('0664:4111'!C56)</f>
        <v>369.89000000000004</v>
      </c>
      <c r="D56" s="192">
        <f>SUM('0664:4111'!D56)</f>
        <v>370.72</v>
      </c>
      <c r="E56" s="147">
        <f>SUM('0664:4111'!E56)</f>
        <v>740.61000000000013</v>
      </c>
      <c r="F56" s="292" t="s">
        <v>15</v>
      </c>
      <c r="G56" s="290">
        <v>251</v>
      </c>
      <c r="H56" s="291">
        <f>'0664'!H56</f>
        <v>835</v>
      </c>
      <c r="I56" s="120">
        <f>SUM('0664:4111'!I56)</f>
        <v>618409.35000000009</v>
      </c>
      <c r="J56" s="247"/>
      <c r="K56" s="339"/>
    </row>
    <row r="57" spans="1:11" x14ac:dyDescent="0.25">
      <c r="A57" s="792"/>
      <c r="B57" s="792"/>
      <c r="C57" s="192">
        <f>SUM('0664:4111'!C57)</f>
        <v>55.110000000000014</v>
      </c>
      <c r="D57" s="192">
        <f>SUM('0664:4111'!D57)</f>
        <v>64.91</v>
      </c>
      <c r="E57" s="147">
        <f>SUM('0664:4111'!E57)</f>
        <v>120.02</v>
      </c>
      <c r="F57" s="292" t="s">
        <v>15</v>
      </c>
      <c r="G57" s="290">
        <v>252</v>
      </c>
      <c r="H57" s="291">
        <f>'0664'!H57</f>
        <v>3168</v>
      </c>
      <c r="I57" s="120">
        <f>SUM('0664:4111'!I57)</f>
        <v>380223.36000000004</v>
      </c>
      <c r="J57" s="247"/>
      <c r="K57" s="339"/>
    </row>
    <row r="58" spans="1:11" x14ac:dyDescent="0.25">
      <c r="A58" s="792"/>
      <c r="B58" s="792"/>
      <c r="C58" s="192">
        <f>SUM('0664:4111'!C58)</f>
        <v>102.08</v>
      </c>
      <c r="D58" s="192">
        <f>SUM('0664:4111'!D58)</f>
        <v>99.04</v>
      </c>
      <c r="E58" s="147">
        <f>SUM('0664:4111'!E58)</f>
        <v>201.11999999999998</v>
      </c>
      <c r="F58" s="292" t="s">
        <v>15</v>
      </c>
      <c r="G58" s="290">
        <v>253</v>
      </c>
      <c r="H58" s="291">
        <f>'0664'!H58</f>
        <v>6685</v>
      </c>
      <c r="I58" s="120">
        <f>SUM('0664:4111'!I58)</f>
        <v>1344487.2000000002</v>
      </c>
      <c r="J58" s="247"/>
      <c r="K58" s="339"/>
    </row>
    <row r="59" spans="1:11" x14ac:dyDescent="0.25">
      <c r="A59" s="767" t="s">
        <v>16</v>
      </c>
      <c r="B59" s="767"/>
      <c r="C59" s="116">
        <f>SUM(C50:C58)</f>
        <v>1477.9699999999998</v>
      </c>
      <c r="D59" s="116">
        <f>SUM(D50:D58)</f>
        <v>1482.09</v>
      </c>
      <c r="E59" s="116">
        <f>SUM(E50:E58)</f>
        <v>2960.06</v>
      </c>
      <c r="F59" s="767" t="s">
        <v>78</v>
      </c>
      <c r="G59" s="767"/>
      <c r="H59" s="767"/>
      <c r="I59" s="116">
        <f>SUM(I50:I58)</f>
        <v>5130302.59</v>
      </c>
      <c r="J59" s="247"/>
      <c r="K59" s="339"/>
    </row>
    <row r="60" spans="1:11" x14ac:dyDescent="0.25">
      <c r="A60" s="776"/>
      <c r="B60" s="776"/>
      <c r="C60" s="776"/>
      <c r="D60" s="776"/>
      <c r="E60" s="776"/>
      <c r="F60" s="776"/>
      <c r="G60" s="776"/>
      <c r="H60" s="776"/>
      <c r="I60" s="776"/>
    </row>
    <row r="61" spans="1:11" x14ac:dyDescent="0.25">
      <c r="A61" s="765" t="s">
        <v>138</v>
      </c>
      <c r="B61" s="764"/>
      <c r="C61" s="764"/>
      <c r="D61" s="764"/>
      <c r="E61" s="764"/>
      <c r="F61" s="764"/>
      <c r="G61" s="764"/>
      <c r="H61" s="764"/>
      <c r="I61" s="764"/>
    </row>
    <row r="62" spans="1:11" x14ac:dyDescent="0.25">
      <c r="A62" s="785" t="s">
        <v>208</v>
      </c>
      <c r="B62" s="784"/>
      <c r="C62" s="293">
        <f>E29</f>
        <v>22101.61</v>
      </c>
      <c r="D62" s="786" t="s">
        <v>137</v>
      </c>
      <c r="E62" s="786"/>
      <c r="F62" s="786"/>
      <c r="G62" s="786"/>
      <c r="H62" s="294">
        <f>'0664'!H62</f>
        <v>190754.06</v>
      </c>
      <c r="I62" s="144"/>
    </row>
    <row r="63" spans="1:11" x14ac:dyDescent="0.25">
      <c r="A63" s="295"/>
      <c r="B63" s="295"/>
      <c r="C63" s="296"/>
      <c r="D63" s="296"/>
      <c r="E63" s="296"/>
      <c r="F63" s="296"/>
      <c r="G63" s="297" t="s">
        <v>13</v>
      </c>
      <c r="H63" s="298">
        <f>ROUND(C62/H62,6)</f>
        <v>0.11586399999999999</v>
      </c>
      <c r="I63" s="299"/>
    </row>
    <row r="64" spans="1:11" x14ac:dyDescent="0.25">
      <c r="A64" s="785" t="s">
        <v>139</v>
      </c>
      <c r="B64" s="784"/>
      <c r="C64" s="784"/>
      <c r="D64" s="784"/>
      <c r="E64" s="784"/>
      <c r="F64" s="784"/>
      <c r="G64" s="784"/>
      <c r="H64" s="784"/>
      <c r="I64" s="784"/>
    </row>
    <row r="65" spans="1:9" x14ac:dyDescent="0.25">
      <c r="A65" s="785" t="s">
        <v>141</v>
      </c>
      <c r="B65" s="784"/>
      <c r="C65" s="293">
        <f>E45</f>
        <v>25390.581200000004</v>
      </c>
      <c r="D65" s="786" t="s">
        <v>142</v>
      </c>
      <c r="E65" s="786"/>
      <c r="F65" s="786"/>
      <c r="G65" s="786"/>
      <c r="H65" s="204">
        <f>'0664'!H65</f>
        <v>214462.41</v>
      </c>
      <c r="I65" s="147"/>
    </row>
    <row r="66" spans="1:9" s="38" customFormat="1" x14ac:dyDescent="0.25">
      <c r="A66" s="300"/>
      <c r="B66" s="301"/>
      <c r="C66" s="301"/>
      <c r="D66" s="301"/>
      <c r="E66" s="301"/>
      <c r="F66" s="301"/>
      <c r="G66" s="302" t="s">
        <v>13</v>
      </c>
      <c r="H66" s="303">
        <f>ROUND(C65/H65,6)</f>
        <v>0.118392</v>
      </c>
      <c r="I66" s="303"/>
    </row>
    <row r="67" spans="1:9" s="61" customFormat="1" x14ac:dyDescent="0.25">
      <c r="A67" s="304"/>
      <c r="B67" s="305"/>
      <c r="C67" s="305"/>
      <c r="D67" s="305"/>
      <c r="E67" s="305"/>
      <c r="F67" s="305"/>
      <c r="G67" s="297"/>
      <c r="H67" s="306"/>
      <c r="I67" s="306"/>
    </row>
    <row r="68" spans="1:9" x14ac:dyDescent="0.25">
      <c r="A68" s="784" t="s">
        <v>87</v>
      </c>
      <c r="B68" s="784"/>
      <c r="C68" s="784"/>
      <c r="D68" s="295"/>
      <c r="E68" s="307" t="s">
        <v>3</v>
      </c>
      <c r="F68" s="161">
        <f>'0664'!F68</f>
        <v>42029577</v>
      </c>
      <c r="G68" s="289" t="s">
        <v>6</v>
      </c>
      <c r="H68" s="308">
        <f>H63</f>
        <v>0.11586399999999999</v>
      </c>
      <c r="I68" s="147">
        <f>SUM('0664:4111'!I68)</f>
        <v>4869546.78</v>
      </c>
    </row>
    <row r="69" spans="1:9" x14ac:dyDescent="0.25">
      <c r="A69" s="787" t="s">
        <v>98</v>
      </c>
      <c r="B69" s="784"/>
      <c r="C69" s="784"/>
      <c r="D69" s="295"/>
      <c r="E69" s="307"/>
      <c r="F69" s="161"/>
      <c r="G69" s="289"/>
      <c r="H69" s="308"/>
      <c r="I69" s="147"/>
    </row>
    <row r="70" spans="1:9" x14ac:dyDescent="0.25">
      <c r="A70" s="788" t="s">
        <v>143</v>
      </c>
      <c r="B70" s="784"/>
      <c r="C70" s="784"/>
      <c r="D70" s="295"/>
      <c r="E70" s="307" t="s">
        <v>3</v>
      </c>
      <c r="F70" s="161">
        <f>'0664'!F70</f>
        <v>0</v>
      </c>
      <c r="G70" s="289" t="s">
        <v>6</v>
      </c>
      <c r="H70" s="308">
        <f>H63</f>
        <v>0.11586399999999999</v>
      </c>
      <c r="I70" s="147">
        <f>SUM('0664:4111'!I70)</f>
        <v>0</v>
      </c>
    </row>
    <row r="71" spans="1:9" x14ac:dyDescent="0.25">
      <c r="A71" s="784" t="s">
        <v>85</v>
      </c>
      <c r="B71" s="784"/>
      <c r="C71" s="784"/>
      <c r="D71" s="295"/>
      <c r="E71" s="307" t="s">
        <v>372</v>
      </c>
      <c r="F71" s="161">
        <f>'0664'!F71</f>
        <v>146607</v>
      </c>
      <c r="G71" s="289" t="s">
        <v>6</v>
      </c>
      <c r="H71" s="308">
        <f>H63</f>
        <v>0.11586399999999999</v>
      </c>
      <c r="I71" s="147">
        <f>SUM('0664:4111'!I71)</f>
        <v>16985.88</v>
      </c>
    </row>
    <row r="72" spans="1:9" x14ac:dyDescent="0.25">
      <c r="A72" s="784" t="s">
        <v>84</v>
      </c>
      <c r="B72" s="784"/>
      <c r="C72" s="784"/>
      <c r="D72" s="295"/>
      <c r="E72" s="307" t="s">
        <v>3</v>
      </c>
      <c r="F72" s="161">
        <f>'0664'!F72</f>
        <v>11337910</v>
      </c>
      <c r="G72" s="289" t="s">
        <v>6</v>
      </c>
      <c r="H72" s="308">
        <f>H63</f>
        <v>0.11586399999999999</v>
      </c>
      <c r="I72" s="147">
        <f>SUM('0664:4111'!I72)</f>
        <v>1313610.2300000004</v>
      </c>
    </row>
    <row r="73" spans="1:9" x14ac:dyDescent="0.25">
      <c r="A73" s="784" t="s">
        <v>83</v>
      </c>
      <c r="B73" s="784"/>
      <c r="C73" s="784"/>
      <c r="D73" s="295"/>
      <c r="E73" s="307" t="s">
        <v>3</v>
      </c>
      <c r="F73" s="161">
        <f>'0664'!F73</f>
        <v>13882385</v>
      </c>
      <c r="G73" s="289" t="s">
        <v>6</v>
      </c>
      <c r="H73" s="308">
        <f>H63</f>
        <v>0.11586399999999999</v>
      </c>
      <c r="I73" s="147">
        <f>SUM('0664:4111'!I73)</f>
        <v>1608413.1400000001</v>
      </c>
    </row>
    <row r="74" spans="1:9" x14ac:dyDescent="0.25">
      <c r="A74" s="334" t="s">
        <v>101</v>
      </c>
      <c r="B74" s="296"/>
      <c r="C74" s="296"/>
      <c r="D74" s="295"/>
      <c r="E74" s="613" t="s">
        <v>373</v>
      </c>
      <c r="F74" s="775"/>
      <c r="G74" s="775"/>
      <c r="H74" s="775"/>
      <c r="I74" s="147">
        <f>SUM('0664:4111'!I74)</f>
        <v>0</v>
      </c>
    </row>
    <row r="75" spans="1:9" x14ac:dyDescent="0.25">
      <c r="A75" s="335" t="s">
        <v>144</v>
      </c>
      <c r="B75" s="296"/>
      <c r="C75" s="296"/>
      <c r="D75" s="296"/>
      <c r="E75" s="296"/>
      <c r="F75" s="296"/>
      <c r="G75" s="296"/>
      <c r="H75" s="296"/>
      <c r="I75" s="147">
        <f>SUM('0664:4111'!I75)</f>
        <v>0</v>
      </c>
    </row>
    <row r="76" spans="1:9" x14ac:dyDescent="0.25">
      <c r="A76" s="336" t="s">
        <v>103</v>
      </c>
      <c r="B76" s="295"/>
      <c r="C76" s="295"/>
      <c r="D76" s="295"/>
      <c r="E76" s="295"/>
      <c r="F76" s="295"/>
      <c r="G76" s="295"/>
      <c r="H76" s="295"/>
      <c r="I76" s="203"/>
    </row>
    <row r="77" spans="1:9" x14ac:dyDescent="0.25">
      <c r="A77" s="785" t="s">
        <v>387</v>
      </c>
      <c r="B77" s="784"/>
      <c r="C77" s="784"/>
      <c r="D77" s="612"/>
      <c r="E77" s="307" t="s">
        <v>3</v>
      </c>
      <c r="F77" s="161">
        <f>'0664'!F77</f>
        <v>7462542</v>
      </c>
      <c r="G77" s="614" t="s">
        <v>6</v>
      </c>
      <c r="H77" s="308">
        <f>H63</f>
        <v>0.11586399999999999</v>
      </c>
      <c r="I77" s="147">
        <f>SUM('0664:4111'!I77)</f>
        <v>864610.15</v>
      </c>
    </row>
    <row r="78" spans="1:9" x14ac:dyDescent="0.25">
      <c r="A78" s="785" t="s">
        <v>388</v>
      </c>
      <c r="B78" s="784"/>
      <c r="C78" s="784"/>
      <c r="D78" s="612"/>
      <c r="E78" s="307" t="s">
        <v>3</v>
      </c>
      <c r="F78" s="161">
        <f>'0664'!F78</f>
        <v>0</v>
      </c>
      <c r="G78" s="614" t="s">
        <v>6</v>
      </c>
      <c r="H78" s="308">
        <f>H63</f>
        <v>0.11586399999999999</v>
      </c>
      <c r="I78" s="147">
        <f>SUM('0664:4111'!I78)</f>
        <v>0</v>
      </c>
    </row>
    <row r="79" spans="1:9" x14ac:dyDescent="0.25">
      <c r="A79" s="765" t="s">
        <v>414</v>
      </c>
      <c r="B79" s="764"/>
      <c r="C79" s="764"/>
      <c r="D79" s="295"/>
      <c r="E79" s="307" t="s">
        <v>4</v>
      </c>
      <c r="F79" s="161">
        <f>'0664'!F79</f>
        <v>0</v>
      </c>
      <c r="G79" s="289" t="s">
        <v>6</v>
      </c>
      <c r="H79" s="308">
        <f>H66</f>
        <v>0.118392</v>
      </c>
      <c r="I79" s="147">
        <f>SUM('0664:4111'!I79)</f>
        <v>0</v>
      </c>
    </row>
    <row r="80" spans="1:9" x14ac:dyDescent="0.25">
      <c r="A80" s="765" t="s">
        <v>415</v>
      </c>
      <c r="B80" s="764"/>
      <c r="C80" s="764"/>
      <c r="D80" s="295"/>
      <c r="E80" s="307" t="s">
        <v>4</v>
      </c>
      <c r="F80" s="161">
        <f>'0664'!F80</f>
        <v>8562788</v>
      </c>
      <c r="G80" s="289" t="s">
        <v>6</v>
      </c>
      <c r="H80" s="308">
        <f>H66</f>
        <v>0.118392</v>
      </c>
      <c r="I80" s="147">
        <f>SUM('0664:4111'!I80)</f>
        <v>1013774.1500000001</v>
      </c>
    </row>
    <row r="81" spans="1:11" x14ac:dyDescent="0.25">
      <c r="A81" s="765" t="s">
        <v>419</v>
      </c>
      <c r="B81" s="764"/>
      <c r="C81" s="764"/>
      <c r="D81" s="295"/>
      <c r="E81" s="307" t="s">
        <v>4</v>
      </c>
      <c r="F81" s="161">
        <f>'0664'!F81</f>
        <v>168663228</v>
      </c>
      <c r="G81" s="289" t="s">
        <v>6</v>
      </c>
      <c r="H81" s="308">
        <f>H66</f>
        <v>0.118392</v>
      </c>
      <c r="I81" s="147">
        <f>SUM('0664:4111'!I81)</f>
        <v>19968545.579999994</v>
      </c>
    </row>
    <row r="82" spans="1:11" x14ac:dyDescent="0.25">
      <c r="A82" s="765" t="s">
        <v>420</v>
      </c>
      <c r="B82" s="764"/>
      <c r="C82" s="764"/>
      <c r="D82" s="295"/>
      <c r="E82" s="307" t="s">
        <v>4</v>
      </c>
      <c r="F82" s="161">
        <f>'0664'!F82</f>
        <v>0</v>
      </c>
      <c r="G82" s="289" t="s">
        <v>6</v>
      </c>
      <c r="H82" s="308">
        <f>H66</f>
        <v>0.118392</v>
      </c>
      <c r="I82" s="147">
        <f>SUM('0664:4111'!I82)</f>
        <v>0</v>
      </c>
    </row>
    <row r="83" spans="1:11" x14ac:dyDescent="0.25">
      <c r="A83" s="718" t="s">
        <v>425</v>
      </c>
      <c r="B83" s="681"/>
      <c r="C83" s="681"/>
      <c r="D83" s="499"/>
      <c r="E83" s="307" t="s">
        <v>45</v>
      </c>
      <c r="F83" s="161"/>
      <c r="G83" s="498"/>
      <c r="H83" s="308"/>
      <c r="I83" s="147">
        <f>SUM('0664:4111'!I83)</f>
        <v>4389945.7300000004</v>
      </c>
    </row>
    <row r="84" spans="1:11" x14ac:dyDescent="0.25">
      <c r="A84" s="765" t="s">
        <v>457</v>
      </c>
      <c r="B84" s="764"/>
      <c r="C84" s="764"/>
      <c r="D84" s="746"/>
      <c r="E84" s="307" t="s">
        <v>3</v>
      </c>
      <c r="F84" s="161">
        <f>'0664'!F84</f>
        <v>21614343</v>
      </c>
      <c r="G84" s="748" t="s">
        <v>6</v>
      </c>
      <c r="H84" s="308">
        <f>H63</f>
        <v>0.11586399999999999</v>
      </c>
      <c r="I84" s="147">
        <f>SUM('0664:4111'!I84)</f>
        <v>2504237.8000000003</v>
      </c>
    </row>
    <row r="85" spans="1:11" x14ac:dyDescent="0.25">
      <c r="A85" s="744"/>
      <c r="B85" s="744"/>
      <c r="C85" s="744"/>
      <c r="D85" s="744"/>
      <c r="E85" s="747"/>
      <c r="F85" s="161"/>
      <c r="G85" s="749"/>
      <c r="H85" s="155"/>
      <c r="I85" s="120"/>
    </row>
    <row r="86" spans="1:11" x14ac:dyDescent="0.25">
      <c r="A86" s="765" t="s">
        <v>458</v>
      </c>
      <c r="B86" s="764"/>
      <c r="C86" s="764"/>
      <c r="D86" s="764"/>
      <c r="E86" s="764"/>
      <c r="F86" s="764"/>
      <c r="G86" s="764"/>
      <c r="H86" s="764"/>
      <c r="I86" s="764"/>
    </row>
    <row r="87" spans="1:11" x14ac:dyDescent="0.25">
      <c r="B87" s="86"/>
      <c r="C87" s="780" t="s">
        <v>74</v>
      </c>
      <c r="D87" s="780"/>
      <c r="E87" s="86"/>
      <c r="F87" s="143" t="s">
        <v>37</v>
      </c>
      <c r="G87" s="86"/>
      <c r="H87" s="86"/>
      <c r="I87" s="86"/>
    </row>
    <row r="88" spans="1:11" x14ac:dyDescent="0.25">
      <c r="A88" s="3"/>
      <c r="B88" s="163"/>
      <c r="C88" s="776" t="s">
        <v>146</v>
      </c>
      <c r="D88" s="776"/>
      <c r="E88" s="164" t="s">
        <v>152</v>
      </c>
      <c r="F88" s="165" t="s">
        <v>151</v>
      </c>
      <c r="G88" s="166"/>
      <c r="H88" s="166"/>
      <c r="I88" s="166"/>
    </row>
    <row r="89" spans="1:11" x14ac:dyDescent="0.25">
      <c r="A89" s="53"/>
      <c r="B89" s="64" t="s">
        <v>150</v>
      </c>
      <c r="C89" s="781">
        <f>H13+H14+H19+H22+H25</f>
        <v>7945.9418000000005</v>
      </c>
      <c r="D89" s="781"/>
      <c r="E89" s="54">
        <f>H8</f>
        <v>1.0424</v>
      </c>
      <c r="F89" s="309">
        <f>'0664'!F89</f>
        <v>966.9</v>
      </c>
      <c r="G89" s="186" t="s">
        <v>13</v>
      </c>
      <c r="H89" s="120">
        <f>SUM('0664:4111'!H89)</f>
        <v>8008687.5099999998</v>
      </c>
      <c r="I89" s="124"/>
    </row>
    <row r="90" spans="1:11" x14ac:dyDescent="0.25">
      <c r="A90" s="60"/>
      <c r="B90" s="60" t="s">
        <v>149</v>
      </c>
      <c r="C90" s="781">
        <f>H15+H16+H20+H23+H26</f>
        <v>10130.977699999999</v>
      </c>
      <c r="D90" s="781"/>
      <c r="E90" s="54">
        <f>H8</f>
        <v>1.0424</v>
      </c>
      <c r="F90" s="309">
        <f>'0664'!F90</f>
        <v>923.19</v>
      </c>
      <c r="G90" s="186" t="s">
        <v>13</v>
      </c>
      <c r="H90" s="120">
        <f>SUM('0664:4111'!H90)</f>
        <v>9749376.6499999985</v>
      </c>
      <c r="I90" s="61"/>
    </row>
    <row r="91" spans="1:11" x14ac:dyDescent="0.25">
      <c r="A91" s="64"/>
      <c r="B91" s="64" t="s">
        <v>148</v>
      </c>
      <c r="C91" s="781">
        <f>H17+H18+H21+H24+H27+H28</f>
        <v>7313.6616999999997</v>
      </c>
      <c r="D91" s="781"/>
      <c r="E91" s="54">
        <f>H8</f>
        <v>1.0424</v>
      </c>
      <c r="F91" s="309">
        <f>'0664'!F91</f>
        <v>925.42</v>
      </c>
      <c r="G91" s="186" t="s">
        <v>13</v>
      </c>
      <c r="H91" s="113">
        <f>SUM('0664:4111'!H91)</f>
        <v>7055180.8499999996</v>
      </c>
      <c r="I91" s="61"/>
      <c r="K91" s="390"/>
    </row>
    <row r="92" spans="1:11" ht="16.5" thickBot="1" x14ac:dyDescent="0.3">
      <c r="A92" s="67"/>
      <c r="B92" s="167" t="s">
        <v>147</v>
      </c>
      <c r="C92" s="782">
        <f>SUM(C89:C91)</f>
        <v>25390.581200000001</v>
      </c>
      <c r="D92" s="782"/>
      <c r="E92" s="168"/>
      <c r="F92" s="168"/>
      <c r="G92" s="168"/>
      <c r="H92" s="169" t="s">
        <v>145</v>
      </c>
      <c r="I92" s="120">
        <f>SUM('0664:4111'!I92)</f>
        <v>24813245.009999998</v>
      </c>
      <c r="J92" s="339">
        <f>I92-SUM(H89:H91)</f>
        <v>0</v>
      </c>
      <c r="K92" s="390"/>
    </row>
    <row r="93" spans="1:11" ht="16.5" thickTop="1" x14ac:dyDescent="0.25">
      <c r="A93" s="783" t="s">
        <v>92</v>
      </c>
      <c r="B93" s="783"/>
      <c r="C93" s="783"/>
      <c r="D93" s="783"/>
      <c r="E93" s="783"/>
      <c r="F93" s="783"/>
      <c r="G93" s="783"/>
      <c r="H93" s="783"/>
      <c r="I93" s="783"/>
    </row>
    <row r="94" spans="1:11" x14ac:dyDescent="0.25">
      <c r="A94" s="170"/>
      <c r="B94" s="170"/>
      <c r="C94" s="170"/>
      <c r="D94" s="170"/>
      <c r="E94" s="170"/>
      <c r="F94" s="170"/>
      <c r="G94" s="170"/>
      <c r="H94" s="170"/>
      <c r="I94" s="170"/>
    </row>
    <row r="95" spans="1:11" x14ac:dyDescent="0.25">
      <c r="A95" s="745" t="s">
        <v>459</v>
      </c>
      <c r="C95" s="71"/>
      <c r="D95" s="86"/>
      <c r="E95" s="683" t="s">
        <v>102</v>
      </c>
      <c r="F95" s="774"/>
      <c r="G95" s="774"/>
      <c r="H95" s="774"/>
      <c r="I95" s="774"/>
    </row>
    <row r="96" spans="1:11" x14ac:dyDescent="0.25">
      <c r="B96" s="86"/>
      <c r="C96" s="600" t="s">
        <v>435</v>
      </c>
      <c r="D96" s="600" t="s">
        <v>436</v>
      </c>
      <c r="E96" s="108" t="s">
        <v>153</v>
      </c>
      <c r="F96" s="71"/>
      <c r="G96" s="71"/>
      <c r="H96" s="71"/>
      <c r="I96" s="71"/>
    </row>
    <row r="97" spans="1:18" x14ac:dyDescent="0.25">
      <c r="B97" s="86"/>
      <c r="C97" s="109" t="s">
        <v>2</v>
      </c>
      <c r="D97" s="109" t="s">
        <v>2</v>
      </c>
      <c r="E97" s="109" t="s">
        <v>2</v>
      </c>
      <c r="F97" s="71"/>
      <c r="G97" s="71"/>
      <c r="H97" s="71"/>
      <c r="I97" s="71"/>
    </row>
    <row r="98" spans="1:18" x14ac:dyDescent="0.25">
      <c r="A98" s="767" t="s">
        <v>66</v>
      </c>
      <c r="B98" s="767"/>
      <c r="C98" s="192">
        <f>SUM('0664:4111'!C98)</f>
        <v>2435</v>
      </c>
      <c r="D98" s="192">
        <f>SUM('0664:4111'!D98)</f>
        <v>2958</v>
      </c>
      <c r="E98" s="147">
        <f>(C98+D98)/2</f>
        <v>2696.5</v>
      </c>
      <c r="F98" s="309" t="s">
        <v>39</v>
      </c>
      <c r="G98" s="176">
        <f>'0664'!G98</f>
        <v>486</v>
      </c>
      <c r="H98" s="296"/>
      <c r="I98" s="147">
        <f>SUM('0664:4111'!I98)</f>
        <v>1310499</v>
      </c>
    </row>
    <row r="99" spans="1:18" x14ac:dyDescent="0.25">
      <c r="A99" s="767" t="s">
        <v>82</v>
      </c>
      <c r="B99" s="767"/>
      <c r="C99" s="192">
        <f>SUM('0664:4111'!C99)</f>
        <v>0</v>
      </c>
      <c r="D99" s="192">
        <f>SUM('0664:4111'!D99)</f>
        <v>7</v>
      </c>
      <c r="E99" s="147">
        <f>(C99+D99)/2</f>
        <v>3.5</v>
      </c>
      <c r="F99" s="309" t="s">
        <v>39</v>
      </c>
      <c r="G99" s="176">
        <f>'0664'!G99</f>
        <v>1498</v>
      </c>
      <c r="H99" s="296"/>
      <c r="I99" s="147">
        <f>SUM('0664:4111'!I99)</f>
        <v>5243</v>
      </c>
    </row>
    <row r="100" spans="1:18" x14ac:dyDescent="0.25">
      <c r="A100" s="174"/>
      <c r="B100" s="174"/>
      <c r="C100" s="89"/>
      <c r="D100" s="89"/>
      <c r="E100" s="89"/>
      <c r="F100" s="89"/>
      <c r="G100" s="175"/>
      <c r="H100" s="176"/>
      <c r="I100" s="147"/>
      <c r="R100" s="390"/>
    </row>
    <row r="101" spans="1:18" x14ac:dyDescent="0.25">
      <c r="A101" s="174"/>
      <c r="B101" s="174"/>
      <c r="C101" s="89"/>
      <c r="D101" s="89"/>
      <c r="E101" s="89"/>
      <c r="F101" s="89"/>
      <c r="G101" s="175"/>
      <c r="H101" s="176"/>
      <c r="I101" s="147"/>
      <c r="R101" s="390"/>
    </row>
    <row r="102" spans="1:18" hidden="1" x14ac:dyDescent="0.25">
      <c r="A102" s="765" t="s">
        <v>374</v>
      </c>
      <c r="B102" s="764"/>
      <c r="C102" s="764"/>
      <c r="D102" s="86"/>
      <c r="E102" s="686" t="s">
        <v>41</v>
      </c>
      <c r="F102" s="775"/>
      <c r="G102" s="775"/>
      <c r="H102" s="775"/>
      <c r="I102" s="775"/>
    </row>
    <row r="103" spans="1:18" hidden="1" x14ac:dyDescent="0.25">
      <c r="B103" s="86"/>
      <c r="C103" s="776" t="s">
        <v>93</v>
      </c>
      <c r="D103" s="776"/>
      <c r="E103" s="776"/>
      <c r="F103" s="290"/>
      <c r="G103" s="290"/>
      <c r="H103" s="310" t="s">
        <v>154</v>
      </c>
      <c r="I103" s="290"/>
    </row>
    <row r="104" spans="1:18" hidden="1" x14ac:dyDescent="0.25">
      <c r="B104" s="86"/>
      <c r="C104" s="107" t="s">
        <v>345</v>
      </c>
      <c r="D104" s="107" t="s">
        <v>346</v>
      </c>
      <c r="E104" s="185" t="s">
        <v>8</v>
      </c>
      <c r="F104" s="777" t="s">
        <v>155</v>
      </c>
      <c r="G104" s="778"/>
      <c r="H104" s="289" t="s">
        <v>38</v>
      </c>
      <c r="I104" s="290"/>
    </row>
    <row r="105" spans="1:18" hidden="1" x14ac:dyDescent="0.25">
      <c r="A105" s="776" t="s">
        <v>96</v>
      </c>
      <c r="B105" s="776"/>
      <c r="C105" s="109" t="s">
        <v>2</v>
      </c>
      <c r="D105" s="109" t="s">
        <v>2</v>
      </c>
      <c r="E105" s="73" t="s">
        <v>2</v>
      </c>
      <c r="F105" s="779" t="s">
        <v>37</v>
      </c>
      <c r="G105" s="779"/>
      <c r="H105" s="311" t="s">
        <v>37</v>
      </c>
      <c r="I105" s="311" t="s">
        <v>8</v>
      </c>
    </row>
    <row r="106" spans="1:18" hidden="1" x14ac:dyDescent="0.25">
      <c r="A106" s="771" t="s">
        <v>70</v>
      </c>
      <c r="B106" s="771"/>
      <c r="C106" s="190">
        <f>SUM('0664:4111'!C106)</f>
        <v>0</v>
      </c>
      <c r="D106" s="190">
        <f>SUM('0664:4111'!D106)</f>
        <v>0</v>
      </c>
      <c r="E106" s="245">
        <f>SUM('0664:4111'!E106)</f>
        <v>0</v>
      </c>
      <c r="F106" s="772">
        <v>0</v>
      </c>
      <c r="G106" s="772"/>
      <c r="H106" s="312">
        <f>IF(C106=0,0,125)</f>
        <v>0</v>
      </c>
      <c r="I106" s="147">
        <f>SUM('0664:4111'!I106)</f>
        <v>0</v>
      </c>
    </row>
    <row r="107" spans="1:18" hidden="1" x14ac:dyDescent="0.25">
      <c r="A107" s="768" t="s">
        <v>71</v>
      </c>
      <c r="B107" s="768"/>
      <c r="C107" s="192">
        <f>SUM('0664:4111'!C107)</f>
        <v>0</v>
      </c>
      <c r="D107" s="192">
        <f>SUM('0664:4111'!D107)</f>
        <v>0</v>
      </c>
      <c r="E107" s="147">
        <f>SUM('0664:4111'!E107)</f>
        <v>0</v>
      </c>
      <c r="F107" s="769">
        <f>ROUND(F106/2,2)</f>
        <v>0</v>
      </c>
      <c r="G107" s="769"/>
      <c r="H107" s="313">
        <f>IF(C107=0,0,62.5)</f>
        <v>0</v>
      </c>
      <c r="I107" s="147">
        <f>SUM('0664:4111'!I107)</f>
        <v>0</v>
      </c>
    </row>
    <row r="108" spans="1:18" hidden="1" x14ac:dyDescent="0.25">
      <c r="A108" s="768" t="s">
        <v>72</v>
      </c>
      <c r="B108" s="768"/>
      <c r="C108" s="192">
        <f>SUM('0664:4111'!C108)</f>
        <v>0</v>
      </c>
      <c r="D108" s="192">
        <f>SUM('0664:4111'!D108)</f>
        <v>0</v>
      </c>
      <c r="E108" s="147">
        <f>SUM('0664:4111'!E108)</f>
        <v>0</v>
      </c>
      <c r="F108" s="773"/>
      <c r="G108" s="773"/>
      <c r="H108" s="314">
        <f>IF(H106&gt;0,436,0)</f>
        <v>0</v>
      </c>
      <c r="I108" s="120">
        <f>SUM('0664:4111'!I108)</f>
        <v>0</v>
      </c>
    </row>
    <row r="109" spans="1:18" hidden="1" x14ac:dyDescent="0.25">
      <c r="A109" s="770" t="s">
        <v>8</v>
      </c>
      <c r="B109" s="770"/>
      <c r="C109" s="81"/>
      <c r="D109" s="81"/>
      <c r="E109" s="81"/>
      <c r="F109" s="81"/>
      <c r="G109" s="81"/>
      <c r="H109" s="81"/>
      <c r="I109" s="116">
        <f>SUM(I106:I108)</f>
        <v>0</v>
      </c>
    </row>
    <row r="110" spans="1:18" hidden="1" x14ac:dyDescent="0.25">
      <c r="A110" s="40"/>
      <c r="B110" s="40"/>
      <c r="C110" s="81"/>
      <c r="D110" s="81"/>
      <c r="E110" s="81"/>
      <c r="F110" s="81"/>
      <c r="G110" s="81"/>
      <c r="H110" s="81"/>
      <c r="I110" s="120"/>
    </row>
    <row r="111" spans="1:18" x14ac:dyDescent="0.25">
      <c r="A111" s="745" t="s">
        <v>460</v>
      </c>
      <c r="E111" s="684" t="s">
        <v>375</v>
      </c>
      <c r="F111" s="766"/>
      <c r="G111" s="766"/>
      <c r="H111" s="766"/>
      <c r="I111" s="147">
        <f>SUM('0664:4111'!I111)</f>
        <v>0</v>
      </c>
    </row>
    <row r="112" spans="1:18" x14ac:dyDescent="0.25">
      <c r="A112" s="765" t="s">
        <v>461</v>
      </c>
      <c r="B112" s="764"/>
      <c r="C112" s="764"/>
      <c r="D112" s="86"/>
      <c r="E112" s="684" t="s">
        <v>46</v>
      </c>
      <c r="F112" s="766"/>
      <c r="G112" s="766"/>
      <c r="H112" s="766"/>
      <c r="I112" s="204">
        <f>SUM('0664:4111'!I112)</f>
        <v>0</v>
      </c>
    </row>
    <row r="113" spans="1:18" x14ac:dyDescent="0.25">
      <c r="B113" s="86"/>
      <c r="C113" s="86"/>
      <c r="D113" s="86"/>
      <c r="E113" s="85"/>
      <c r="F113" s="85"/>
      <c r="G113" s="85"/>
      <c r="H113" s="85"/>
      <c r="I113" s="147"/>
    </row>
    <row r="114" spans="1:18" x14ac:dyDescent="0.25">
      <c r="A114" s="767" t="s">
        <v>8</v>
      </c>
      <c r="B114" s="767"/>
      <c r="C114" s="767"/>
      <c r="D114" s="767"/>
      <c r="E114" s="767"/>
      <c r="F114" s="767"/>
      <c r="G114" s="767"/>
      <c r="H114" s="767"/>
      <c r="I114" s="120">
        <f>I31+I59+I68+I70+I71+I72+I73+I74+I75+I77+I78+I79+I80+I83+I84+I81+I82+I92+I98+I99+I109+I111+I112</f>
        <v>183547388.31999999</v>
      </c>
      <c r="J114" s="147">
        <f>SUM('0664:4111'!I114)+Virtual!E28-I114</f>
        <v>0</v>
      </c>
      <c r="R114" s="390"/>
    </row>
    <row r="115" spans="1:18" x14ac:dyDescent="0.25">
      <c r="A115" s="765" t="s">
        <v>462</v>
      </c>
      <c r="B115" s="764"/>
      <c r="C115" s="764"/>
      <c r="D115" s="764"/>
      <c r="E115" s="764"/>
      <c r="F115" s="764"/>
      <c r="G115" s="764"/>
      <c r="H115" s="682" t="s">
        <v>416</v>
      </c>
      <c r="I115" s="181"/>
      <c r="R115" s="390"/>
    </row>
    <row r="116" spans="1:18" x14ac:dyDescent="0.25">
      <c r="A116" s="764" t="s">
        <v>97</v>
      </c>
      <c r="B116" s="764"/>
      <c r="C116" s="764"/>
      <c r="D116" s="764"/>
      <c r="E116" s="764"/>
      <c r="F116" s="764"/>
      <c r="G116" s="764"/>
      <c r="H116" s="87"/>
      <c r="I116" s="147">
        <f>SUM('0664:4111'!I116)</f>
        <v>7390230.919999999</v>
      </c>
    </row>
    <row r="117" spans="1:18" x14ac:dyDescent="0.25">
      <c r="B117" s="86"/>
      <c r="C117" s="86"/>
      <c r="D117" s="86"/>
      <c r="E117" s="86"/>
      <c r="F117" s="86"/>
      <c r="G117" s="86"/>
      <c r="H117" s="89"/>
      <c r="I117" s="120"/>
    </row>
    <row r="118" spans="1:18" x14ac:dyDescent="0.25">
      <c r="A118" s="3" t="s">
        <v>104</v>
      </c>
      <c r="B118" s="86"/>
      <c r="C118" s="86"/>
      <c r="D118" s="86"/>
      <c r="E118" s="86"/>
      <c r="F118" s="86"/>
      <c r="G118" s="86"/>
      <c r="H118" s="188">
        <f>IF(H116=1,I116,I114)</f>
        <v>183547388.31999999</v>
      </c>
      <c r="I118" s="113">
        <f>SUM('0664:4111'!I118)+Virtual!E29</f>
        <v>-3222950.5699999994</v>
      </c>
    </row>
    <row r="119" spans="1:18" x14ac:dyDescent="0.25">
      <c r="B119" s="86"/>
      <c r="C119" s="86"/>
      <c r="D119" s="86"/>
      <c r="E119" s="86"/>
      <c r="F119" s="86"/>
      <c r="G119" s="86"/>
      <c r="H119" s="89"/>
      <c r="I119" s="120"/>
    </row>
    <row r="120" spans="1:18" x14ac:dyDescent="0.25">
      <c r="A120" s="3" t="s">
        <v>105</v>
      </c>
      <c r="B120" s="86"/>
      <c r="C120" s="86"/>
      <c r="D120" s="86"/>
      <c r="E120" s="86"/>
      <c r="F120" s="86"/>
      <c r="G120" s="86"/>
      <c r="H120" s="89"/>
      <c r="I120" s="120">
        <f>I114+I118</f>
        <v>180324437.75</v>
      </c>
      <c r="J120" s="147">
        <f>SUM('0664:4111'!I120)+Virtual!E30-I120</f>
        <v>-79918.319999992847</v>
      </c>
    </row>
    <row r="121" spans="1:18" x14ac:dyDescent="0.25">
      <c r="B121" s="86"/>
      <c r="C121" s="86"/>
      <c r="D121" s="86"/>
      <c r="E121" s="86"/>
      <c r="F121" s="86"/>
      <c r="G121" s="86"/>
      <c r="H121" s="89"/>
      <c r="I121" s="120"/>
    </row>
    <row r="122" spans="1:18" x14ac:dyDescent="0.25">
      <c r="A122" s="3" t="s">
        <v>106</v>
      </c>
      <c r="B122" s="86"/>
      <c r="C122" s="86"/>
      <c r="D122" s="86"/>
      <c r="E122" s="86"/>
      <c r="F122" s="86"/>
      <c r="G122" s="86"/>
      <c r="H122" s="89"/>
      <c r="I122" s="113">
        <f>SUM('0664:4111'!I122)+Virtual!E32</f>
        <v>-180317025.77000001</v>
      </c>
      <c r="J122" s="339"/>
      <c r="K122" s="339"/>
      <c r="L122" s="339"/>
    </row>
    <row r="123" spans="1:18" x14ac:dyDescent="0.25">
      <c r="B123" s="86"/>
      <c r="C123" s="86"/>
      <c r="D123" s="86"/>
      <c r="E123" s="86"/>
      <c r="F123" s="86"/>
      <c r="G123" s="86"/>
      <c r="H123" s="89"/>
      <c r="I123" s="120"/>
      <c r="J123" s="247"/>
    </row>
    <row r="124" spans="1:18" x14ac:dyDescent="0.25">
      <c r="A124" s="411" t="s">
        <v>313</v>
      </c>
      <c r="B124" s="411"/>
      <c r="C124" s="411"/>
      <c r="D124" s="411"/>
      <c r="E124" s="411"/>
      <c r="F124" s="411"/>
      <c r="G124" s="411"/>
      <c r="H124" s="89"/>
      <c r="I124" s="120">
        <f>I120+I122</f>
        <v>7411.9799999892712</v>
      </c>
      <c r="J124" s="339"/>
      <c r="L124" s="339"/>
    </row>
    <row r="125" spans="1:18" x14ac:dyDescent="0.25">
      <c r="A125" s="411"/>
      <c r="B125" s="411"/>
      <c r="C125" s="411"/>
      <c r="D125" s="411"/>
      <c r="E125" s="411"/>
      <c r="F125" s="411"/>
      <c r="G125" s="411"/>
      <c r="H125" s="89"/>
      <c r="I125" s="120"/>
    </row>
    <row r="126" spans="1:18" ht="16.5" customHeight="1" x14ac:dyDescent="0.25">
      <c r="A126" s="411" t="s">
        <v>314</v>
      </c>
      <c r="B126" s="411"/>
      <c r="C126" s="411"/>
      <c r="D126" s="411"/>
      <c r="E126" s="411"/>
      <c r="F126" s="411"/>
      <c r="G126" s="411"/>
      <c r="H126" s="89"/>
      <c r="I126" s="415">
        <f>'0664'!I126</f>
        <v>1</v>
      </c>
      <c r="L126" s="390"/>
    </row>
    <row r="127" spans="1:18" x14ac:dyDescent="0.25">
      <c r="A127" s="411"/>
      <c r="B127" s="411"/>
      <c r="C127" s="411"/>
      <c r="D127" s="411"/>
      <c r="E127" s="411"/>
      <c r="F127" s="411"/>
      <c r="G127" s="411"/>
      <c r="H127" s="89"/>
      <c r="I127" s="120"/>
      <c r="L127" s="390"/>
    </row>
    <row r="128" spans="1:18" ht="16.5" thickBot="1" x14ac:dyDescent="0.3">
      <c r="A128" s="3" t="s">
        <v>107</v>
      </c>
      <c r="B128" s="86"/>
      <c r="C128" s="86"/>
      <c r="D128" s="86"/>
      <c r="E128" s="86"/>
      <c r="F128" s="86"/>
      <c r="G128" s="86"/>
      <c r="H128" s="89"/>
      <c r="I128" s="205">
        <f>SUM('0664:4111'!I128)+Virtual!E38</f>
        <v>-72506.340000000011</v>
      </c>
      <c r="J128" s="147">
        <f>ROUND(SUM('0664:4111'!I128)+Virtual!E38-I128,2)</f>
        <v>0</v>
      </c>
    </row>
    <row r="129" spans="1:13" ht="16.5" thickTop="1" x14ac:dyDescent="0.25">
      <c r="B129" s="86"/>
      <c r="C129" s="86"/>
      <c r="D129" s="86"/>
      <c r="E129" s="86"/>
      <c r="F129" s="86"/>
      <c r="G129" s="86"/>
      <c r="H129" s="89"/>
      <c r="I129" s="120"/>
      <c r="M129" s="390"/>
    </row>
    <row r="130" spans="1:13" ht="16.5" thickBot="1" x14ac:dyDescent="0.3">
      <c r="A130" s="3" t="s">
        <v>123</v>
      </c>
      <c r="B130" s="86"/>
      <c r="C130" s="86"/>
      <c r="D130" s="86"/>
      <c r="E130" s="86"/>
      <c r="F130" s="86"/>
      <c r="G130" s="86"/>
      <c r="H130" s="89"/>
      <c r="I130" s="180">
        <f>SUM('0664:4111'!I1212)</f>
        <v>0</v>
      </c>
      <c r="M130" s="390"/>
    </row>
    <row r="131" spans="1:13" ht="16.5" thickTop="1" x14ac:dyDescent="0.25">
      <c r="B131" s="86"/>
      <c r="C131" s="86"/>
      <c r="D131" s="86"/>
      <c r="E131" s="86"/>
      <c r="F131" s="86"/>
      <c r="G131" s="86"/>
      <c r="H131" s="89"/>
      <c r="I131" s="181"/>
    </row>
    <row r="132" spans="1:13" x14ac:dyDescent="0.25">
      <c r="B132" s="86"/>
      <c r="C132" s="86"/>
      <c r="D132" s="86"/>
      <c r="E132" s="86"/>
      <c r="F132" s="86"/>
      <c r="G132" s="86"/>
      <c r="H132" s="89"/>
      <c r="I132" s="181"/>
    </row>
    <row r="133" spans="1:13" x14ac:dyDescent="0.25">
      <c r="A133" s="455"/>
      <c r="B133" s="455"/>
      <c r="C133" s="455"/>
      <c r="D133" s="455"/>
      <c r="E133" s="455"/>
      <c r="F133" s="455"/>
      <c r="G133" s="455"/>
      <c r="H133" s="89"/>
      <c r="I133" s="181"/>
    </row>
    <row r="134" spans="1:13" x14ac:dyDescent="0.25">
      <c r="B134" s="86"/>
      <c r="C134" s="86"/>
      <c r="D134" s="86"/>
      <c r="E134" s="86"/>
      <c r="F134" s="86"/>
      <c r="G134" s="86"/>
      <c r="H134" s="89"/>
      <c r="I134" s="181"/>
      <c r="L134" s="390"/>
    </row>
    <row r="135" spans="1:13" x14ac:dyDescent="0.25">
      <c r="A135" s="492" t="s">
        <v>7</v>
      </c>
      <c r="B135" s="492"/>
      <c r="C135" s="492"/>
      <c r="D135" s="492"/>
      <c r="E135" s="492"/>
      <c r="F135" s="492"/>
      <c r="G135" s="492"/>
      <c r="H135" s="492"/>
      <c r="I135" s="492"/>
      <c r="J135" s="182"/>
    </row>
    <row r="136" spans="1:13" ht="15.75" customHeight="1" x14ac:dyDescent="0.25">
      <c r="A136" s="689" t="s">
        <v>328</v>
      </c>
      <c r="B136" s="690"/>
      <c r="C136" s="690"/>
      <c r="D136" s="690"/>
      <c r="E136" s="690"/>
      <c r="F136" s="690"/>
      <c r="G136" s="690"/>
      <c r="H136" s="690"/>
      <c r="I136" s="690"/>
      <c r="J136" s="96"/>
      <c r="K136" s="95"/>
      <c r="L136" s="95"/>
      <c r="M136" s="95"/>
    </row>
    <row r="137" spans="1:13" ht="15.75" customHeight="1" x14ac:dyDescent="0.25">
      <c r="A137" s="697" t="s">
        <v>377</v>
      </c>
      <c r="B137" s="690"/>
      <c r="C137" s="690"/>
      <c r="D137" s="690"/>
      <c r="E137" s="690"/>
      <c r="F137" s="690"/>
      <c r="G137" s="690"/>
      <c r="H137" s="690"/>
      <c r="I137" s="690"/>
      <c r="J137" s="96"/>
      <c r="K137" s="95"/>
      <c r="L137" s="95"/>
      <c r="M137" s="95"/>
    </row>
    <row r="138" spans="1:13" x14ac:dyDescent="0.25">
      <c r="A138" s="691" t="s">
        <v>62</v>
      </c>
      <c r="B138" s="691"/>
      <c r="C138" s="691"/>
      <c r="D138" s="691"/>
      <c r="E138" s="691"/>
      <c r="F138" s="691"/>
      <c r="G138" s="691"/>
      <c r="H138" s="691"/>
      <c r="I138" s="691"/>
      <c r="J138" s="95"/>
      <c r="K138" s="95"/>
      <c r="L138" s="95"/>
      <c r="M138" s="621"/>
    </row>
    <row r="139" spans="1:13" s="95" customFormat="1" x14ac:dyDescent="0.2">
      <c r="A139" s="691" t="s">
        <v>63</v>
      </c>
      <c r="B139" s="691"/>
      <c r="C139" s="691"/>
      <c r="D139" s="691"/>
      <c r="E139" s="691"/>
      <c r="F139" s="691"/>
      <c r="G139" s="691"/>
      <c r="H139" s="691"/>
      <c r="I139" s="691"/>
      <c r="M139" s="621"/>
    </row>
    <row r="140" spans="1:13" s="95" customFormat="1" x14ac:dyDescent="0.2">
      <c r="A140" s="692" t="s">
        <v>376</v>
      </c>
      <c r="B140" s="691"/>
      <c r="C140" s="691"/>
      <c r="D140" s="691"/>
      <c r="E140" s="691"/>
      <c r="F140" s="691"/>
      <c r="G140" s="691"/>
      <c r="H140" s="691"/>
      <c r="I140" s="691"/>
    </row>
    <row r="141" spans="1:13" s="95" customFormat="1" x14ac:dyDescent="0.2">
      <c r="A141" s="692" t="s">
        <v>378</v>
      </c>
      <c r="B141" s="691"/>
      <c r="C141" s="691"/>
      <c r="D141" s="691"/>
      <c r="E141" s="691"/>
      <c r="F141" s="691"/>
      <c r="G141" s="691"/>
      <c r="H141" s="691"/>
      <c r="I141" s="691"/>
    </row>
    <row r="142" spans="1:13" s="95" customFormat="1" x14ac:dyDescent="0.2">
      <c r="A142" s="698" t="s">
        <v>329</v>
      </c>
      <c r="B142" s="691"/>
      <c r="C142" s="691"/>
      <c r="D142" s="691"/>
      <c r="E142" s="691"/>
      <c r="F142" s="691"/>
      <c r="G142" s="691"/>
      <c r="H142" s="691"/>
      <c r="I142" s="691"/>
    </row>
    <row r="143" spans="1:13" s="95" customFormat="1" ht="15.75" customHeight="1" x14ac:dyDescent="0.2">
      <c r="A143" s="725" t="s">
        <v>429</v>
      </c>
      <c r="B143" s="691"/>
      <c r="C143" s="691"/>
      <c r="D143" s="691"/>
      <c r="E143" s="691"/>
      <c r="F143" s="691"/>
      <c r="G143" s="691"/>
      <c r="H143" s="691"/>
      <c r="I143" s="691"/>
    </row>
    <row r="144" spans="1:13" s="95" customFormat="1" x14ac:dyDescent="0.2">
      <c r="A144" s="726" t="s">
        <v>430</v>
      </c>
      <c r="B144" s="691"/>
      <c r="C144" s="691"/>
      <c r="D144" s="691"/>
      <c r="E144" s="691"/>
      <c r="F144" s="691"/>
      <c r="G144" s="691"/>
      <c r="H144" s="691"/>
      <c r="I144" s="691"/>
    </row>
    <row r="145" spans="1:9" s="95" customFormat="1" x14ac:dyDescent="0.2">
      <c r="A145" s="692" t="s">
        <v>330</v>
      </c>
      <c r="B145" s="691"/>
      <c r="C145" s="691"/>
      <c r="D145" s="691"/>
      <c r="E145" s="691"/>
      <c r="F145" s="691"/>
      <c r="G145" s="691"/>
      <c r="H145" s="691"/>
      <c r="I145" s="691"/>
    </row>
    <row r="146" spans="1:9" s="95" customFormat="1" ht="15.75" customHeight="1" x14ac:dyDescent="0.2">
      <c r="A146" s="698" t="s">
        <v>331</v>
      </c>
      <c r="B146" s="691"/>
      <c r="C146" s="691"/>
      <c r="D146" s="691"/>
      <c r="E146" s="691"/>
      <c r="F146" s="691"/>
      <c r="G146" s="691"/>
      <c r="H146" s="691"/>
      <c r="I146" s="691"/>
    </row>
    <row r="147" spans="1:9" s="95" customFormat="1" x14ac:dyDescent="0.2">
      <c r="A147" s="692" t="s">
        <v>332</v>
      </c>
      <c r="B147" s="691"/>
      <c r="C147" s="691"/>
      <c r="D147" s="691"/>
      <c r="E147" s="691"/>
      <c r="F147" s="691"/>
      <c r="G147" s="691"/>
      <c r="H147" s="691"/>
      <c r="I147" s="691"/>
    </row>
    <row r="148" spans="1:9" s="95" customFormat="1" x14ac:dyDescent="0.2">
      <c r="A148" s="692" t="s">
        <v>365</v>
      </c>
      <c r="B148" s="691"/>
      <c r="C148" s="691"/>
      <c r="D148" s="691"/>
      <c r="E148" s="691"/>
      <c r="F148" s="691"/>
      <c r="G148" s="691"/>
      <c r="H148" s="691"/>
      <c r="I148" s="691"/>
    </row>
    <row r="149" spans="1:9" s="95" customFormat="1" x14ac:dyDescent="0.2">
      <c r="A149" s="699" t="s">
        <v>333</v>
      </c>
      <c r="B149" s="691"/>
      <c r="C149" s="691"/>
      <c r="D149" s="691"/>
      <c r="E149" s="691"/>
      <c r="F149" s="691"/>
      <c r="G149" s="691"/>
      <c r="H149" s="691"/>
      <c r="I149" s="691"/>
    </row>
    <row r="150" spans="1:9" s="95" customFormat="1" x14ac:dyDescent="0.2">
      <c r="A150" s="699" t="s">
        <v>334</v>
      </c>
      <c r="B150" s="691"/>
      <c r="C150" s="691"/>
      <c r="D150" s="691"/>
      <c r="E150" s="691"/>
      <c r="F150" s="691"/>
      <c r="G150" s="691"/>
      <c r="H150" s="691"/>
      <c r="I150" s="691"/>
    </row>
    <row r="151" spans="1:9" s="95" customFormat="1" x14ac:dyDescent="0.2">
      <c r="A151" s="692" t="s">
        <v>366</v>
      </c>
      <c r="B151" s="691"/>
      <c r="C151" s="691"/>
      <c r="D151" s="691"/>
      <c r="E151" s="691"/>
      <c r="F151" s="691"/>
      <c r="G151" s="691"/>
      <c r="H151" s="691"/>
      <c r="I151" s="691"/>
    </row>
    <row r="152" spans="1:9" s="95" customFormat="1" x14ac:dyDescent="0.2">
      <c r="A152" s="692" t="s">
        <v>367</v>
      </c>
      <c r="B152" s="691"/>
      <c r="C152" s="691"/>
      <c r="D152" s="691"/>
      <c r="E152" s="691"/>
      <c r="F152" s="691"/>
      <c r="G152" s="691"/>
      <c r="H152" s="691"/>
      <c r="I152" s="691"/>
    </row>
    <row r="153" spans="1:9" s="95" customFormat="1" ht="15.75" customHeight="1" x14ac:dyDescent="0.2">
      <c r="A153" s="699" t="s">
        <v>335</v>
      </c>
      <c r="B153" s="691"/>
      <c r="C153" s="691"/>
      <c r="D153" s="691"/>
      <c r="E153" s="691"/>
      <c r="F153" s="691"/>
      <c r="G153" s="691"/>
      <c r="H153" s="691"/>
      <c r="I153" s="691"/>
    </row>
    <row r="154" spans="1:9" s="95" customFormat="1" x14ac:dyDescent="0.2">
      <c r="A154" s="692"/>
      <c r="B154" s="691"/>
      <c r="C154" s="691"/>
      <c r="D154" s="691"/>
      <c r="E154" s="691"/>
      <c r="F154" s="691"/>
      <c r="G154" s="691"/>
      <c r="H154" s="691"/>
      <c r="I154" s="691"/>
    </row>
    <row r="155" spans="1:9" s="95" customFormat="1" ht="15.75" customHeight="1" x14ac:dyDescent="0.2">
      <c r="A155" s="704" t="s">
        <v>94</v>
      </c>
      <c r="B155" s="691"/>
      <c r="C155" s="691"/>
      <c r="D155" s="691"/>
      <c r="E155" s="691"/>
      <c r="F155" s="691"/>
      <c r="G155" s="691"/>
      <c r="H155" s="691"/>
      <c r="I155" s="691"/>
    </row>
    <row r="156" spans="1:9" s="95" customFormat="1" ht="15.75" customHeight="1" x14ac:dyDescent="0.2">
      <c r="A156" s="693" t="s">
        <v>336</v>
      </c>
      <c r="B156" s="694"/>
      <c r="C156" s="694"/>
      <c r="D156" s="694"/>
      <c r="E156" s="694"/>
      <c r="F156" s="694"/>
      <c r="G156" s="694"/>
      <c r="H156" s="694"/>
      <c r="I156" s="694"/>
    </row>
    <row r="157" spans="1:9" s="95" customFormat="1" ht="15.75" customHeight="1" x14ac:dyDescent="0.2">
      <c r="A157" s="700" t="s">
        <v>379</v>
      </c>
      <c r="B157" s="705"/>
      <c r="C157" s="705"/>
      <c r="D157" s="705"/>
      <c r="E157" s="705"/>
      <c r="F157" s="705"/>
      <c r="G157" s="705"/>
      <c r="H157" s="705"/>
      <c r="I157" s="705"/>
    </row>
    <row r="158" spans="1:9" s="95" customFormat="1" ht="15.75" customHeight="1" x14ac:dyDescent="0.2">
      <c r="A158" s="700" t="s">
        <v>380</v>
      </c>
      <c r="B158" s="705"/>
      <c r="C158" s="705"/>
      <c r="D158" s="705"/>
      <c r="E158" s="705"/>
      <c r="F158" s="705"/>
      <c r="G158" s="705"/>
      <c r="H158" s="705"/>
      <c r="I158" s="705"/>
    </row>
    <row r="159" spans="1:9" s="95" customFormat="1" ht="15.75" customHeight="1" x14ac:dyDescent="0.2">
      <c r="A159" s="693"/>
      <c r="B159" s="705"/>
      <c r="C159" s="705"/>
      <c r="D159" s="705"/>
      <c r="E159" s="705"/>
      <c r="F159" s="705"/>
      <c r="G159" s="705"/>
      <c r="H159" s="705"/>
      <c r="I159" s="705"/>
    </row>
    <row r="160" spans="1:9" s="95" customFormat="1" ht="14.25" customHeight="1" x14ac:dyDescent="0.2">
      <c r="A160" s="693" t="s">
        <v>381</v>
      </c>
      <c r="B160" s="694"/>
      <c r="C160" s="694"/>
      <c r="D160" s="694"/>
      <c r="E160" s="694"/>
      <c r="F160" s="694"/>
      <c r="G160" s="694"/>
      <c r="H160" s="694"/>
      <c r="I160" s="694"/>
    </row>
    <row r="161" spans="1:13" s="95" customFormat="1" ht="15.75" customHeight="1" x14ac:dyDescent="0.25">
      <c r="A161" s="700" t="s">
        <v>379</v>
      </c>
      <c r="B161" s="694"/>
      <c r="C161" s="694"/>
      <c r="D161" s="694"/>
      <c r="E161" s="694"/>
      <c r="F161" s="694"/>
      <c r="G161" s="694"/>
      <c r="H161" s="694"/>
      <c r="I161" s="694"/>
      <c r="J161" s="3"/>
      <c r="K161" s="3"/>
      <c r="L161" s="3"/>
      <c r="M161" s="3"/>
    </row>
    <row r="162" spans="1:13" s="95" customFormat="1" ht="15.75" customHeight="1" x14ac:dyDescent="0.25">
      <c r="A162" s="700" t="s">
        <v>382</v>
      </c>
      <c r="B162" s="694"/>
      <c r="C162" s="694"/>
      <c r="D162" s="694"/>
      <c r="E162" s="694"/>
      <c r="F162" s="694"/>
      <c r="G162" s="694"/>
      <c r="H162" s="694"/>
      <c r="I162" s="694"/>
      <c r="J162" s="3"/>
      <c r="K162" s="3"/>
      <c r="L162" s="3"/>
      <c r="M162" s="3"/>
    </row>
    <row r="163" spans="1:13" s="95" customFormat="1" ht="15.75" customHeight="1" x14ac:dyDescent="0.25">
      <c r="A163" s="695"/>
      <c r="B163" s="695"/>
      <c r="C163" s="695"/>
      <c r="D163" s="695"/>
      <c r="E163" s="695"/>
      <c r="F163" s="695"/>
      <c r="G163" s="695"/>
      <c r="H163" s="695"/>
      <c r="I163" s="695"/>
      <c r="J163" s="3"/>
      <c r="K163" s="3"/>
      <c r="L163" s="3"/>
      <c r="M163" s="3"/>
    </row>
    <row r="164" spans="1:13" s="95" customFormat="1" ht="15.75" customHeight="1" x14ac:dyDescent="0.25">
      <c r="A164" s="706" t="s">
        <v>95</v>
      </c>
      <c r="B164" s="706"/>
      <c r="C164" s="706"/>
      <c r="D164" s="706"/>
      <c r="E164" s="706"/>
      <c r="F164" s="706"/>
      <c r="G164" s="706"/>
      <c r="H164" s="706"/>
      <c r="I164" s="706"/>
      <c r="J164" s="3"/>
      <c r="K164" s="3"/>
      <c r="L164" s="3"/>
      <c r="M164" s="3"/>
    </row>
    <row r="165" spans="1:13" s="95" customFormat="1" ht="15.75" customHeight="1" x14ac:dyDescent="0.25">
      <c r="A165" s="696" t="s">
        <v>337</v>
      </c>
      <c r="B165" s="695"/>
      <c r="C165" s="695"/>
      <c r="D165" s="695"/>
      <c r="E165" s="695"/>
      <c r="F165" s="695"/>
      <c r="G165" s="695"/>
      <c r="H165" s="695"/>
      <c r="I165" s="695"/>
      <c r="J165" s="3"/>
      <c r="K165" s="3"/>
      <c r="L165" s="3"/>
      <c r="M165" s="3"/>
    </row>
    <row r="166" spans="1:13" s="95" customFormat="1" ht="15.75" customHeight="1" x14ac:dyDescent="0.2">
      <c r="A166" s="701" t="s">
        <v>338</v>
      </c>
      <c r="B166" s="707"/>
      <c r="C166" s="707"/>
      <c r="D166" s="707"/>
      <c r="E166" s="707"/>
      <c r="F166" s="707"/>
      <c r="G166" s="707"/>
      <c r="H166" s="707"/>
      <c r="I166" s="707"/>
    </row>
    <row r="167" spans="1:13" ht="15.75" customHeight="1" x14ac:dyDescent="0.25">
      <c r="A167" s="695" t="s">
        <v>12</v>
      </c>
      <c r="B167" s="695"/>
      <c r="C167" s="695"/>
      <c r="D167" s="695"/>
      <c r="E167" s="695"/>
      <c r="F167" s="695"/>
      <c r="G167" s="695"/>
      <c r="H167" s="695"/>
      <c r="I167" s="695"/>
      <c r="J167" s="95"/>
      <c r="K167" s="95"/>
      <c r="L167" s="95"/>
      <c r="M167" s="95"/>
    </row>
    <row r="168" spans="1:13" ht="15.75" customHeight="1" x14ac:dyDescent="0.25">
      <c r="A168" s="494"/>
      <c r="B168" s="494"/>
      <c r="C168" s="494"/>
      <c r="D168" s="494"/>
      <c r="E168" s="494"/>
      <c r="F168" s="494"/>
      <c r="G168" s="494"/>
      <c r="H168" s="494"/>
      <c r="I168" s="494"/>
      <c r="J168" s="95"/>
      <c r="K168" s="95"/>
      <c r="L168" s="95"/>
      <c r="M168" s="95"/>
    </row>
    <row r="169" spans="1:13" ht="15.75" customHeight="1" x14ac:dyDescent="0.25">
      <c r="A169" s="494"/>
      <c r="B169" s="494"/>
      <c r="C169" s="494"/>
      <c r="D169" s="494"/>
      <c r="E169" s="494"/>
      <c r="F169" s="494"/>
      <c r="G169" s="494"/>
      <c r="H169" s="494"/>
      <c r="I169" s="494"/>
      <c r="J169" s="95"/>
      <c r="K169" s="95"/>
      <c r="L169" s="95"/>
      <c r="M169" s="95"/>
    </row>
    <row r="170" spans="1:13" s="95" customFormat="1" ht="15.75" customHeight="1" x14ac:dyDescent="0.25">
      <c r="A170" s="93"/>
      <c r="B170" s="3"/>
      <c r="C170" s="3"/>
      <c r="D170" s="3"/>
      <c r="E170" s="3"/>
      <c r="F170" s="3"/>
      <c r="G170" s="3"/>
      <c r="H170" s="3"/>
      <c r="I170" s="3"/>
    </row>
    <row r="171" spans="1:13" x14ac:dyDescent="0.25">
      <c r="A171" s="93"/>
    </row>
    <row r="172" spans="1:13" x14ac:dyDescent="0.25">
      <c r="A172" s="93"/>
    </row>
    <row r="173" spans="1:13" x14ac:dyDescent="0.25">
      <c r="A173" s="93"/>
    </row>
    <row r="174" spans="1:13" x14ac:dyDescent="0.25">
      <c r="A174" s="93"/>
    </row>
    <row r="175" spans="1:13" x14ac:dyDescent="0.25">
      <c r="A175" s="93"/>
    </row>
    <row r="176" spans="1:13" x14ac:dyDescent="0.25">
      <c r="A176" s="93"/>
    </row>
    <row r="177" spans="1:1" x14ac:dyDescent="0.25">
      <c r="A177" s="93"/>
    </row>
    <row r="178" spans="1:1" x14ac:dyDescent="0.25">
      <c r="A178" s="93"/>
    </row>
    <row r="179" spans="1:1" x14ac:dyDescent="0.25">
      <c r="A179" s="93"/>
    </row>
    <row r="180" spans="1:1" x14ac:dyDescent="0.25">
      <c r="A180" s="93"/>
    </row>
    <row r="181" spans="1:1" x14ac:dyDescent="0.25">
      <c r="A181" s="93"/>
    </row>
    <row r="182" spans="1:1" x14ac:dyDescent="0.25">
      <c r="A182" s="93"/>
    </row>
    <row r="183" spans="1:1" x14ac:dyDescent="0.25">
      <c r="A183" s="93"/>
    </row>
    <row r="184" spans="1:1" x14ac:dyDescent="0.25">
      <c r="A184" s="93"/>
    </row>
    <row r="185" spans="1:1" x14ac:dyDescent="0.25">
      <c r="A185" s="93"/>
    </row>
    <row r="186" spans="1:1" x14ac:dyDescent="0.25">
      <c r="A186" s="93"/>
    </row>
    <row r="187" spans="1:1" x14ac:dyDescent="0.25">
      <c r="A187" s="93"/>
    </row>
    <row r="188" spans="1:1" x14ac:dyDescent="0.25">
      <c r="A188" s="93"/>
    </row>
    <row r="189" spans="1:1" x14ac:dyDescent="0.25">
      <c r="A189" s="93"/>
    </row>
    <row r="190" spans="1:1" x14ac:dyDescent="0.25">
      <c r="A190" s="93"/>
    </row>
    <row r="191" spans="1:1" x14ac:dyDescent="0.25">
      <c r="A191" s="93"/>
    </row>
    <row r="192" spans="1:1" x14ac:dyDescent="0.25">
      <c r="A192" s="93"/>
    </row>
  </sheetData>
  <mergeCells count="106">
    <mergeCell ref="B1:I1"/>
    <mergeCell ref="A4:B4"/>
    <mergeCell ref="C4:E4"/>
    <mergeCell ref="A7:I7"/>
    <mergeCell ref="F10:G10"/>
    <mergeCell ref="A11:B11"/>
    <mergeCell ref="F11:G11"/>
    <mergeCell ref="A12:B12"/>
    <mergeCell ref="F12:G12"/>
    <mergeCell ref="A13:B13"/>
    <mergeCell ref="F13:G13"/>
    <mergeCell ref="A14:B14"/>
    <mergeCell ref="F14:G14"/>
    <mergeCell ref="A15:B15"/>
    <mergeCell ref="F15:G15"/>
    <mergeCell ref="A16:B16"/>
    <mergeCell ref="F16:G16"/>
    <mergeCell ref="A17:B17"/>
    <mergeCell ref="F17:G17"/>
    <mergeCell ref="A18:B18"/>
    <mergeCell ref="F18:G18"/>
    <mergeCell ref="A19:B19"/>
    <mergeCell ref="F19:G19"/>
    <mergeCell ref="A20:B20"/>
    <mergeCell ref="F20:G20"/>
    <mergeCell ref="A21:B21"/>
    <mergeCell ref="F21:G21"/>
    <mergeCell ref="A22:B22"/>
    <mergeCell ref="F22:G22"/>
    <mergeCell ref="A23:B23"/>
    <mergeCell ref="F23:G23"/>
    <mergeCell ref="A24:B24"/>
    <mergeCell ref="F24:G24"/>
    <mergeCell ref="A25:B25"/>
    <mergeCell ref="F25:G25"/>
    <mergeCell ref="A26:B26"/>
    <mergeCell ref="F26:G26"/>
    <mergeCell ref="A27:B27"/>
    <mergeCell ref="F27:G27"/>
    <mergeCell ref="A28:B28"/>
    <mergeCell ref="F28:G28"/>
    <mergeCell ref="A29:B29"/>
    <mergeCell ref="F29:G29"/>
    <mergeCell ref="F30:G30"/>
    <mergeCell ref="A31:B31"/>
    <mergeCell ref="A36:B36"/>
    <mergeCell ref="A37:B37"/>
    <mergeCell ref="A38:B38"/>
    <mergeCell ref="A39:B39"/>
    <mergeCell ref="A40:B40"/>
    <mergeCell ref="A41:B41"/>
    <mergeCell ref="A42:B42"/>
    <mergeCell ref="A50:B58"/>
    <mergeCell ref="A59:B59"/>
    <mergeCell ref="F59:H59"/>
    <mergeCell ref="A60:I60"/>
    <mergeCell ref="A61:I61"/>
    <mergeCell ref="A62:B62"/>
    <mergeCell ref="D62:G62"/>
    <mergeCell ref="A64:I64"/>
    <mergeCell ref="A65:B65"/>
    <mergeCell ref="D65:G65"/>
    <mergeCell ref="A68:C68"/>
    <mergeCell ref="A69:C69"/>
    <mergeCell ref="A70:C70"/>
    <mergeCell ref="A71:C71"/>
    <mergeCell ref="A72:C72"/>
    <mergeCell ref="A73:C73"/>
    <mergeCell ref="F74:H74"/>
    <mergeCell ref="A79:C79"/>
    <mergeCell ref="A80:C80"/>
    <mergeCell ref="A77:C77"/>
    <mergeCell ref="A78:C78"/>
    <mergeCell ref="A81:C81"/>
    <mergeCell ref="A82:C82"/>
    <mergeCell ref="A86:I86"/>
    <mergeCell ref="C87:D87"/>
    <mergeCell ref="C88:D88"/>
    <mergeCell ref="C89:D89"/>
    <mergeCell ref="C90:D90"/>
    <mergeCell ref="A84:C84"/>
    <mergeCell ref="C91:D91"/>
    <mergeCell ref="C92:D92"/>
    <mergeCell ref="A93:I93"/>
    <mergeCell ref="F95:I95"/>
    <mergeCell ref="A98:B98"/>
    <mergeCell ref="A99:B99"/>
    <mergeCell ref="A102:C102"/>
    <mergeCell ref="F102:I102"/>
    <mergeCell ref="C103:E103"/>
    <mergeCell ref="F104:G104"/>
    <mergeCell ref="A105:B105"/>
    <mergeCell ref="F105:G105"/>
    <mergeCell ref="A116:G116"/>
    <mergeCell ref="A112:C112"/>
    <mergeCell ref="F112:H112"/>
    <mergeCell ref="A114:H114"/>
    <mergeCell ref="A107:B107"/>
    <mergeCell ref="F107:G107"/>
    <mergeCell ref="A109:B109"/>
    <mergeCell ref="A108:B108"/>
    <mergeCell ref="A106:B106"/>
    <mergeCell ref="F106:G106"/>
    <mergeCell ref="F111:H111"/>
    <mergeCell ref="F108:G108"/>
    <mergeCell ref="A115:G115"/>
  </mergeCells>
  <conditionalFormatting sqref="J114">
    <cfRule type="cellIs" dxfId="7" priority="7" stopIfTrue="1" operator="notEqual">
      <formula>0</formula>
    </cfRule>
    <cfRule type="cellIs" dxfId="6" priority="8" stopIfTrue="1" operator="equal">
      <formula>0</formula>
    </cfRule>
  </conditionalFormatting>
  <conditionalFormatting sqref="J120">
    <cfRule type="cellIs" dxfId="5" priority="5" stopIfTrue="1" operator="notEqual">
      <formula>0</formula>
    </cfRule>
    <cfRule type="cellIs" dxfId="4" priority="6" stopIfTrue="1" operator="equal">
      <formula>0</formula>
    </cfRule>
  </conditionalFormatting>
  <conditionalFormatting sqref="J128">
    <cfRule type="cellIs" dxfId="3" priority="3" stopIfTrue="1" operator="notEqual">
      <formula>0</formula>
    </cfRule>
    <cfRule type="cellIs" dxfId="2" priority="4" stopIfTrue="1" operator="equal">
      <formula>0</formula>
    </cfRule>
  </conditionalFormatting>
  <conditionalFormatting sqref="J92">
    <cfRule type="cellIs" dxfId="1" priority="1" stopIfTrue="1" operator="notEqual">
      <formula>0</formula>
    </cfRule>
    <cfRule type="cellIs" dxfId="0" priority="2" stopIfTrue="1" operator="equal">
      <formula>0</formula>
    </cfRule>
  </conditionalFormatting>
  <pageMargins left="0.1" right="0.1" top="0.5" bottom="0.5" header="0" footer="0.1"/>
  <pageSetup scale="77" fitToHeight="2" orientation="portrait" r:id="rId1"/>
  <headerFooter alignWithMargins="0">
    <oddFooter>&amp;L&amp;8&amp;Z&amp;F&amp;R&amp;8&amp;P / &amp;N</oddFooter>
  </headerFooter>
  <rowBreaks count="1" manualBreakCount="1">
    <brk id="72" max="16383" man="1"/>
  </rowBreaks>
  <colBreaks count="1" manualBreakCount="1">
    <brk id="9" max="1048575" man="1"/>
  </col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FF00"/>
  </sheetPr>
  <dimension ref="A1:U202"/>
  <sheetViews>
    <sheetView showGridLines="0" zoomScale="90" zoomScaleNormal="90" workbookViewId="0">
      <pane ySplit="1" topLeftCell="A98"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177</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76.760000000000005</v>
      </c>
      <c r="D17" s="192">
        <v>74.819999999999993</v>
      </c>
      <c r="E17" s="147">
        <f t="shared" si="3"/>
        <v>151.57999999999998</v>
      </c>
      <c r="F17" s="814">
        <f>'0664'!F17:G17</f>
        <v>1.01</v>
      </c>
      <c r="G17" s="814"/>
      <c r="H17" s="99">
        <f t="shared" si="4"/>
        <v>153.0958</v>
      </c>
      <c r="I17" s="120">
        <f t="shared" si="0"/>
        <v>697859.86</v>
      </c>
      <c r="N17" s="840" t="s">
        <v>33</v>
      </c>
      <c r="O17" s="840"/>
      <c r="P17" s="841">
        <f t="shared" si="1"/>
        <v>0</v>
      </c>
      <c r="Q17" s="841"/>
      <c r="R17" s="842">
        <v>1</v>
      </c>
      <c r="S17" s="842"/>
      <c r="T17" s="114">
        <f t="shared" si="5"/>
        <v>0</v>
      </c>
      <c r="U17" s="115">
        <f t="shared" si="2"/>
        <v>0</v>
      </c>
    </row>
    <row r="18" spans="1:21" x14ac:dyDescent="0.25">
      <c r="A18" s="764" t="s">
        <v>34</v>
      </c>
      <c r="B18" s="764"/>
      <c r="C18" s="192">
        <v>19.2</v>
      </c>
      <c r="D18" s="192">
        <v>20.239999999999998</v>
      </c>
      <c r="E18" s="147">
        <f t="shared" si="3"/>
        <v>39.44</v>
      </c>
      <c r="F18" s="814">
        <f>'0664'!F18:G18</f>
        <v>1.01</v>
      </c>
      <c r="G18" s="814"/>
      <c r="H18" s="99">
        <f t="shared" si="4"/>
        <v>39.834400000000002</v>
      </c>
      <c r="I18" s="120">
        <f t="shared" si="0"/>
        <v>181578</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3.69</v>
      </c>
      <c r="D27" s="192">
        <v>3.68</v>
      </c>
      <c r="E27" s="147">
        <f t="shared" si="3"/>
        <v>7.37</v>
      </c>
      <c r="F27" s="814">
        <f>'0664'!F27:G27</f>
        <v>1.1990000000000001</v>
      </c>
      <c r="G27" s="814"/>
      <c r="H27" s="99">
        <f t="shared" si="4"/>
        <v>8.8366000000000007</v>
      </c>
      <c r="I27" s="120">
        <f t="shared" si="0"/>
        <v>40280.06</v>
      </c>
      <c r="N27" s="840" t="s">
        <v>118</v>
      </c>
      <c r="O27" s="840"/>
      <c r="P27" s="841">
        <f t="shared" si="1"/>
        <v>0</v>
      </c>
      <c r="Q27" s="841"/>
      <c r="R27" s="842">
        <v>1</v>
      </c>
      <c r="S27" s="842"/>
      <c r="T27" s="114">
        <f t="shared" si="5"/>
        <v>0</v>
      </c>
      <c r="U27" s="115">
        <f t="shared" si="2"/>
        <v>0</v>
      </c>
    </row>
    <row r="28" spans="1:21" x14ac:dyDescent="0.25">
      <c r="A28" s="790" t="s">
        <v>119</v>
      </c>
      <c r="B28" s="790"/>
      <c r="C28" s="137">
        <v>2.86</v>
      </c>
      <c r="D28" s="137">
        <v>2.95</v>
      </c>
      <c r="E28" s="204">
        <f t="shared" si="3"/>
        <v>5.8100000000000005</v>
      </c>
      <c r="F28" s="815">
        <f>'0664'!F28:G28</f>
        <v>1.01</v>
      </c>
      <c r="G28" s="815"/>
      <c r="H28" s="112">
        <f t="shared" si="4"/>
        <v>5.8681000000000001</v>
      </c>
      <c r="I28" s="113">
        <f t="shared" si="0"/>
        <v>26748.69</v>
      </c>
      <c r="N28" s="845" t="s">
        <v>119</v>
      </c>
      <c r="O28" s="845"/>
      <c r="P28" s="841">
        <f t="shared" si="1"/>
        <v>0</v>
      </c>
      <c r="Q28" s="841"/>
      <c r="R28" s="846">
        <v>1</v>
      </c>
      <c r="S28" s="846"/>
      <c r="T28" s="114">
        <f t="shared" si="5"/>
        <v>0</v>
      </c>
      <c r="U28" s="115">
        <f t="shared" si="2"/>
        <v>0</v>
      </c>
    </row>
    <row r="29" spans="1:21" x14ac:dyDescent="0.25">
      <c r="A29" s="828" t="s">
        <v>5</v>
      </c>
      <c r="B29" s="828"/>
      <c r="C29" s="113">
        <f>SUM(C13:C28)</f>
        <v>102.51</v>
      </c>
      <c r="D29" s="113">
        <f>SUM(D13:D28)</f>
        <v>101.69</v>
      </c>
      <c r="E29" s="113">
        <f>SUM(E13:E28)</f>
        <v>204.2</v>
      </c>
      <c r="F29" s="820"/>
      <c r="G29" s="820"/>
      <c r="H29" s="118">
        <f>SUM(H13:H28)</f>
        <v>207.63490000000002</v>
      </c>
      <c r="I29" s="113">
        <f>SUM(I13:I28)</f>
        <v>946466.60999999987</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207.63490000000002</v>
      </c>
      <c r="F45" s="36"/>
      <c r="G45" s="128"/>
      <c r="H45" s="129" t="s">
        <v>131</v>
      </c>
      <c r="I45" s="113">
        <f>SUM(I43,I29)</f>
        <v>946466.60999999987</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18.21</v>
      </c>
      <c r="D56" s="192">
        <v>18.829999999999998</v>
      </c>
      <c r="E56" s="147">
        <f t="shared" si="10"/>
        <v>37.04</v>
      </c>
      <c r="F56" s="143" t="s">
        <v>15</v>
      </c>
      <c r="G56" s="52">
        <v>251</v>
      </c>
      <c r="H56" s="485">
        <f>'0664'!H56</f>
        <v>835</v>
      </c>
      <c r="I56" s="120">
        <f t="shared" si="11"/>
        <v>30928.400000000001</v>
      </c>
      <c r="N56" s="863"/>
      <c r="O56" s="863"/>
      <c r="P56" s="865"/>
      <c r="Q56" s="865"/>
      <c r="R56" s="45" t="s">
        <v>15</v>
      </c>
      <c r="S56" s="43">
        <v>251</v>
      </c>
      <c r="T56" s="138">
        <f t="shared" si="12"/>
        <v>835</v>
      </c>
      <c r="U56" s="139">
        <f t="shared" si="13"/>
        <v>0</v>
      </c>
    </row>
    <row r="57" spans="1:21" x14ac:dyDescent="0.25">
      <c r="A57" s="792"/>
      <c r="B57" s="792"/>
      <c r="C57" s="192">
        <v>0.99</v>
      </c>
      <c r="D57" s="192">
        <v>1.41</v>
      </c>
      <c r="E57" s="147">
        <f t="shared" si="10"/>
        <v>2.4</v>
      </c>
      <c r="F57" s="143" t="s">
        <v>15</v>
      </c>
      <c r="G57" s="52">
        <v>252</v>
      </c>
      <c r="H57" s="485">
        <f>'0664'!H57</f>
        <v>3168</v>
      </c>
      <c r="I57" s="120">
        <f t="shared" si="11"/>
        <v>7603.2</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19.2</v>
      </c>
      <c r="D59" s="116">
        <f>SUM(D50:D58)</f>
        <v>20.239999999999998</v>
      </c>
      <c r="E59" s="116">
        <f>SUM(E50:E58)</f>
        <v>39.44</v>
      </c>
      <c r="F59" s="767" t="s">
        <v>78</v>
      </c>
      <c r="G59" s="767"/>
      <c r="H59" s="767"/>
      <c r="I59" s="116">
        <f>SUM(I50:I58)</f>
        <v>38531.599999999999</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204.2</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1.07E-3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207.63490000000002</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9.68E-4</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1.07E-3</v>
      </c>
      <c r="I68" s="120">
        <f>ROUND(F68*H68,2)</f>
        <v>44971.65</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1.07E-3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1.07E-3</v>
      </c>
      <c r="I71" s="120">
        <f>IF(D71="Y",ROUND(F71*H71,2),0)</f>
        <v>156.87</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1.07E-3</v>
      </c>
      <c r="I72" s="120">
        <f>ROUND(F72*H72,2)</f>
        <v>12131.56</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1.07E-3</v>
      </c>
      <c r="I73" s="120">
        <f>ROUND(F73*H73,2)</f>
        <v>14854.15</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1.07E-3</v>
      </c>
      <c r="I77" s="120">
        <f t="shared" ref="I77:I82" si="14">ROUND(F77*H77,2)</f>
        <v>7984.92</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1.07E-3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9.68E-4</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9.68E-4</v>
      </c>
      <c r="I80" s="120">
        <f t="shared" si="14"/>
        <v>8288.7800000000007</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9.68E-4</v>
      </c>
      <c r="I81" s="120">
        <f t="shared" si="14"/>
        <v>163266</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9.68E-4</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37430.78</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1.07E-3</v>
      </c>
      <c r="I84" s="120">
        <f>ROUND(F84*H84,2)</f>
        <v>23127.35</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0</v>
      </c>
      <c r="D90" s="781"/>
      <c r="E90" s="54">
        <f>H8</f>
        <v>1.0424</v>
      </c>
      <c r="F90" s="545">
        <f>'0664'!F90</f>
        <v>923.19</v>
      </c>
      <c r="G90" s="186" t="s">
        <v>13</v>
      </c>
      <c r="H90" s="120">
        <f>ROUND(C90*E90*F90,2)</f>
        <v>0</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207.63490000000002</v>
      </c>
      <c r="D91" s="781"/>
      <c r="E91" s="54">
        <f>H8</f>
        <v>1.0424</v>
      </c>
      <c r="F91" s="545">
        <f>'0664'!F91</f>
        <v>925.42</v>
      </c>
      <c r="G91" s="186" t="s">
        <v>13</v>
      </c>
      <c r="H91" s="113">
        <f>ROUND(C91*E91*F91,2)</f>
        <v>200296.63</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207.63490000000002</v>
      </c>
      <c r="D92" s="782"/>
      <c r="E92" s="168"/>
      <c r="F92" s="168"/>
      <c r="G92" s="168"/>
      <c r="H92" s="169" t="s">
        <v>145</v>
      </c>
      <c r="I92" s="120">
        <f>IF(A1=75,0,H91+H90+H89)</f>
        <v>200296.63</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108</v>
      </c>
      <c r="D98" s="192">
        <v>107</v>
      </c>
      <c r="E98" s="147">
        <f>(C98+D98)/2</f>
        <v>107.5</v>
      </c>
      <c r="F98" s="173" t="s">
        <v>39</v>
      </c>
      <c r="G98" s="546">
        <f>'0664'!G98</f>
        <v>486</v>
      </c>
      <c r="I98" s="120">
        <f>ROUND(G98*E98,2)</f>
        <v>52245</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1549751.9</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1549751.9</v>
      </c>
      <c r="I118" s="113">
        <f>ROUND(IF(E29=0,0,IF(E29&gt;250,-(((250/E29)*H118)*IF(G118="H",0.02,0.05)),IF(G118="H",-0.02*H118,-0.05*H118))),2)</f>
        <v>-77487.600000000006</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1472264.2999999998</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-1480727.23</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-8462.9300000001676</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-8462.93</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-0.01</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v>637300</v>
      </c>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FF00"/>
  </sheetPr>
  <dimension ref="A1:U202"/>
  <sheetViews>
    <sheetView showGridLines="0" zoomScale="90" zoomScaleNormal="90" workbookViewId="0">
      <pane ySplit="1" topLeftCell="A89"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178</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70.8</v>
      </c>
      <c r="D13" s="190">
        <v>69.31</v>
      </c>
      <c r="E13" s="245">
        <f>IF(D$29=0,C13*2,C13+D13)</f>
        <v>140.11000000000001</v>
      </c>
      <c r="F13" s="819">
        <f>'0664'!F13:G13</f>
        <v>1.1259999999999999</v>
      </c>
      <c r="G13" s="819"/>
      <c r="H13" s="194">
        <f>ROUND(E13*F13,4)</f>
        <v>157.76390000000001</v>
      </c>
      <c r="I13" s="140">
        <f t="shared" ref="I13:I28" si="0">ROUND(ROUND(H13*$C$8,4)*($H$8),2)</f>
        <v>719138.56</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14.01</v>
      </c>
      <c r="D14" s="192">
        <v>14.5</v>
      </c>
      <c r="E14" s="147">
        <f t="shared" ref="E14:E28" si="3">IF(D$29=0,C14*2,C14+D14)</f>
        <v>28.509999999999998</v>
      </c>
      <c r="F14" s="814">
        <f>'0664'!F14:G14</f>
        <v>1.1259999999999999</v>
      </c>
      <c r="G14" s="814"/>
      <c r="H14" s="99">
        <f t="shared" ref="H14:H28" si="4">ROUND(E14*F14,4)</f>
        <v>32.1023</v>
      </c>
      <c r="I14" s="120">
        <f t="shared" si="0"/>
        <v>146332.6</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24.76</v>
      </c>
      <c r="D15" s="192">
        <v>26.78</v>
      </c>
      <c r="E15" s="147">
        <f t="shared" si="3"/>
        <v>51.540000000000006</v>
      </c>
      <c r="F15" s="814">
        <f>'0664'!F15:G15</f>
        <v>1</v>
      </c>
      <c r="G15" s="814"/>
      <c r="H15" s="99">
        <f t="shared" si="4"/>
        <v>51.54</v>
      </c>
      <c r="I15" s="120">
        <f t="shared" si="0"/>
        <v>234935.88</v>
      </c>
      <c r="N15" s="840" t="s">
        <v>31</v>
      </c>
      <c r="O15" s="840"/>
      <c r="P15" s="841">
        <f t="shared" si="1"/>
        <v>0</v>
      </c>
      <c r="Q15" s="841"/>
      <c r="R15" s="842">
        <v>1</v>
      </c>
      <c r="S15" s="842"/>
      <c r="T15" s="114">
        <f t="shared" si="5"/>
        <v>0</v>
      </c>
      <c r="U15" s="115">
        <f t="shared" si="2"/>
        <v>0</v>
      </c>
    </row>
    <row r="16" spans="1:21" x14ac:dyDescent="0.25">
      <c r="A16" s="764" t="s">
        <v>32</v>
      </c>
      <c r="B16" s="764"/>
      <c r="C16" s="192">
        <v>11.58</v>
      </c>
      <c r="D16" s="192">
        <v>10</v>
      </c>
      <c r="E16" s="147">
        <f t="shared" si="3"/>
        <v>21.58</v>
      </c>
      <c r="F16" s="814">
        <f>'0664'!F16:G16</f>
        <v>1</v>
      </c>
      <c r="G16" s="814"/>
      <c r="H16" s="99">
        <f t="shared" si="4"/>
        <v>21.58</v>
      </c>
      <c r="I16" s="120">
        <f t="shared" si="0"/>
        <v>98368.58</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6.18</v>
      </c>
      <c r="D25" s="192">
        <v>6.2</v>
      </c>
      <c r="E25" s="147">
        <f t="shared" si="3"/>
        <v>12.379999999999999</v>
      </c>
      <c r="F25" s="814">
        <f>'0664'!F25:G25</f>
        <v>1.1990000000000001</v>
      </c>
      <c r="G25" s="814"/>
      <c r="H25" s="99">
        <f t="shared" si="4"/>
        <v>14.8436</v>
      </c>
      <c r="I25" s="120">
        <f t="shared" si="0"/>
        <v>67661.899999999994</v>
      </c>
      <c r="N25" s="840" t="s">
        <v>116</v>
      </c>
      <c r="O25" s="840"/>
      <c r="P25" s="841">
        <f t="shared" si="1"/>
        <v>0</v>
      </c>
      <c r="Q25" s="841"/>
      <c r="R25" s="842">
        <v>1</v>
      </c>
      <c r="S25" s="842"/>
      <c r="T25" s="114">
        <f t="shared" si="5"/>
        <v>0</v>
      </c>
      <c r="U25" s="115">
        <f t="shared" si="2"/>
        <v>0</v>
      </c>
    </row>
    <row r="26" spans="1:21" x14ac:dyDescent="0.25">
      <c r="A26" s="764" t="s">
        <v>117</v>
      </c>
      <c r="B26" s="764"/>
      <c r="C26" s="192">
        <v>1.24</v>
      </c>
      <c r="D26" s="192">
        <v>1.24</v>
      </c>
      <c r="E26" s="147">
        <f t="shared" si="3"/>
        <v>2.48</v>
      </c>
      <c r="F26" s="814">
        <f>'0664'!F26:G26</f>
        <v>1.1990000000000001</v>
      </c>
      <c r="G26" s="814"/>
      <c r="H26" s="99">
        <f t="shared" si="4"/>
        <v>2.9735</v>
      </c>
      <c r="I26" s="120">
        <f t="shared" si="0"/>
        <v>13554.17</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128.57000000000002</v>
      </c>
      <c r="D29" s="113">
        <f>SUM(D13:D28)</f>
        <v>128.03</v>
      </c>
      <c r="E29" s="113">
        <f>SUM(E13:E28)</f>
        <v>256.60000000000002</v>
      </c>
      <c r="F29" s="820"/>
      <c r="G29" s="820"/>
      <c r="H29" s="118">
        <f>SUM(H13:H28)</f>
        <v>280.80329999999998</v>
      </c>
      <c r="I29" s="113">
        <f>SUM(I13:I28)</f>
        <v>1279991.69</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280.80329999999998</v>
      </c>
      <c r="F45" s="36"/>
      <c r="G45" s="128"/>
      <c r="H45" s="129" t="s">
        <v>131</v>
      </c>
      <c r="I45" s="113">
        <f>SUM(I43,I29)</f>
        <v>1279991.69</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13.01</v>
      </c>
      <c r="D50" s="192">
        <v>13</v>
      </c>
      <c r="E50" s="147">
        <f>IF(D$59=0,C50*2,C50+D50)</f>
        <v>26.009999999999998</v>
      </c>
      <c r="F50" s="40" t="s">
        <v>21</v>
      </c>
      <c r="G50" s="52">
        <v>251</v>
      </c>
      <c r="H50" s="485">
        <f>'0664'!H50</f>
        <v>1047</v>
      </c>
      <c r="I50" s="120">
        <f>ROUND(E50*H50,2)</f>
        <v>27232.47</v>
      </c>
      <c r="N50" s="863" t="s">
        <v>28</v>
      </c>
      <c r="O50" s="863"/>
      <c r="P50" s="864"/>
      <c r="Q50" s="864"/>
      <c r="R50" s="42" t="s">
        <v>21</v>
      </c>
      <c r="S50" s="43">
        <v>251</v>
      </c>
      <c r="T50" s="138">
        <f>H50</f>
        <v>1047</v>
      </c>
      <c r="U50" s="139">
        <f>ROUND(P50*T50,0)</f>
        <v>0</v>
      </c>
    </row>
    <row r="51" spans="1:21" x14ac:dyDescent="0.25">
      <c r="A51" s="792"/>
      <c r="B51" s="792"/>
      <c r="C51" s="192">
        <v>1</v>
      </c>
      <c r="D51" s="192">
        <v>1.5</v>
      </c>
      <c r="E51" s="147">
        <f t="shared" ref="E51:E58" si="10">IF(D$59=0,C51*2,C51+D51)</f>
        <v>2.5</v>
      </c>
      <c r="F51" s="52" t="s">
        <v>21</v>
      </c>
      <c r="G51" s="52">
        <v>252</v>
      </c>
      <c r="H51" s="485">
        <f>'0664'!H51</f>
        <v>3380</v>
      </c>
      <c r="I51" s="120">
        <f t="shared" ref="I51:I58" si="11">ROUND(E51*H51,2)</f>
        <v>8450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9.06</v>
      </c>
      <c r="D53" s="192">
        <v>8.59</v>
      </c>
      <c r="E53" s="147">
        <f t="shared" si="10"/>
        <v>17.649999999999999</v>
      </c>
      <c r="F53" s="143" t="s">
        <v>14</v>
      </c>
      <c r="G53" s="52">
        <v>251</v>
      </c>
      <c r="H53" s="485">
        <f>'0664'!H53</f>
        <v>1173</v>
      </c>
      <c r="I53" s="120">
        <f t="shared" si="11"/>
        <v>20703.45</v>
      </c>
      <c r="N53" s="863"/>
      <c r="O53" s="863"/>
      <c r="P53" s="865"/>
      <c r="Q53" s="865"/>
      <c r="R53" s="45" t="s">
        <v>14</v>
      </c>
      <c r="S53" s="43">
        <v>251</v>
      </c>
      <c r="T53" s="138">
        <f t="shared" si="12"/>
        <v>1173</v>
      </c>
      <c r="U53" s="139">
        <f t="shared" si="13"/>
        <v>0</v>
      </c>
    </row>
    <row r="54" spans="1:21" x14ac:dyDescent="0.25">
      <c r="A54" s="792"/>
      <c r="B54" s="792"/>
      <c r="C54" s="192">
        <v>2.52</v>
      </c>
      <c r="D54" s="192">
        <v>1.01</v>
      </c>
      <c r="E54" s="147">
        <f t="shared" si="10"/>
        <v>3.5300000000000002</v>
      </c>
      <c r="F54" s="143" t="s">
        <v>14</v>
      </c>
      <c r="G54" s="52">
        <v>252</v>
      </c>
      <c r="H54" s="485">
        <f>'0664'!H54</f>
        <v>3506</v>
      </c>
      <c r="I54" s="120">
        <f t="shared" si="11"/>
        <v>12376.18</v>
      </c>
      <c r="N54" s="863"/>
      <c r="O54" s="863"/>
      <c r="P54" s="865"/>
      <c r="Q54" s="865"/>
      <c r="R54" s="45" t="s">
        <v>14</v>
      </c>
      <c r="S54" s="43">
        <v>252</v>
      </c>
      <c r="T54" s="138">
        <f t="shared" si="12"/>
        <v>3506</v>
      </c>
      <c r="U54" s="139">
        <f t="shared" si="13"/>
        <v>0</v>
      </c>
    </row>
    <row r="55" spans="1:21" x14ac:dyDescent="0.25">
      <c r="A55" s="792"/>
      <c r="B55" s="792"/>
      <c r="C55" s="192">
        <v>0</v>
      </c>
      <c r="D55" s="192">
        <v>0.4</v>
      </c>
      <c r="E55" s="147">
        <f t="shared" si="10"/>
        <v>0.4</v>
      </c>
      <c r="F55" s="143" t="s">
        <v>14</v>
      </c>
      <c r="G55" s="52">
        <v>253</v>
      </c>
      <c r="H55" s="485">
        <f>'0664'!H55</f>
        <v>7023</v>
      </c>
      <c r="I55" s="120">
        <f t="shared" si="11"/>
        <v>2809.2</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25.59</v>
      </c>
      <c r="D59" s="116">
        <f>SUM(D50:D58)</f>
        <v>24.5</v>
      </c>
      <c r="E59" s="116">
        <f>SUM(E50:E58)</f>
        <v>50.089999999999996</v>
      </c>
      <c r="F59" s="767" t="s">
        <v>78</v>
      </c>
      <c r="G59" s="767"/>
      <c r="H59" s="767"/>
      <c r="I59" s="116">
        <f>SUM(I50:I58)</f>
        <v>71571.3</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256.60000000000002</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1.3450000000000001E-3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280.80329999999998</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1.3090000000000001E-3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1.3450000000000001E-3</v>
      </c>
      <c r="I68" s="120">
        <f>ROUND(F68*H68,2)</f>
        <v>56529.78</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1.3450000000000001E-3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1.3450000000000001E-3</v>
      </c>
      <c r="I71" s="120">
        <f>IF(D71="Y",ROUND(F71*H71,2),0)</f>
        <v>197.19</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1.3450000000000001E-3</v>
      </c>
      <c r="I72" s="120">
        <f>ROUND(F72*H72,2)</f>
        <v>15249.49</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1.3450000000000001E-3</v>
      </c>
      <c r="I73" s="120">
        <f>ROUND(F73*H73,2)</f>
        <v>18671.810000000001</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1.3450000000000001E-3</v>
      </c>
      <c r="I77" s="120">
        <f t="shared" ref="I77:I82" si="14">ROUND(F77*H77,2)</f>
        <v>10037.120000000001</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1.3450000000000001E-3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1.3090000000000001E-3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1.3090000000000001E-3</v>
      </c>
      <c r="I80" s="120">
        <f t="shared" si="14"/>
        <v>11208.69</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1.3090000000000001E-3</v>
      </c>
      <c r="I81" s="120">
        <f t="shared" si="14"/>
        <v>220780.17</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1.3090000000000001E-3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49959.59</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1.3450000000000001E-3</v>
      </c>
      <c r="I84" s="120">
        <f>ROUND(F84*H84,2)</f>
        <v>29071.29</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204.7098</v>
      </c>
      <c r="D89" s="781"/>
      <c r="E89" s="54">
        <f>H8</f>
        <v>1.0424</v>
      </c>
      <c r="F89" s="545">
        <f>'0664'!F89</f>
        <v>966.9</v>
      </c>
      <c r="G89" s="186" t="s">
        <v>13</v>
      </c>
      <c r="H89" s="120">
        <f>ROUND(C89*E89*F89,2)</f>
        <v>206326.3</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76.093500000000006</v>
      </c>
      <c r="D90" s="781"/>
      <c r="E90" s="54">
        <f>H8</f>
        <v>1.0424</v>
      </c>
      <c r="F90" s="545">
        <f>'0664'!F90</f>
        <v>923.19</v>
      </c>
      <c r="G90" s="186" t="s">
        <v>13</v>
      </c>
      <c r="H90" s="120">
        <f>ROUND(C90*E90*F90,2)</f>
        <v>73227.31</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280.80330000000004</v>
      </c>
      <c r="D92" s="782"/>
      <c r="E92" s="168"/>
      <c r="F92" s="168"/>
      <c r="G92" s="168"/>
      <c r="H92" s="169" t="s">
        <v>145</v>
      </c>
      <c r="I92" s="120">
        <f>IF(A1=75,0,H91+H90+H89)</f>
        <v>279553.61</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0</v>
      </c>
      <c r="D98" s="192">
        <v>0</v>
      </c>
      <c r="E98" s="147">
        <f>(C98+D98)/2</f>
        <v>0</v>
      </c>
      <c r="F98" s="173" t="s">
        <v>39</v>
      </c>
      <c r="G98" s="546">
        <f>'0664'!G98</f>
        <v>486</v>
      </c>
      <c r="I98" s="120">
        <f>ROUND(G98*E98,2)</f>
        <v>0</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2042821.73</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7"/>
      <c r="H118" s="188">
        <f>IF(H116=1,I116,I114)</f>
        <v>2042821.73</v>
      </c>
      <c r="I118" s="113">
        <f>ROUND(IF(E29=0,0,IF(E29&gt;250,-(((250/E29)*H118)*IF(G118="H",0.02,0.05)),IF(G118="H",-0.02*H118,-0.05*H118))),2)</f>
        <v>-99513.919999999998</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1943307.81</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-1943837.33</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-529.52000000001863</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-529.52</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2627.17</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A13:B13"/>
    <mergeCell ref="F13:G13"/>
    <mergeCell ref="A12:B12"/>
    <mergeCell ref="F12:G12"/>
    <mergeCell ref="N13:O13"/>
    <mergeCell ref="P13:Q13"/>
    <mergeCell ref="F15:G15"/>
    <mergeCell ref="N15:O15"/>
    <mergeCell ref="A16:B16"/>
    <mergeCell ref="F16:G16"/>
    <mergeCell ref="N16:O16"/>
    <mergeCell ref="P16:Q16"/>
    <mergeCell ref="A19:B19"/>
    <mergeCell ref="F19:G19"/>
    <mergeCell ref="N19:O19"/>
    <mergeCell ref="P19:Q19"/>
    <mergeCell ref="A22:B22"/>
    <mergeCell ref="F22:G22"/>
    <mergeCell ref="N22:O22"/>
    <mergeCell ref="P22:Q22"/>
    <mergeCell ref="A25:B25"/>
    <mergeCell ref="F25:G25"/>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4:B14"/>
    <mergeCell ref="F14:G14"/>
    <mergeCell ref="N14:O14"/>
    <mergeCell ref="P14:Q14"/>
    <mergeCell ref="R14:S14"/>
    <mergeCell ref="P15:Q15"/>
    <mergeCell ref="R15:S15"/>
    <mergeCell ref="A15:B15"/>
    <mergeCell ref="R16:S16"/>
    <mergeCell ref="A17:B17"/>
    <mergeCell ref="F17:G17"/>
    <mergeCell ref="N17:O17"/>
    <mergeCell ref="P17:Q17"/>
    <mergeCell ref="R17:S17"/>
    <mergeCell ref="A18:B18"/>
    <mergeCell ref="F18:G18"/>
    <mergeCell ref="N18:O18"/>
    <mergeCell ref="P18:Q18"/>
    <mergeCell ref="R18:S18"/>
    <mergeCell ref="R19:S19"/>
    <mergeCell ref="A20:B20"/>
    <mergeCell ref="F20:G20"/>
    <mergeCell ref="N20:O20"/>
    <mergeCell ref="P20:Q20"/>
    <mergeCell ref="R20:S20"/>
    <mergeCell ref="A21:B21"/>
    <mergeCell ref="F21:G21"/>
    <mergeCell ref="N21:O21"/>
    <mergeCell ref="P21:Q21"/>
    <mergeCell ref="R21:S21"/>
    <mergeCell ref="R22:S22"/>
    <mergeCell ref="A23:B23"/>
    <mergeCell ref="F23:G23"/>
    <mergeCell ref="N23:O23"/>
    <mergeCell ref="P23:Q23"/>
    <mergeCell ref="R23:S23"/>
    <mergeCell ref="A24:B24"/>
    <mergeCell ref="F24:G24"/>
    <mergeCell ref="N24:O24"/>
    <mergeCell ref="P24:Q24"/>
    <mergeCell ref="R24:S24"/>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FF00"/>
  </sheetPr>
  <dimension ref="A1:U202"/>
  <sheetViews>
    <sheetView showGridLines="0" zoomScale="90" zoomScaleNormal="90" workbookViewId="0">
      <pane ySplit="1" topLeftCell="A98"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179</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53.69</v>
      </c>
      <c r="D13" s="190">
        <v>52.89</v>
      </c>
      <c r="E13" s="245">
        <f>IF(D$29=0,C13*2,C13+D13)</f>
        <v>106.58</v>
      </c>
      <c r="F13" s="819">
        <f>'0664'!F13:G13</f>
        <v>1.1259999999999999</v>
      </c>
      <c r="G13" s="819"/>
      <c r="H13" s="194">
        <f>ROUND(E13*F13,4)</f>
        <v>120.0091</v>
      </c>
      <c r="I13" s="140">
        <f t="shared" ref="I13:I28" si="0">ROUND(ROUND(H13*$C$8,4)*($H$8),2)</f>
        <v>547040.05000000005</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7.49</v>
      </c>
      <c r="D14" s="192">
        <v>7.51</v>
      </c>
      <c r="E14" s="147">
        <f t="shared" ref="E14:E28" si="3">IF(D$29=0,C14*2,C14+D14)</f>
        <v>15</v>
      </c>
      <c r="F14" s="814">
        <f>'0664'!F14:G14</f>
        <v>1.1259999999999999</v>
      </c>
      <c r="G14" s="814"/>
      <c r="H14" s="99">
        <f t="shared" ref="H14:H28" si="4">ROUND(E14*F14,4)</f>
        <v>16.89</v>
      </c>
      <c r="I14" s="120">
        <f t="shared" si="0"/>
        <v>76990.05</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79.11</v>
      </c>
      <c r="D15" s="192">
        <v>80.83</v>
      </c>
      <c r="E15" s="147">
        <f t="shared" si="3"/>
        <v>159.94</v>
      </c>
      <c r="F15" s="814">
        <f>'0664'!F15:G15</f>
        <v>1</v>
      </c>
      <c r="G15" s="814"/>
      <c r="H15" s="99">
        <f t="shared" si="4"/>
        <v>159.94</v>
      </c>
      <c r="I15" s="120">
        <f t="shared" si="0"/>
        <v>729057.92</v>
      </c>
      <c r="N15" s="840" t="s">
        <v>31</v>
      </c>
      <c r="O15" s="840"/>
      <c r="P15" s="841">
        <f t="shared" si="1"/>
        <v>0</v>
      </c>
      <c r="Q15" s="841"/>
      <c r="R15" s="842">
        <v>1</v>
      </c>
      <c r="S15" s="842"/>
      <c r="T15" s="114">
        <f t="shared" si="5"/>
        <v>0</v>
      </c>
      <c r="U15" s="115">
        <f t="shared" si="2"/>
        <v>0</v>
      </c>
    </row>
    <row r="16" spans="1:21" x14ac:dyDescent="0.25">
      <c r="A16" s="764" t="s">
        <v>32</v>
      </c>
      <c r="B16" s="764"/>
      <c r="C16" s="192">
        <v>13.65</v>
      </c>
      <c r="D16" s="192">
        <v>12.5</v>
      </c>
      <c r="E16" s="147">
        <f t="shared" si="3"/>
        <v>26.15</v>
      </c>
      <c r="F16" s="814">
        <f>'0664'!F16:G16</f>
        <v>1</v>
      </c>
      <c r="G16" s="814"/>
      <c r="H16" s="99">
        <f t="shared" si="4"/>
        <v>26.15</v>
      </c>
      <c r="I16" s="120">
        <f t="shared" si="0"/>
        <v>119200.1</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4.03</v>
      </c>
      <c r="D25" s="192">
        <v>2.79</v>
      </c>
      <c r="E25" s="147">
        <f t="shared" si="3"/>
        <v>6.82</v>
      </c>
      <c r="F25" s="814">
        <f>'0664'!F25:G25</f>
        <v>1.1990000000000001</v>
      </c>
      <c r="G25" s="814"/>
      <c r="H25" s="99">
        <f t="shared" si="4"/>
        <v>8.1771999999999991</v>
      </c>
      <c r="I25" s="120">
        <f t="shared" si="0"/>
        <v>37274.31</v>
      </c>
      <c r="N25" s="840" t="s">
        <v>116</v>
      </c>
      <c r="O25" s="840"/>
      <c r="P25" s="841">
        <f t="shared" si="1"/>
        <v>0</v>
      </c>
      <c r="Q25" s="841"/>
      <c r="R25" s="842">
        <v>1</v>
      </c>
      <c r="S25" s="842"/>
      <c r="T25" s="114">
        <f t="shared" si="5"/>
        <v>0</v>
      </c>
      <c r="U25" s="115">
        <f t="shared" si="2"/>
        <v>0</v>
      </c>
    </row>
    <row r="26" spans="1:21" x14ac:dyDescent="0.25">
      <c r="A26" s="764" t="s">
        <v>117</v>
      </c>
      <c r="B26" s="764"/>
      <c r="C26" s="192">
        <v>1.82</v>
      </c>
      <c r="D26" s="192">
        <v>2.0499999999999998</v>
      </c>
      <c r="E26" s="147">
        <f t="shared" si="3"/>
        <v>3.87</v>
      </c>
      <c r="F26" s="814">
        <f>'0664'!F26:G26</f>
        <v>1.1990000000000001</v>
      </c>
      <c r="G26" s="814"/>
      <c r="H26" s="99">
        <f t="shared" si="4"/>
        <v>4.6401000000000003</v>
      </c>
      <c r="I26" s="120">
        <f t="shared" si="0"/>
        <v>21151.07</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159.79</v>
      </c>
      <c r="D29" s="113">
        <f>SUM(D13:D28)</f>
        <v>158.57</v>
      </c>
      <c r="E29" s="113">
        <f>SUM(E13:E28)</f>
        <v>318.35999999999996</v>
      </c>
      <c r="F29" s="820"/>
      <c r="G29" s="820"/>
      <c r="H29" s="118">
        <f>SUM(H13:H28)</f>
        <v>335.8064</v>
      </c>
      <c r="I29" s="113">
        <f>SUM(I13:I28)</f>
        <v>1530713.5000000002</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335.8064</v>
      </c>
      <c r="F45" s="36"/>
      <c r="G45" s="128"/>
      <c r="H45" s="129" t="s">
        <v>131</v>
      </c>
      <c r="I45" s="113">
        <f>SUM(I43,I29)</f>
        <v>1530713.5000000002</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6.49</v>
      </c>
      <c r="D50" s="192">
        <v>6.01</v>
      </c>
      <c r="E50" s="147">
        <f>IF(D$59=0,C50*2,C50+D50)</f>
        <v>12.5</v>
      </c>
      <c r="F50" s="40" t="s">
        <v>21</v>
      </c>
      <c r="G50" s="52">
        <v>251</v>
      </c>
      <c r="H50" s="485">
        <f>'0664'!H50</f>
        <v>1047</v>
      </c>
      <c r="I50" s="120">
        <f>ROUND(E50*H50,2)</f>
        <v>13087.5</v>
      </c>
      <c r="N50" s="863" t="s">
        <v>28</v>
      </c>
      <c r="O50" s="863"/>
      <c r="P50" s="864"/>
      <c r="Q50" s="864"/>
      <c r="R50" s="42" t="s">
        <v>21</v>
      </c>
      <c r="S50" s="43">
        <v>251</v>
      </c>
      <c r="T50" s="138">
        <f>H50</f>
        <v>1047</v>
      </c>
      <c r="U50" s="139">
        <f>ROUND(P50*T50,0)</f>
        <v>0</v>
      </c>
    </row>
    <row r="51" spans="1:21" x14ac:dyDescent="0.25">
      <c r="A51" s="792"/>
      <c r="B51" s="792"/>
      <c r="C51" s="192">
        <v>1</v>
      </c>
      <c r="D51" s="192">
        <v>1.5</v>
      </c>
      <c r="E51" s="147">
        <f t="shared" ref="E51:E58" si="10">IF(D$59=0,C51*2,C51+D51)</f>
        <v>2.5</v>
      </c>
      <c r="F51" s="52" t="s">
        <v>21</v>
      </c>
      <c r="G51" s="52">
        <v>252</v>
      </c>
      <c r="H51" s="485">
        <f>'0664'!H51</f>
        <v>3380</v>
      </c>
      <c r="I51" s="120">
        <f t="shared" ref="I51:I58" si="11">ROUND(E51*H51,2)</f>
        <v>8450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11.63</v>
      </c>
      <c r="D53" s="192">
        <v>10.99</v>
      </c>
      <c r="E53" s="147">
        <f t="shared" si="10"/>
        <v>22.62</v>
      </c>
      <c r="F53" s="143" t="s">
        <v>14</v>
      </c>
      <c r="G53" s="52">
        <v>251</v>
      </c>
      <c r="H53" s="485">
        <f>'0664'!H53</f>
        <v>1173</v>
      </c>
      <c r="I53" s="120">
        <f t="shared" si="11"/>
        <v>26533.26</v>
      </c>
      <c r="N53" s="863"/>
      <c r="O53" s="863"/>
      <c r="P53" s="865"/>
      <c r="Q53" s="865"/>
      <c r="R53" s="45" t="s">
        <v>14</v>
      </c>
      <c r="S53" s="43">
        <v>251</v>
      </c>
      <c r="T53" s="138">
        <f t="shared" si="12"/>
        <v>1173</v>
      </c>
      <c r="U53" s="139">
        <f t="shared" si="13"/>
        <v>0</v>
      </c>
    </row>
    <row r="54" spans="1:21" x14ac:dyDescent="0.25">
      <c r="A54" s="792"/>
      <c r="B54" s="792"/>
      <c r="C54" s="192">
        <v>2.02</v>
      </c>
      <c r="D54" s="192">
        <v>1.51</v>
      </c>
      <c r="E54" s="147">
        <f t="shared" si="10"/>
        <v>3.5300000000000002</v>
      </c>
      <c r="F54" s="143" t="s">
        <v>14</v>
      </c>
      <c r="G54" s="52">
        <v>252</v>
      </c>
      <c r="H54" s="485">
        <f>'0664'!H54</f>
        <v>3506</v>
      </c>
      <c r="I54" s="120">
        <f t="shared" si="11"/>
        <v>12376.18</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21.14</v>
      </c>
      <c r="D59" s="116">
        <f>SUM(D50:D58)</f>
        <v>20.010000000000002</v>
      </c>
      <c r="E59" s="116">
        <f>SUM(E50:E58)</f>
        <v>41.150000000000006</v>
      </c>
      <c r="F59" s="767" t="s">
        <v>78</v>
      </c>
      <c r="G59" s="767"/>
      <c r="H59" s="767"/>
      <c r="I59" s="116">
        <f>SUM(I50:I58)</f>
        <v>60446.939999999995</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318.35999999999996</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1.6689999999999999E-3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335.8064</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1.5659999999999999E-3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1.6689999999999999E-3</v>
      </c>
      <c r="I68" s="120">
        <f>ROUND(F68*H68,2)</f>
        <v>70147.360000000001</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1.6689999999999999E-3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1.6689999999999999E-3</v>
      </c>
      <c r="I71" s="120">
        <f>IF(D71="Y",ROUND(F71*H71,2),0)</f>
        <v>244.69</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1.6689999999999999E-3</v>
      </c>
      <c r="I72" s="120">
        <f>ROUND(F72*H72,2)</f>
        <v>18922.97</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1.6689999999999999E-3</v>
      </c>
      <c r="I73" s="120">
        <f>ROUND(F73*H73,2)</f>
        <v>23169.7</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1.6689999999999999E-3</v>
      </c>
      <c r="I77" s="120">
        <f t="shared" ref="I77:I82" si="14">ROUND(F77*H77,2)</f>
        <v>12454.98</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1.6689999999999999E-3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1.5659999999999999E-3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1.5659999999999999E-3</v>
      </c>
      <c r="I80" s="120">
        <f t="shared" si="14"/>
        <v>13409.33</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1.5659999999999999E-3</v>
      </c>
      <c r="I81" s="120">
        <f t="shared" si="14"/>
        <v>264126.62</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1.5659999999999999E-3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61982.57</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1.6689999999999999E-3</v>
      </c>
      <c r="I84" s="120">
        <f>ROUND(F84*H84,2)</f>
        <v>36074.339999999997</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145.0763</v>
      </c>
      <c r="D89" s="781"/>
      <c r="E89" s="54">
        <f>H8</f>
        <v>1.0424</v>
      </c>
      <c r="F89" s="545">
        <f>'0664'!F89</f>
        <v>966.9</v>
      </c>
      <c r="G89" s="186" t="s">
        <v>13</v>
      </c>
      <c r="H89" s="120">
        <f>ROUND(C89*E89*F89,2)</f>
        <v>146221.9</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190.73009999999999</v>
      </c>
      <c r="D90" s="781"/>
      <c r="E90" s="54">
        <f>H8</f>
        <v>1.0424</v>
      </c>
      <c r="F90" s="545">
        <f>'0664'!F90</f>
        <v>923.19</v>
      </c>
      <c r="G90" s="186" t="s">
        <v>13</v>
      </c>
      <c r="H90" s="120">
        <f>ROUND(C90*E90*F90,2)</f>
        <v>183545.92</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335.8064</v>
      </c>
      <c r="D92" s="782"/>
      <c r="E92" s="168"/>
      <c r="F92" s="168"/>
      <c r="G92" s="168"/>
      <c r="H92" s="169" t="s">
        <v>145</v>
      </c>
      <c r="I92" s="120">
        <f>IF(A1=75,0,H91+H90+H89)</f>
        <v>329767.82</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0</v>
      </c>
      <c r="D98" s="192">
        <v>1</v>
      </c>
      <c r="E98" s="147">
        <f>(C98+D98)/2</f>
        <v>0.5</v>
      </c>
      <c r="F98" s="173" t="s">
        <v>39</v>
      </c>
      <c r="G98" s="546">
        <f>'0664'!G98</f>
        <v>486</v>
      </c>
      <c r="I98" s="120">
        <f>ROUND(G98*E98,2)</f>
        <v>243</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2421703.8199999998</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7" t="s">
        <v>306</v>
      </c>
      <c r="H118" s="188">
        <f>IF(H116=1,I116,I114)</f>
        <v>2421703.8199999998</v>
      </c>
      <c r="I118" s="113">
        <f>ROUND(IF(E29=0,0,IF(E29&gt;250,-(((250/E29)*H118)*IF(G118="H",0.02,0.05)),IF(G118="H",-0.02*H118,-0.05*H118))),2)</f>
        <v>-38034.050000000003</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2383669.77</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-2374203.64</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9466.1299999998882</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9466.1299999999992</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10400.030000000001</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A13:B13"/>
    <mergeCell ref="F13:G13"/>
    <mergeCell ref="A12:B12"/>
    <mergeCell ref="F12:G12"/>
    <mergeCell ref="N13:O13"/>
    <mergeCell ref="P13:Q13"/>
    <mergeCell ref="F15:G15"/>
    <mergeCell ref="N15:O15"/>
    <mergeCell ref="A16:B16"/>
    <mergeCell ref="F16:G16"/>
    <mergeCell ref="N16:O16"/>
    <mergeCell ref="P16:Q16"/>
    <mergeCell ref="A19:B19"/>
    <mergeCell ref="F19:G19"/>
    <mergeCell ref="N19:O19"/>
    <mergeCell ref="P19:Q19"/>
    <mergeCell ref="A22:B22"/>
    <mergeCell ref="F22:G22"/>
    <mergeCell ref="N22:O22"/>
    <mergeCell ref="P22:Q22"/>
    <mergeCell ref="A25:B25"/>
    <mergeCell ref="F25:G25"/>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4:B14"/>
    <mergeCell ref="F14:G14"/>
    <mergeCell ref="N14:O14"/>
    <mergeCell ref="P14:Q14"/>
    <mergeCell ref="R14:S14"/>
    <mergeCell ref="P15:Q15"/>
    <mergeCell ref="R15:S15"/>
    <mergeCell ref="A15:B15"/>
    <mergeCell ref="R16:S16"/>
    <mergeCell ref="A17:B17"/>
    <mergeCell ref="F17:G17"/>
    <mergeCell ref="N17:O17"/>
    <mergeCell ref="P17:Q17"/>
    <mergeCell ref="R17:S17"/>
    <mergeCell ref="A18:B18"/>
    <mergeCell ref="F18:G18"/>
    <mergeCell ref="N18:O18"/>
    <mergeCell ref="P18:Q18"/>
    <mergeCell ref="R18:S18"/>
    <mergeCell ref="R19:S19"/>
    <mergeCell ref="A20:B20"/>
    <mergeCell ref="F20:G20"/>
    <mergeCell ref="N20:O20"/>
    <mergeCell ref="P20:Q20"/>
    <mergeCell ref="R20:S20"/>
    <mergeCell ref="A21:B21"/>
    <mergeCell ref="F21:G21"/>
    <mergeCell ref="N21:O21"/>
    <mergeCell ref="P21:Q21"/>
    <mergeCell ref="R21:S21"/>
    <mergeCell ref="R22:S22"/>
    <mergeCell ref="A23:B23"/>
    <mergeCell ref="F23:G23"/>
    <mergeCell ref="N23:O23"/>
    <mergeCell ref="P23:Q23"/>
    <mergeCell ref="R23:S23"/>
    <mergeCell ref="A24:B24"/>
    <mergeCell ref="F24:G24"/>
    <mergeCell ref="N24:O24"/>
    <mergeCell ref="P24:Q24"/>
    <mergeCell ref="R24:S24"/>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FF00"/>
  </sheetPr>
  <dimension ref="A1:U202"/>
  <sheetViews>
    <sheetView showGridLines="0" zoomScale="90" zoomScaleNormal="90" workbookViewId="0">
      <pane ySplit="1" topLeftCell="A114"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406</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166.54</v>
      </c>
      <c r="D17" s="192">
        <v>185.36</v>
      </c>
      <c r="E17" s="147">
        <f t="shared" si="3"/>
        <v>351.9</v>
      </c>
      <c r="F17" s="814">
        <f>'0664'!F17:G17</f>
        <v>1.01</v>
      </c>
      <c r="G17" s="814"/>
      <c r="H17" s="99">
        <f t="shared" si="4"/>
        <v>355.41899999999998</v>
      </c>
      <c r="I17" s="120">
        <f t="shared" si="0"/>
        <v>1620114.03</v>
      </c>
      <c r="N17" s="840" t="s">
        <v>33</v>
      </c>
      <c r="O17" s="840"/>
      <c r="P17" s="841">
        <f t="shared" si="1"/>
        <v>0</v>
      </c>
      <c r="Q17" s="841"/>
      <c r="R17" s="842">
        <v>1</v>
      </c>
      <c r="S17" s="842"/>
      <c r="T17" s="114">
        <f t="shared" si="5"/>
        <v>0</v>
      </c>
      <c r="U17" s="115">
        <f t="shared" si="2"/>
        <v>0</v>
      </c>
    </row>
    <row r="18" spans="1:21" x14ac:dyDescent="0.25">
      <c r="A18" s="764" t="s">
        <v>34</v>
      </c>
      <c r="B18" s="764"/>
      <c r="C18" s="192">
        <v>29.42</v>
      </c>
      <c r="D18" s="192">
        <v>36.57</v>
      </c>
      <c r="E18" s="147">
        <f t="shared" si="3"/>
        <v>65.990000000000009</v>
      </c>
      <c r="F18" s="814">
        <f>'0664'!F18:G18</f>
        <v>1.01</v>
      </c>
      <c r="G18" s="814"/>
      <c r="H18" s="99">
        <f t="shared" si="4"/>
        <v>66.649900000000002</v>
      </c>
      <c r="I18" s="120">
        <f t="shared" si="0"/>
        <v>303811.65999999997</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24.37</v>
      </c>
      <c r="D27" s="192">
        <v>27.26</v>
      </c>
      <c r="E27" s="147">
        <f t="shared" si="3"/>
        <v>51.63</v>
      </c>
      <c r="F27" s="814">
        <f>'0664'!F27:G27</f>
        <v>1.1990000000000001</v>
      </c>
      <c r="G27" s="814"/>
      <c r="H27" s="99">
        <f t="shared" si="4"/>
        <v>61.904400000000003</v>
      </c>
      <c r="I27" s="120">
        <f t="shared" si="0"/>
        <v>282180.15000000002</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220.32999999999998</v>
      </c>
      <c r="D29" s="113">
        <f>SUM(D13:D28)</f>
        <v>249.19</v>
      </c>
      <c r="E29" s="113">
        <f>SUM(E13:E28)</f>
        <v>469.52</v>
      </c>
      <c r="F29" s="820"/>
      <c r="G29" s="820"/>
      <c r="H29" s="118">
        <f>SUM(H13:H28)</f>
        <v>483.97329999999999</v>
      </c>
      <c r="I29" s="113">
        <f>SUM(I13:I28)</f>
        <v>2206105.84</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483.97329999999999</v>
      </c>
      <c r="F45" s="36"/>
      <c r="G45" s="128"/>
      <c r="H45" s="129" t="s">
        <v>131</v>
      </c>
      <c r="I45" s="113">
        <f>SUM(I43,I29)</f>
        <v>2206105.84</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26.92</v>
      </c>
      <c r="D56" s="192">
        <v>35.67</v>
      </c>
      <c r="E56" s="147">
        <f t="shared" si="10"/>
        <v>62.59</v>
      </c>
      <c r="F56" s="143" t="s">
        <v>15</v>
      </c>
      <c r="G56" s="52">
        <v>251</v>
      </c>
      <c r="H56" s="485">
        <f>'0664'!H56</f>
        <v>835</v>
      </c>
      <c r="I56" s="120">
        <f t="shared" si="11"/>
        <v>52262.65</v>
      </c>
      <c r="N56" s="863"/>
      <c r="O56" s="863"/>
      <c r="P56" s="865"/>
      <c r="Q56" s="865"/>
      <c r="R56" s="45" t="s">
        <v>15</v>
      </c>
      <c r="S56" s="43">
        <v>251</v>
      </c>
      <c r="T56" s="138">
        <f t="shared" si="12"/>
        <v>835</v>
      </c>
      <c r="U56" s="139">
        <f t="shared" si="13"/>
        <v>0</v>
      </c>
    </row>
    <row r="57" spans="1:21" x14ac:dyDescent="0.25">
      <c r="A57" s="792"/>
      <c r="B57" s="792"/>
      <c r="C57" s="192">
        <v>2</v>
      </c>
      <c r="D57" s="192">
        <v>0.9</v>
      </c>
      <c r="E57" s="147">
        <f t="shared" si="10"/>
        <v>2.9</v>
      </c>
      <c r="F57" s="143" t="s">
        <v>15</v>
      </c>
      <c r="G57" s="52">
        <v>252</v>
      </c>
      <c r="H57" s="485">
        <f>'0664'!H57</f>
        <v>3168</v>
      </c>
      <c r="I57" s="120">
        <f t="shared" si="11"/>
        <v>9187.2000000000007</v>
      </c>
      <c r="N57" s="863"/>
      <c r="O57" s="863"/>
      <c r="P57" s="865"/>
      <c r="Q57" s="865"/>
      <c r="R57" s="45" t="s">
        <v>15</v>
      </c>
      <c r="S57" s="43">
        <v>252</v>
      </c>
      <c r="T57" s="138">
        <f t="shared" si="12"/>
        <v>3168</v>
      </c>
      <c r="U57" s="139">
        <f t="shared" si="13"/>
        <v>0</v>
      </c>
    </row>
    <row r="58" spans="1:21" ht="16.5" thickBot="1" x14ac:dyDescent="0.3">
      <c r="A58" s="792"/>
      <c r="B58" s="792"/>
      <c r="C58" s="192">
        <v>0.5</v>
      </c>
      <c r="D58" s="192">
        <v>0</v>
      </c>
      <c r="E58" s="147">
        <f t="shared" si="10"/>
        <v>0.5</v>
      </c>
      <c r="F58" s="143" t="s">
        <v>15</v>
      </c>
      <c r="G58" s="52">
        <v>253</v>
      </c>
      <c r="H58" s="485">
        <f>'0664'!H58</f>
        <v>6685</v>
      </c>
      <c r="I58" s="120">
        <f t="shared" si="11"/>
        <v>3342.5</v>
      </c>
      <c r="N58" s="863"/>
      <c r="O58" s="863"/>
      <c r="P58" s="866"/>
      <c r="Q58" s="866"/>
      <c r="R58" s="45" t="s">
        <v>15</v>
      </c>
      <c r="S58" s="43">
        <v>253</v>
      </c>
      <c r="T58" s="138">
        <f t="shared" si="12"/>
        <v>6685</v>
      </c>
      <c r="U58" s="141">
        <f t="shared" si="13"/>
        <v>0</v>
      </c>
    </row>
    <row r="59" spans="1:21" ht="16.5" thickBot="1" x14ac:dyDescent="0.3">
      <c r="A59" s="767" t="s">
        <v>16</v>
      </c>
      <c r="B59" s="767"/>
      <c r="C59" s="116">
        <f>SUM(C50:C58)</f>
        <v>29.42</v>
      </c>
      <c r="D59" s="116">
        <f>SUM(D50:D58)</f>
        <v>36.57</v>
      </c>
      <c r="E59" s="116">
        <f>SUM(E50:E58)</f>
        <v>65.990000000000009</v>
      </c>
      <c r="F59" s="767" t="s">
        <v>78</v>
      </c>
      <c r="G59" s="767"/>
      <c r="H59" s="767"/>
      <c r="I59" s="116">
        <f>SUM(I50:I58)</f>
        <v>64792.350000000006</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469.52</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2.4610000000000001E-3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483.97329999999999</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2.2569999999999999E-3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2.4610000000000001E-3</v>
      </c>
      <c r="I68" s="120">
        <f>ROUND(F68*H68,2)</f>
        <v>103434.79</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2.4610000000000001E-3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2.4610000000000001E-3</v>
      </c>
      <c r="I71" s="120">
        <f>IF(D71="Y",ROUND(F71*H71,2),0)</f>
        <v>360.8</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2.4610000000000001E-3</v>
      </c>
      <c r="I72" s="120">
        <f>ROUND(F72*H72,2)</f>
        <v>27902.6</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2.4610000000000001E-3</v>
      </c>
      <c r="I73" s="120">
        <f>ROUND(F73*H73,2)</f>
        <v>34164.550000000003</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2.4610000000000001E-3</v>
      </c>
      <c r="I77" s="120">
        <f t="shared" ref="I77:I82" si="14">ROUND(F77*H77,2)</f>
        <v>18365.32</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2.4610000000000001E-3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2.2569999999999999E-3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2.2569999999999999E-3</v>
      </c>
      <c r="I80" s="120">
        <f t="shared" si="14"/>
        <v>19326.21</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2.2569999999999999E-3</v>
      </c>
      <c r="I81" s="120">
        <f t="shared" si="14"/>
        <v>380672.91</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2.2569999999999999E-3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56223.99</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2.4610000000000001E-3</v>
      </c>
      <c r="I84" s="120">
        <f>ROUND(F84*H84,2)</f>
        <v>53192.9</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0</v>
      </c>
      <c r="D90" s="781"/>
      <c r="E90" s="54">
        <f>H8</f>
        <v>1.0424</v>
      </c>
      <c r="F90" s="545">
        <f>'0664'!F90</f>
        <v>923.19</v>
      </c>
      <c r="G90" s="186" t="s">
        <v>13</v>
      </c>
      <c r="H90" s="120">
        <f>ROUND(C90*E90*F90,2)</f>
        <v>0</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483.97329999999999</v>
      </c>
      <c r="D91" s="781"/>
      <c r="E91" s="54">
        <f>H8</f>
        <v>1.0424</v>
      </c>
      <c r="F91" s="545">
        <f>'0664'!F91</f>
        <v>925.42</v>
      </c>
      <c r="G91" s="186" t="s">
        <v>13</v>
      </c>
      <c r="H91" s="113">
        <f>ROUND(C91*E91*F91,2)</f>
        <v>466868.62</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483.97329999999999</v>
      </c>
      <c r="D92" s="782"/>
      <c r="E92" s="168"/>
      <c r="F92" s="168"/>
      <c r="G92" s="168"/>
      <c r="H92" s="169" t="s">
        <v>145</v>
      </c>
      <c r="I92" s="120">
        <f>IF(A1=75,0,H91+H90+H89)</f>
        <v>466868.62</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3</v>
      </c>
      <c r="D98" s="192">
        <v>76</v>
      </c>
      <c r="E98" s="147">
        <f>(C98+D98)/2</f>
        <v>39.5</v>
      </c>
      <c r="F98" s="173" t="s">
        <v>39</v>
      </c>
      <c r="G98" s="546">
        <f>'0664'!G98</f>
        <v>486</v>
      </c>
      <c r="I98" s="120">
        <f>ROUND(G98*E98,2)</f>
        <v>19197</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3450607.88</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3450607.88</v>
      </c>
      <c r="I118" s="113">
        <f>ROUND(IF(E29=0,0,IF(E29&gt;250,-(((250/E29)*H118)*IF(G118="H",0.02,0.05)),IF(G118="H",-0.02*H118,-0.05*H118))),2)</f>
        <v>-91865.31</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3358742.57</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-3358732.2</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10.369999999646097</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10.37</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80665.08</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A13:B13"/>
    <mergeCell ref="F13:G13"/>
    <mergeCell ref="A12:B12"/>
    <mergeCell ref="F12:G12"/>
    <mergeCell ref="N13:O13"/>
    <mergeCell ref="P13:Q13"/>
    <mergeCell ref="F15:G15"/>
    <mergeCell ref="N15:O15"/>
    <mergeCell ref="A16:B16"/>
    <mergeCell ref="F16:G16"/>
    <mergeCell ref="N16:O16"/>
    <mergeCell ref="P16:Q16"/>
    <mergeCell ref="A19:B19"/>
    <mergeCell ref="F19:G19"/>
    <mergeCell ref="N19:O19"/>
    <mergeCell ref="P19:Q19"/>
    <mergeCell ref="A22:B22"/>
    <mergeCell ref="F22:G22"/>
    <mergeCell ref="N22:O22"/>
    <mergeCell ref="P22:Q22"/>
    <mergeCell ref="A25:B25"/>
    <mergeCell ref="F25:G25"/>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4:B14"/>
    <mergeCell ref="F14:G14"/>
    <mergeCell ref="N14:O14"/>
    <mergeCell ref="P14:Q14"/>
    <mergeCell ref="R14:S14"/>
    <mergeCell ref="P15:Q15"/>
    <mergeCell ref="R15:S15"/>
    <mergeCell ref="A15:B15"/>
    <mergeCell ref="R16:S16"/>
    <mergeCell ref="A17:B17"/>
    <mergeCell ref="F17:G17"/>
    <mergeCell ref="N17:O17"/>
    <mergeCell ref="P17:Q17"/>
    <mergeCell ref="R17:S17"/>
    <mergeCell ref="A18:B18"/>
    <mergeCell ref="F18:G18"/>
    <mergeCell ref="N18:O18"/>
    <mergeCell ref="P18:Q18"/>
    <mergeCell ref="R18:S18"/>
    <mergeCell ref="R19:S19"/>
    <mergeCell ref="A20:B20"/>
    <mergeCell ref="F20:G20"/>
    <mergeCell ref="N20:O20"/>
    <mergeCell ref="P20:Q20"/>
    <mergeCell ref="R20:S20"/>
    <mergeCell ref="A21:B21"/>
    <mergeCell ref="F21:G21"/>
    <mergeCell ref="N21:O21"/>
    <mergeCell ref="P21:Q21"/>
    <mergeCell ref="R21:S21"/>
    <mergeCell ref="R22:S22"/>
    <mergeCell ref="A23:B23"/>
    <mergeCell ref="F23:G23"/>
    <mergeCell ref="N23:O23"/>
    <mergeCell ref="P23:Q23"/>
    <mergeCell ref="R23:S23"/>
    <mergeCell ref="A24:B24"/>
    <mergeCell ref="F24:G24"/>
    <mergeCell ref="N24:O24"/>
    <mergeCell ref="P24:Q24"/>
    <mergeCell ref="R24:S24"/>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FFFF00"/>
  </sheetPr>
  <dimension ref="A1:U202"/>
  <sheetViews>
    <sheetView showGridLines="0" zoomScale="90" zoomScaleNormal="90" workbookViewId="0">
      <pane ySplit="1" topLeftCell="A89"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180</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147.56</v>
      </c>
      <c r="D13" s="190">
        <v>148.79</v>
      </c>
      <c r="E13" s="245">
        <f>IF(D$29=0,C13*2,C13+D13)</f>
        <v>296.35000000000002</v>
      </c>
      <c r="F13" s="819">
        <f>'0664'!F13:G13</f>
        <v>1.1259999999999999</v>
      </c>
      <c r="G13" s="819"/>
      <c r="H13" s="194">
        <f>ROUND(E13*F13,4)</f>
        <v>333.69009999999997</v>
      </c>
      <c r="I13" s="140">
        <f t="shared" ref="I13:I28" si="0">ROUND(ROUND(H13*$C$8,4)*($H$8),2)</f>
        <v>1521066.72</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8.5</v>
      </c>
      <c r="D14" s="192">
        <v>9.5</v>
      </c>
      <c r="E14" s="147">
        <f t="shared" ref="E14:E28" si="3">IF(D$29=0,C14*2,C14+D14)</f>
        <v>18</v>
      </c>
      <c r="F14" s="814">
        <f>'0664'!F14:G14</f>
        <v>1.1259999999999999</v>
      </c>
      <c r="G14" s="814"/>
      <c r="H14" s="99">
        <f t="shared" ref="H14:H28" si="4">ROUND(E14*F14,4)</f>
        <v>20.268000000000001</v>
      </c>
      <c r="I14" s="120">
        <f t="shared" si="0"/>
        <v>92388.06</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191.07</v>
      </c>
      <c r="D15" s="192">
        <v>192.57</v>
      </c>
      <c r="E15" s="147">
        <f t="shared" si="3"/>
        <v>383.64</v>
      </c>
      <c r="F15" s="814">
        <f>'0664'!F15:G15</f>
        <v>1</v>
      </c>
      <c r="G15" s="814"/>
      <c r="H15" s="99">
        <f t="shared" si="4"/>
        <v>383.64</v>
      </c>
      <c r="I15" s="120">
        <f t="shared" si="0"/>
        <v>1748754.42</v>
      </c>
      <c r="N15" s="840" t="s">
        <v>31</v>
      </c>
      <c r="O15" s="840"/>
      <c r="P15" s="841">
        <f t="shared" si="1"/>
        <v>0</v>
      </c>
      <c r="Q15" s="841"/>
      <c r="R15" s="842">
        <v>1</v>
      </c>
      <c r="S15" s="842"/>
      <c r="T15" s="114">
        <f t="shared" si="5"/>
        <v>0</v>
      </c>
      <c r="U15" s="115">
        <f t="shared" si="2"/>
        <v>0</v>
      </c>
    </row>
    <row r="16" spans="1:21" x14ac:dyDescent="0.25">
      <c r="A16" s="764" t="s">
        <v>32</v>
      </c>
      <c r="B16" s="764"/>
      <c r="C16" s="192">
        <v>29.08</v>
      </c>
      <c r="D16" s="192">
        <v>27.43</v>
      </c>
      <c r="E16" s="147">
        <f t="shared" si="3"/>
        <v>56.51</v>
      </c>
      <c r="F16" s="814">
        <f>'0664'!F16:G16</f>
        <v>1</v>
      </c>
      <c r="G16" s="814"/>
      <c r="H16" s="99">
        <f t="shared" si="4"/>
        <v>56.51</v>
      </c>
      <c r="I16" s="120">
        <f t="shared" si="0"/>
        <v>257590.74</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25.53</v>
      </c>
      <c r="D25" s="192">
        <v>23.8</v>
      </c>
      <c r="E25" s="147">
        <f t="shared" si="3"/>
        <v>49.33</v>
      </c>
      <c r="F25" s="814">
        <f>'0664'!F25:G25</f>
        <v>1.1990000000000001</v>
      </c>
      <c r="G25" s="814"/>
      <c r="H25" s="99">
        <f t="shared" si="4"/>
        <v>59.146700000000003</v>
      </c>
      <c r="I25" s="120">
        <f t="shared" si="0"/>
        <v>269609.67</v>
      </c>
      <c r="N25" s="840" t="s">
        <v>116</v>
      </c>
      <c r="O25" s="840"/>
      <c r="P25" s="841">
        <f t="shared" si="1"/>
        <v>0</v>
      </c>
      <c r="Q25" s="841"/>
      <c r="R25" s="842">
        <v>1</v>
      </c>
      <c r="S25" s="842"/>
      <c r="T25" s="114">
        <f t="shared" si="5"/>
        <v>0</v>
      </c>
      <c r="U25" s="115">
        <f t="shared" si="2"/>
        <v>0</v>
      </c>
    </row>
    <row r="26" spans="1:21" x14ac:dyDescent="0.25">
      <c r="A26" s="764" t="s">
        <v>117</v>
      </c>
      <c r="B26" s="764"/>
      <c r="C26" s="192">
        <v>13.04</v>
      </c>
      <c r="D26" s="192">
        <v>12.83</v>
      </c>
      <c r="E26" s="147">
        <f t="shared" si="3"/>
        <v>25.869999999999997</v>
      </c>
      <c r="F26" s="814">
        <f>'0664'!F26:G26</f>
        <v>1.1990000000000001</v>
      </c>
      <c r="G26" s="814"/>
      <c r="H26" s="99">
        <f t="shared" si="4"/>
        <v>31.0181</v>
      </c>
      <c r="I26" s="120">
        <f t="shared" si="0"/>
        <v>141390.47</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414.78000000000003</v>
      </c>
      <c r="D29" s="113">
        <f>SUM(D13:D28)</f>
        <v>414.92</v>
      </c>
      <c r="E29" s="113">
        <f>SUM(E13:E28)</f>
        <v>829.7</v>
      </c>
      <c r="F29" s="820"/>
      <c r="G29" s="820"/>
      <c r="H29" s="118">
        <f>SUM(H13:H28)</f>
        <v>884.27289999999994</v>
      </c>
      <c r="I29" s="113">
        <f>SUM(I13:I28)</f>
        <v>4030800.0800000005</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884.27289999999994</v>
      </c>
      <c r="F45" s="36"/>
      <c r="G45" s="128"/>
      <c r="H45" s="129" t="s">
        <v>131</v>
      </c>
      <c r="I45" s="113">
        <f>SUM(I43,I29)</f>
        <v>4030800.0800000005</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7</v>
      </c>
      <c r="D50" s="192">
        <v>8</v>
      </c>
      <c r="E50" s="147">
        <f>IF(D$59=0,C50*2,C50+D50)</f>
        <v>15</v>
      </c>
      <c r="F50" s="40" t="s">
        <v>21</v>
      </c>
      <c r="G50" s="52">
        <v>251</v>
      </c>
      <c r="H50" s="485">
        <f>'0664'!H50</f>
        <v>1047</v>
      </c>
      <c r="I50" s="120">
        <f>ROUND(E50*H50,2)</f>
        <v>15705</v>
      </c>
      <c r="N50" s="863" t="s">
        <v>28</v>
      </c>
      <c r="O50" s="863"/>
      <c r="P50" s="864"/>
      <c r="Q50" s="864"/>
      <c r="R50" s="42" t="s">
        <v>21</v>
      </c>
      <c r="S50" s="43">
        <v>251</v>
      </c>
      <c r="T50" s="138">
        <f>H50</f>
        <v>1047</v>
      </c>
      <c r="U50" s="139">
        <f>ROUND(P50*T50,0)</f>
        <v>0</v>
      </c>
    </row>
    <row r="51" spans="1:21" x14ac:dyDescent="0.25">
      <c r="A51" s="792"/>
      <c r="B51" s="792"/>
      <c r="C51" s="192">
        <v>1</v>
      </c>
      <c r="D51" s="192">
        <v>1</v>
      </c>
      <c r="E51" s="147">
        <f t="shared" ref="E51:E58" si="10">IF(D$59=0,C51*2,C51+D51)</f>
        <v>2</v>
      </c>
      <c r="F51" s="52" t="s">
        <v>21</v>
      </c>
      <c r="G51" s="52">
        <v>252</v>
      </c>
      <c r="H51" s="485">
        <f>'0664'!H51</f>
        <v>3380</v>
      </c>
      <c r="I51" s="120">
        <f t="shared" ref="I51:I58" si="11">ROUND(E51*H51,2)</f>
        <v>6760</v>
      </c>
      <c r="N51" s="863"/>
      <c r="O51" s="863"/>
      <c r="P51" s="865"/>
      <c r="Q51" s="865"/>
      <c r="R51" s="43" t="s">
        <v>21</v>
      </c>
      <c r="S51" s="43">
        <v>252</v>
      </c>
      <c r="T51" s="138">
        <f t="shared" ref="T51:T58" si="12">H51</f>
        <v>3380</v>
      </c>
      <c r="U51" s="139">
        <f t="shared" ref="U51:U58" si="13">ROUND(P51*T51,0)</f>
        <v>0</v>
      </c>
    </row>
    <row r="52" spans="1:21" x14ac:dyDescent="0.25">
      <c r="A52" s="792"/>
      <c r="B52" s="792"/>
      <c r="C52" s="192">
        <v>0.5</v>
      </c>
      <c r="D52" s="192">
        <v>0.5</v>
      </c>
      <c r="E52" s="147">
        <f t="shared" si="10"/>
        <v>1</v>
      </c>
      <c r="F52" s="52" t="s">
        <v>21</v>
      </c>
      <c r="G52" s="52">
        <v>253</v>
      </c>
      <c r="H52" s="485">
        <f>'0664'!H52</f>
        <v>6896</v>
      </c>
      <c r="I52" s="120">
        <f t="shared" si="11"/>
        <v>6896</v>
      </c>
      <c r="N52" s="863"/>
      <c r="O52" s="863"/>
      <c r="P52" s="865"/>
      <c r="Q52" s="865"/>
      <c r="R52" s="43" t="s">
        <v>21</v>
      </c>
      <c r="S52" s="43">
        <v>253</v>
      </c>
      <c r="T52" s="138">
        <f t="shared" si="12"/>
        <v>6896</v>
      </c>
      <c r="U52" s="139">
        <f t="shared" si="13"/>
        <v>0</v>
      </c>
    </row>
    <row r="53" spans="1:21" x14ac:dyDescent="0.25">
      <c r="A53" s="792"/>
      <c r="B53" s="792"/>
      <c r="C53" s="192">
        <v>27.06</v>
      </c>
      <c r="D53" s="192">
        <v>26.02</v>
      </c>
      <c r="E53" s="147">
        <f t="shared" si="10"/>
        <v>53.08</v>
      </c>
      <c r="F53" s="143" t="s">
        <v>14</v>
      </c>
      <c r="G53" s="52">
        <v>251</v>
      </c>
      <c r="H53" s="485">
        <f>'0664'!H53</f>
        <v>1173</v>
      </c>
      <c r="I53" s="120">
        <f t="shared" si="11"/>
        <v>62262.84</v>
      </c>
      <c r="N53" s="863"/>
      <c r="O53" s="863"/>
      <c r="P53" s="865"/>
      <c r="Q53" s="865"/>
      <c r="R53" s="45" t="s">
        <v>14</v>
      </c>
      <c r="S53" s="43">
        <v>251</v>
      </c>
      <c r="T53" s="138">
        <f t="shared" si="12"/>
        <v>1173</v>
      </c>
      <c r="U53" s="139">
        <f t="shared" si="13"/>
        <v>0</v>
      </c>
    </row>
    <row r="54" spans="1:21" x14ac:dyDescent="0.25">
      <c r="A54" s="792"/>
      <c r="B54" s="792"/>
      <c r="C54" s="192">
        <v>2.02</v>
      </c>
      <c r="D54" s="192">
        <v>1.41</v>
      </c>
      <c r="E54" s="147">
        <f t="shared" si="10"/>
        <v>3.4299999999999997</v>
      </c>
      <c r="F54" s="143" t="s">
        <v>14</v>
      </c>
      <c r="G54" s="52">
        <v>252</v>
      </c>
      <c r="H54" s="485">
        <f>'0664'!H54</f>
        <v>3506</v>
      </c>
      <c r="I54" s="120">
        <f t="shared" si="11"/>
        <v>12025.58</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37.580000000000005</v>
      </c>
      <c r="D59" s="116">
        <f>SUM(D50:D58)</f>
        <v>36.929999999999993</v>
      </c>
      <c r="E59" s="116">
        <f>SUM(E50:E58)</f>
        <v>74.509999999999991</v>
      </c>
      <c r="F59" s="767" t="s">
        <v>78</v>
      </c>
      <c r="G59" s="767"/>
      <c r="H59" s="767"/>
      <c r="I59" s="116">
        <f>SUM(I50:I58)</f>
        <v>103649.42</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829.7</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4.3499999999999997E-3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884.27289999999994</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4.1229999999999999E-3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4.3499999999999997E-3</v>
      </c>
      <c r="I68" s="120">
        <f>ROUND(F68*H68,2)</f>
        <v>182828.66</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4.3499999999999997E-3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4.3499999999999997E-3</v>
      </c>
      <c r="I71" s="120">
        <f>IF(D71="Y",ROUND(F71*H71,2),0)</f>
        <v>637.74</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4.3499999999999997E-3</v>
      </c>
      <c r="I72" s="120">
        <f>ROUND(F72*H72,2)</f>
        <v>49319.91</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4.3499999999999997E-3</v>
      </c>
      <c r="I73" s="120">
        <f>ROUND(F73*H73,2)</f>
        <v>60388.37</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4.3499999999999997E-3</v>
      </c>
      <c r="I77" s="120">
        <f t="shared" ref="I77:I82" si="14">ROUND(F77*H77,2)</f>
        <v>32462.06</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4.3499999999999997E-3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4.1229999999999999E-3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4.1229999999999999E-3</v>
      </c>
      <c r="I80" s="120">
        <f t="shared" si="14"/>
        <v>35304.370000000003</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4.1229999999999999E-3</v>
      </c>
      <c r="I81" s="120">
        <f t="shared" si="14"/>
        <v>695398.49</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4.1229999999999999E-3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108946.14</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4.3499999999999997E-3</v>
      </c>
      <c r="I84" s="120">
        <f>ROUND(F84*H84,2)</f>
        <v>94022.39</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413.10479999999995</v>
      </c>
      <c r="D89" s="781"/>
      <c r="E89" s="54">
        <f>H8</f>
        <v>1.0424</v>
      </c>
      <c r="F89" s="545">
        <f>'0664'!F89</f>
        <v>966.9</v>
      </c>
      <c r="G89" s="186" t="s">
        <v>13</v>
      </c>
      <c r="H89" s="120">
        <f>ROUND(C89*E89*F89,2)</f>
        <v>416366.91</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471.16809999999998</v>
      </c>
      <c r="D90" s="781"/>
      <c r="E90" s="54">
        <f>H8</f>
        <v>1.0424</v>
      </c>
      <c r="F90" s="545">
        <f>'0664'!F90</f>
        <v>923.19</v>
      </c>
      <c r="G90" s="186" t="s">
        <v>13</v>
      </c>
      <c r="H90" s="120">
        <f>ROUND(C90*E90*F90,2)</f>
        <v>453420.73</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884.27289999999994</v>
      </c>
      <c r="D92" s="782"/>
      <c r="E92" s="168"/>
      <c r="F92" s="168"/>
      <c r="G92" s="168"/>
      <c r="H92" s="169" t="s">
        <v>145</v>
      </c>
      <c r="I92" s="120">
        <f>IF(A1=75,0,H91+H90+H89)</f>
        <v>869787.6399999999</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3</v>
      </c>
      <c r="D98" s="192">
        <v>46</v>
      </c>
      <c r="E98" s="147">
        <f>(C98+D98)/2</f>
        <v>24.5</v>
      </c>
      <c r="F98" s="173" t="s">
        <v>39</v>
      </c>
      <c r="G98" s="546">
        <f>'0664'!G98</f>
        <v>486</v>
      </c>
      <c r="I98" s="120">
        <f>ROUND(G98*E98,2)</f>
        <v>11907</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6275452.2700000005</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6275452.2700000005</v>
      </c>
      <c r="I118" s="113">
        <f>ROUND(IF(E29=0,0,IF(E29&gt;250,-(((250/E29)*H118)*IF(G118="H",0.02,0.05)),IF(G118="H",-0.02*H118,-0.05*H118))),2)</f>
        <v>-94544</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6180908.2700000005</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-6177850.5800000001</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3057.6900000004098</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3057.69</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219228.61</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FF00"/>
  </sheetPr>
  <dimension ref="A1:U202"/>
  <sheetViews>
    <sheetView showGridLines="0" zoomScale="90" zoomScaleNormal="90" workbookViewId="0">
      <pane ySplit="1" topLeftCell="A95"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181</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192.56</v>
      </c>
      <c r="D13" s="190">
        <v>182.5</v>
      </c>
      <c r="E13" s="245">
        <f>IF(D$29=0,C13*2,C13+D13)</f>
        <v>375.06</v>
      </c>
      <c r="F13" s="819">
        <f>'0664'!F13:G13</f>
        <v>1.1259999999999999</v>
      </c>
      <c r="G13" s="819"/>
      <c r="H13" s="194">
        <f>ROUND(E13*F13,4)</f>
        <v>422.31760000000003</v>
      </c>
      <c r="I13" s="140">
        <f t="shared" ref="I13:I28" si="0">ROUND(ROUND(H13*$C$8,4)*($H$8),2)</f>
        <v>1925059.35</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20.5</v>
      </c>
      <c r="D14" s="192">
        <v>22</v>
      </c>
      <c r="E14" s="147">
        <f t="shared" ref="E14:E28" si="3">IF(D$29=0,C14*2,C14+D14)</f>
        <v>42.5</v>
      </c>
      <c r="F14" s="814">
        <f>'0664'!F14:G14</f>
        <v>1.1259999999999999</v>
      </c>
      <c r="G14" s="814"/>
      <c r="H14" s="99">
        <f t="shared" ref="H14:H28" si="4">ROUND(E14*F14,4)</f>
        <v>47.854999999999997</v>
      </c>
      <c r="I14" s="120">
        <f t="shared" si="0"/>
        <v>218138.47</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235.04</v>
      </c>
      <c r="D15" s="192">
        <v>241.33</v>
      </c>
      <c r="E15" s="147">
        <f t="shared" si="3"/>
        <v>476.37</v>
      </c>
      <c r="F15" s="814">
        <f>'0664'!F15:G15</f>
        <v>1</v>
      </c>
      <c r="G15" s="814"/>
      <c r="H15" s="99">
        <f t="shared" si="4"/>
        <v>476.37</v>
      </c>
      <c r="I15" s="120">
        <f t="shared" si="0"/>
        <v>2171447.56</v>
      </c>
      <c r="N15" s="840" t="s">
        <v>31</v>
      </c>
      <c r="O15" s="840"/>
      <c r="P15" s="841">
        <f t="shared" si="1"/>
        <v>0</v>
      </c>
      <c r="Q15" s="841"/>
      <c r="R15" s="842">
        <v>1</v>
      </c>
      <c r="S15" s="842"/>
      <c r="T15" s="114">
        <f t="shared" si="5"/>
        <v>0</v>
      </c>
      <c r="U15" s="115">
        <f t="shared" si="2"/>
        <v>0</v>
      </c>
    </row>
    <row r="16" spans="1:21" x14ac:dyDescent="0.25">
      <c r="A16" s="764" t="s">
        <v>32</v>
      </c>
      <c r="B16" s="764"/>
      <c r="C16" s="192">
        <v>34.97</v>
      </c>
      <c r="D16" s="192">
        <v>34.520000000000003</v>
      </c>
      <c r="E16" s="147">
        <f t="shared" si="3"/>
        <v>69.490000000000009</v>
      </c>
      <c r="F16" s="814">
        <f>'0664'!F16:G16</f>
        <v>1</v>
      </c>
      <c r="G16" s="814"/>
      <c r="H16" s="99">
        <f t="shared" si="4"/>
        <v>69.489999999999995</v>
      </c>
      <c r="I16" s="120">
        <f t="shared" si="0"/>
        <v>316757.75</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54.24</v>
      </c>
      <c r="D25" s="192">
        <v>55.06</v>
      </c>
      <c r="E25" s="147">
        <f t="shared" si="3"/>
        <v>109.30000000000001</v>
      </c>
      <c r="F25" s="814">
        <f>'0664'!F25:G25</f>
        <v>1.1990000000000001</v>
      </c>
      <c r="G25" s="814"/>
      <c r="H25" s="99">
        <f t="shared" si="4"/>
        <v>131.05070000000001</v>
      </c>
      <c r="I25" s="120">
        <f t="shared" si="0"/>
        <v>597371.21</v>
      </c>
      <c r="N25" s="840" t="s">
        <v>116</v>
      </c>
      <c r="O25" s="840"/>
      <c r="P25" s="841">
        <f t="shared" si="1"/>
        <v>0</v>
      </c>
      <c r="Q25" s="841"/>
      <c r="R25" s="842">
        <v>1</v>
      </c>
      <c r="S25" s="842"/>
      <c r="T25" s="114">
        <f t="shared" si="5"/>
        <v>0</v>
      </c>
      <c r="U25" s="115">
        <f t="shared" si="2"/>
        <v>0</v>
      </c>
    </row>
    <row r="26" spans="1:21" x14ac:dyDescent="0.25">
      <c r="A26" s="764" t="s">
        <v>117</v>
      </c>
      <c r="B26" s="764"/>
      <c r="C26" s="192">
        <v>34.090000000000003</v>
      </c>
      <c r="D26" s="192">
        <v>30.37</v>
      </c>
      <c r="E26" s="147">
        <f t="shared" si="3"/>
        <v>64.460000000000008</v>
      </c>
      <c r="F26" s="814">
        <f>'0664'!F26:G26</f>
        <v>1.1990000000000001</v>
      </c>
      <c r="G26" s="814"/>
      <c r="H26" s="99">
        <f t="shared" si="4"/>
        <v>77.287499999999994</v>
      </c>
      <c r="I26" s="120">
        <f t="shared" si="0"/>
        <v>352301.26</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571.40000000000009</v>
      </c>
      <c r="D29" s="113">
        <f>SUM(D13:D28)</f>
        <v>565.78000000000009</v>
      </c>
      <c r="E29" s="113">
        <f>SUM(E13:E28)</f>
        <v>1137.18</v>
      </c>
      <c r="F29" s="820"/>
      <c r="G29" s="820"/>
      <c r="H29" s="118">
        <f>SUM(H13:H28)</f>
        <v>1224.3707999999999</v>
      </c>
      <c r="I29" s="113">
        <f>SUM(I13:I28)</f>
        <v>5581075.6000000006</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1224.3707999999999</v>
      </c>
      <c r="F45" s="36"/>
      <c r="G45" s="128"/>
      <c r="H45" s="129" t="s">
        <v>131</v>
      </c>
      <c r="I45" s="113">
        <f>SUM(I43,I29)</f>
        <v>5581075.6000000006</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15.5</v>
      </c>
      <c r="D50" s="192">
        <v>17.079999999999998</v>
      </c>
      <c r="E50" s="147">
        <f>IF(D$59=0,C50*2,C50+D50)</f>
        <v>32.58</v>
      </c>
      <c r="F50" s="40" t="s">
        <v>21</v>
      </c>
      <c r="G50" s="52">
        <v>251</v>
      </c>
      <c r="H50" s="485">
        <f>'0664'!H50</f>
        <v>1047</v>
      </c>
      <c r="I50" s="120">
        <f>ROUND(E50*H50,2)</f>
        <v>34111.26</v>
      </c>
      <c r="N50" s="863" t="s">
        <v>28</v>
      </c>
      <c r="O50" s="863"/>
      <c r="P50" s="864"/>
      <c r="Q50" s="864"/>
      <c r="R50" s="42" t="s">
        <v>21</v>
      </c>
      <c r="S50" s="43">
        <v>251</v>
      </c>
      <c r="T50" s="138">
        <f>H50</f>
        <v>1047</v>
      </c>
      <c r="U50" s="139">
        <f>ROUND(P50*T50,0)</f>
        <v>0</v>
      </c>
    </row>
    <row r="51" spans="1:21" x14ac:dyDescent="0.25">
      <c r="A51" s="792"/>
      <c r="B51" s="792"/>
      <c r="C51" s="192">
        <v>4</v>
      </c>
      <c r="D51" s="192">
        <v>3.92</v>
      </c>
      <c r="E51" s="147">
        <f t="shared" ref="E51:E58" si="10">IF(D$59=0,C51*2,C51+D51)</f>
        <v>7.92</v>
      </c>
      <c r="F51" s="52" t="s">
        <v>21</v>
      </c>
      <c r="G51" s="52">
        <v>252</v>
      </c>
      <c r="H51" s="485">
        <f>'0664'!H51</f>
        <v>3380</v>
      </c>
      <c r="I51" s="120">
        <f t="shared" ref="I51:I58" si="11">ROUND(E51*H51,2)</f>
        <v>26769.599999999999</v>
      </c>
      <c r="N51" s="863"/>
      <c r="O51" s="863"/>
      <c r="P51" s="865"/>
      <c r="Q51" s="865"/>
      <c r="R51" s="43" t="s">
        <v>21</v>
      </c>
      <c r="S51" s="43">
        <v>252</v>
      </c>
      <c r="T51" s="138">
        <f t="shared" ref="T51:T58" si="12">H51</f>
        <v>3380</v>
      </c>
      <c r="U51" s="139">
        <f t="shared" ref="U51:U58" si="13">ROUND(P51*T51,0)</f>
        <v>0</v>
      </c>
    </row>
    <row r="52" spans="1:21" x14ac:dyDescent="0.25">
      <c r="A52" s="792"/>
      <c r="B52" s="792"/>
      <c r="C52" s="192">
        <v>1</v>
      </c>
      <c r="D52" s="192">
        <v>1</v>
      </c>
      <c r="E52" s="147">
        <f t="shared" si="10"/>
        <v>2</v>
      </c>
      <c r="F52" s="52" t="s">
        <v>21</v>
      </c>
      <c r="G52" s="52">
        <v>253</v>
      </c>
      <c r="H52" s="485">
        <f>'0664'!H52</f>
        <v>6896</v>
      </c>
      <c r="I52" s="120">
        <f t="shared" si="11"/>
        <v>13792</v>
      </c>
      <c r="N52" s="863"/>
      <c r="O52" s="863"/>
      <c r="P52" s="865"/>
      <c r="Q52" s="865"/>
      <c r="R52" s="43" t="s">
        <v>21</v>
      </c>
      <c r="S52" s="43">
        <v>253</v>
      </c>
      <c r="T52" s="138">
        <f t="shared" si="12"/>
        <v>6896</v>
      </c>
      <c r="U52" s="139">
        <f t="shared" si="13"/>
        <v>0</v>
      </c>
    </row>
    <row r="53" spans="1:21" x14ac:dyDescent="0.25">
      <c r="A53" s="792"/>
      <c r="B53" s="792"/>
      <c r="C53" s="192">
        <v>29.97</v>
      </c>
      <c r="D53" s="192">
        <v>27.6</v>
      </c>
      <c r="E53" s="147">
        <f t="shared" si="10"/>
        <v>57.57</v>
      </c>
      <c r="F53" s="143" t="s">
        <v>14</v>
      </c>
      <c r="G53" s="52">
        <v>251</v>
      </c>
      <c r="H53" s="485">
        <f>'0664'!H53</f>
        <v>1173</v>
      </c>
      <c r="I53" s="120">
        <f t="shared" si="11"/>
        <v>67529.61</v>
      </c>
      <c r="N53" s="863"/>
      <c r="O53" s="863"/>
      <c r="P53" s="865"/>
      <c r="Q53" s="865"/>
      <c r="R53" s="45" t="s">
        <v>14</v>
      </c>
      <c r="S53" s="43">
        <v>251</v>
      </c>
      <c r="T53" s="138">
        <f t="shared" si="12"/>
        <v>1173</v>
      </c>
      <c r="U53" s="139">
        <f t="shared" si="13"/>
        <v>0</v>
      </c>
    </row>
    <row r="54" spans="1:21" x14ac:dyDescent="0.25">
      <c r="A54" s="792"/>
      <c r="B54" s="792"/>
      <c r="C54" s="192">
        <v>5</v>
      </c>
      <c r="D54" s="192">
        <v>6.42</v>
      </c>
      <c r="E54" s="147">
        <f t="shared" si="10"/>
        <v>11.42</v>
      </c>
      <c r="F54" s="143" t="s">
        <v>14</v>
      </c>
      <c r="G54" s="52">
        <v>252</v>
      </c>
      <c r="H54" s="485">
        <f>'0664'!H54</f>
        <v>3506</v>
      </c>
      <c r="I54" s="120">
        <f t="shared" si="11"/>
        <v>40038.519999999997</v>
      </c>
      <c r="N54" s="863"/>
      <c r="O54" s="863"/>
      <c r="P54" s="865"/>
      <c r="Q54" s="865"/>
      <c r="R54" s="45" t="s">
        <v>14</v>
      </c>
      <c r="S54" s="43">
        <v>252</v>
      </c>
      <c r="T54" s="138">
        <f t="shared" si="12"/>
        <v>3506</v>
      </c>
      <c r="U54" s="139">
        <f t="shared" si="13"/>
        <v>0</v>
      </c>
    </row>
    <row r="55" spans="1:21" x14ac:dyDescent="0.25">
      <c r="A55" s="792"/>
      <c r="B55" s="792"/>
      <c r="C55" s="192">
        <v>0</v>
      </c>
      <c r="D55" s="192">
        <v>0.5</v>
      </c>
      <c r="E55" s="147">
        <f t="shared" si="10"/>
        <v>0.5</v>
      </c>
      <c r="F55" s="143" t="s">
        <v>14</v>
      </c>
      <c r="G55" s="52">
        <v>253</v>
      </c>
      <c r="H55" s="485">
        <f>'0664'!H55</f>
        <v>7023</v>
      </c>
      <c r="I55" s="120">
        <f t="shared" si="11"/>
        <v>3511.5</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55.47</v>
      </c>
      <c r="D59" s="116">
        <f>SUM(D50:D58)</f>
        <v>56.52</v>
      </c>
      <c r="E59" s="116">
        <f>SUM(E50:E58)</f>
        <v>111.99</v>
      </c>
      <c r="F59" s="767" t="s">
        <v>78</v>
      </c>
      <c r="G59" s="767"/>
      <c r="H59" s="767"/>
      <c r="I59" s="116">
        <f>SUM(I50:I58)</f>
        <v>185752.49</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1137.18</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5.9610000000000002E-3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1224.3707999999999</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5.7089999999999997E-3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5.9610000000000002E-3</v>
      </c>
      <c r="I68" s="120">
        <f>ROUND(F68*H68,2)</f>
        <v>250538.31</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5.9610000000000002E-3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5.9610000000000002E-3</v>
      </c>
      <c r="I71" s="120">
        <f>IF(D71="Y",ROUND(F71*H71,2),0)</f>
        <v>873.92</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5.9610000000000002E-3</v>
      </c>
      <c r="I72" s="120">
        <f>ROUND(F72*H72,2)</f>
        <v>67585.279999999999</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5.9610000000000002E-3</v>
      </c>
      <c r="I73" s="120">
        <f>ROUND(F73*H73,2)</f>
        <v>82752.899999999994</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5.9610000000000002E-3</v>
      </c>
      <c r="I77" s="120">
        <f t="shared" ref="I77:I82" si="14">ROUND(F77*H77,2)</f>
        <v>44484.21</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5.9610000000000002E-3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5.7089999999999997E-3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5.7089999999999997E-3</v>
      </c>
      <c r="I80" s="120">
        <f t="shared" si="14"/>
        <v>48884.959999999999</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5.7089999999999997E-3</v>
      </c>
      <c r="I81" s="120">
        <f t="shared" si="14"/>
        <v>962898.37</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5.7089999999999997E-3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214740.62</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5.9610000000000002E-3</v>
      </c>
      <c r="I84" s="120">
        <f>ROUND(F84*H84,2)</f>
        <v>128843.1</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601.22330000000011</v>
      </c>
      <c r="D89" s="781"/>
      <c r="E89" s="54">
        <f>H8</f>
        <v>1.0424</v>
      </c>
      <c r="F89" s="545">
        <f>'0664'!F89</f>
        <v>966.9</v>
      </c>
      <c r="G89" s="186" t="s">
        <v>13</v>
      </c>
      <c r="H89" s="120">
        <f>ROUND(C89*E89*F89,2)</f>
        <v>605970.9</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623.14750000000004</v>
      </c>
      <c r="D90" s="781"/>
      <c r="E90" s="54">
        <f>H8</f>
        <v>1.0424</v>
      </c>
      <c r="F90" s="545">
        <f>'0664'!F90</f>
        <v>923.19</v>
      </c>
      <c r="G90" s="186" t="s">
        <v>13</v>
      </c>
      <c r="H90" s="120">
        <f>ROUND(C90*E90*F90,2)</f>
        <v>599675.56000000006</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1224.3708000000001</v>
      </c>
      <c r="D92" s="782"/>
      <c r="E92" s="168"/>
      <c r="F92" s="168"/>
      <c r="G92" s="168"/>
      <c r="H92" s="169" t="s">
        <v>145</v>
      </c>
      <c r="I92" s="120">
        <f>IF(A1=75,0,H91+H90+H89)</f>
        <v>1205646.46</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0</v>
      </c>
      <c r="D98" s="192">
        <v>5</v>
      </c>
      <c r="E98" s="147">
        <f>(C98+D98)/2</f>
        <v>2.5</v>
      </c>
      <c r="F98" s="173" t="s">
        <v>39</v>
      </c>
      <c r="G98" s="546">
        <f>'0664'!G98</f>
        <v>486</v>
      </c>
      <c r="I98" s="120">
        <f>ROUND(G98*E98,2)</f>
        <v>1215</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8775291.2200000007</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8775291.2200000007</v>
      </c>
      <c r="I118" s="113">
        <f>ROUND(IF(E29=0,0,IF(E29&gt;250,-(((250/E29)*H118)*IF(G118="H",0.02,0.05)),IF(G118="H",-0.02*H118,-0.05*H118))),2)</f>
        <v>-96458.91</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8678832.3100000005</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-8676830.2100000009</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2002.0999999996275</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2002.1</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342305.65</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FF00"/>
  </sheetPr>
  <dimension ref="A1:U202"/>
  <sheetViews>
    <sheetView showGridLines="0" zoomScale="90" zoomScaleNormal="90" workbookViewId="0">
      <pane ySplit="1" topLeftCell="A95"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182</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274.07</v>
      </c>
      <c r="D15" s="192">
        <v>275.60000000000002</v>
      </c>
      <c r="E15" s="147">
        <f t="shared" si="3"/>
        <v>549.67000000000007</v>
      </c>
      <c r="F15" s="814">
        <f>'0664'!F15:G15</f>
        <v>1</v>
      </c>
      <c r="G15" s="814"/>
      <c r="H15" s="99">
        <f t="shared" si="4"/>
        <v>549.66999999999996</v>
      </c>
      <c r="I15" s="120">
        <f t="shared" si="0"/>
        <v>2505572.52</v>
      </c>
      <c r="N15" s="840" t="s">
        <v>31</v>
      </c>
      <c r="O15" s="840"/>
      <c r="P15" s="841">
        <f t="shared" si="1"/>
        <v>0</v>
      </c>
      <c r="Q15" s="841"/>
      <c r="R15" s="842">
        <v>1</v>
      </c>
      <c r="S15" s="842"/>
      <c r="T15" s="114">
        <f t="shared" si="5"/>
        <v>0</v>
      </c>
      <c r="U15" s="115">
        <f t="shared" si="2"/>
        <v>0</v>
      </c>
    </row>
    <row r="16" spans="1:21" x14ac:dyDescent="0.25">
      <c r="A16" s="764" t="s">
        <v>32</v>
      </c>
      <c r="B16" s="764"/>
      <c r="C16" s="192">
        <v>57.18</v>
      </c>
      <c r="D16" s="192">
        <v>58.43</v>
      </c>
      <c r="E16" s="147">
        <f t="shared" si="3"/>
        <v>115.61</v>
      </c>
      <c r="F16" s="814">
        <f>'0664'!F16:G16</f>
        <v>1</v>
      </c>
      <c r="G16" s="814"/>
      <c r="H16" s="99">
        <f t="shared" si="4"/>
        <v>115.61</v>
      </c>
      <c r="I16" s="120">
        <f t="shared" si="0"/>
        <v>526987.54</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9.81</v>
      </c>
      <c r="D26" s="192">
        <v>9.26</v>
      </c>
      <c r="E26" s="147">
        <f t="shared" si="3"/>
        <v>19.07</v>
      </c>
      <c r="F26" s="814">
        <f>'0664'!F26:G26</f>
        <v>1.1990000000000001</v>
      </c>
      <c r="G26" s="814"/>
      <c r="H26" s="99">
        <f t="shared" si="4"/>
        <v>22.864899999999999</v>
      </c>
      <c r="I26" s="120">
        <f t="shared" si="0"/>
        <v>104225.56</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341.06</v>
      </c>
      <c r="D29" s="113">
        <f>SUM(D13:D28)</f>
        <v>343.29</v>
      </c>
      <c r="E29" s="113">
        <f>SUM(E13:E28)</f>
        <v>684.35000000000014</v>
      </c>
      <c r="F29" s="820"/>
      <c r="G29" s="820"/>
      <c r="H29" s="118">
        <f>SUM(H13:H28)</f>
        <v>688.14490000000001</v>
      </c>
      <c r="I29" s="113">
        <f>SUM(I13:I28)</f>
        <v>3136785.62</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688.14490000000001</v>
      </c>
      <c r="F45" s="36"/>
      <c r="G45" s="128"/>
      <c r="H45" s="129" t="s">
        <v>131</v>
      </c>
      <c r="I45" s="113">
        <f>SUM(I43,I29)</f>
        <v>3136785.62</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55.69</v>
      </c>
      <c r="D53" s="192">
        <v>56.91</v>
      </c>
      <c r="E53" s="147">
        <f t="shared" si="10"/>
        <v>112.6</v>
      </c>
      <c r="F53" s="143" t="s">
        <v>14</v>
      </c>
      <c r="G53" s="52">
        <v>251</v>
      </c>
      <c r="H53" s="485">
        <f>'0664'!H53</f>
        <v>1173</v>
      </c>
      <c r="I53" s="120">
        <f t="shared" si="11"/>
        <v>132079.79999999999</v>
      </c>
      <c r="N53" s="863"/>
      <c r="O53" s="863"/>
      <c r="P53" s="865"/>
      <c r="Q53" s="865"/>
      <c r="R53" s="45" t="s">
        <v>14</v>
      </c>
      <c r="S53" s="43">
        <v>251</v>
      </c>
      <c r="T53" s="138">
        <f t="shared" si="12"/>
        <v>1173</v>
      </c>
      <c r="U53" s="139">
        <f t="shared" si="13"/>
        <v>0</v>
      </c>
    </row>
    <row r="54" spans="1:21" x14ac:dyDescent="0.25">
      <c r="A54" s="792"/>
      <c r="B54" s="792"/>
      <c r="C54" s="192">
        <v>1.49</v>
      </c>
      <c r="D54" s="192">
        <v>1.52</v>
      </c>
      <c r="E54" s="147">
        <f t="shared" si="10"/>
        <v>3.01</v>
      </c>
      <c r="F54" s="143" t="s">
        <v>14</v>
      </c>
      <c r="G54" s="52">
        <v>252</v>
      </c>
      <c r="H54" s="485">
        <f>'0664'!H54</f>
        <v>3506</v>
      </c>
      <c r="I54" s="120">
        <f t="shared" si="11"/>
        <v>10553.06</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57.18</v>
      </c>
      <c r="D59" s="116">
        <f>SUM(D50:D58)</f>
        <v>58.43</v>
      </c>
      <c r="E59" s="116">
        <f>SUM(E50:E58)</f>
        <v>115.61</v>
      </c>
      <c r="F59" s="767" t="s">
        <v>78</v>
      </c>
      <c r="G59" s="767"/>
      <c r="H59" s="767"/>
      <c r="I59" s="116">
        <f>SUM(I50:I58)</f>
        <v>142632.85999999999</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684.35000000000014</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3.588E-3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688.14490000000001</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3.209E-3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3.588E-3</v>
      </c>
      <c r="I68" s="120">
        <f>ROUND(F68*H68,2)</f>
        <v>150802.12</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3.588E-3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3.588E-3</v>
      </c>
      <c r="I71" s="120">
        <f>IF(D71="Y",ROUND(F71*H71,2),0)</f>
        <v>526.03</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3.588E-3</v>
      </c>
      <c r="I72" s="120">
        <f>ROUND(F72*H72,2)</f>
        <v>40680.42</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3.588E-3</v>
      </c>
      <c r="I73" s="120">
        <f>ROUND(F73*H73,2)</f>
        <v>49810</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3.588E-3</v>
      </c>
      <c r="I77" s="120">
        <f t="shared" ref="I77:I82" si="14">ROUND(F77*H77,2)</f>
        <v>26775.599999999999</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3.588E-3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3.209E-3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3.209E-3</v>
      </c>
      <c r="I80" s="120">
        <f t="shared" si="14"/>
        <v>27477.99</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3.209E-3</v>
      </c>
      <c r="I81" s="120">
        <f t="shared" si="14"/>
        <v>541240.30000000005</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3.209E-3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127661.53</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3.588E-3</v>
      </c>
      <c r="I84" s="120">
        <f>ROUND(F84*H84,2)</f>
        <v>77552.259999999995</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688.14490000000001</v>
      </c>
      <c r="D90" s="781"/>
      <c r="E90" s="54">
        <f>H8</f>
        <v>1.0424</v>
      </c>
      <c r="F90" s="545">
        <f>'0664'!F90</f>
        <v>923.19</v>
      </c>
      <c r="G90" s="186" t="s">
        <v>13</v>
      </c>
      <c r="H90" s="120">
        <f>ROUND(C90*E90*F90,2)</f>
        <v>662224.72</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688.14490000000001</v>
      </c>
      <c r="D92" s="782"/>
      <c r="E92" s="168"/>
      <c r="F92" s="168"/>
      <c r="G92" s="168"/>
      <c r="H92" s="169" t="s">
        <v>145</v>
      </c>
      <c r="I92" s="120">
        <f>IF(A1=75,0,H91+H90+H89)</f>
        <v>662224.72</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1</v>
      </c>
      <c r="D98" s="192">
        <v>7</v>
      </c>
      <c r="E98" s="147">
        <f>(C98+D98)/2</f>
        <v>4</v>
      </c>
      <c r="F98" s="173" t="s">
        <v>39</v>
      </c>
      <c r="G98" s="546">
        <f>'0664'!G98</f>
        <v>486</v>
      </c>
      <c r="I98" s="120">
        <f>ROUND(G98*E98,2)</f>
        <v>1944</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4986113.45</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7" t="s">
        <v>306</v>
      </c>
      <c r="H118" s="188">
        <f>IF(H116=1,I116,I114)</f>
        <v>4986113.45</v>
      </c>
      <c r="I118" s="113">
        <f>ROUND(IF(E29=0,0,IF(E29&gt;250,-(((250/E29)*H118)*IF(G118="H",0.02,0.05)),IF(G118="H",-0.02*H118,-0.05*H118))),2)</f>
        <v>-36429.56</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4949683.8900000006</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-4953446</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-3762.109999999404</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-3762.11</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63292.71</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A13:B13"/>
    <mergeCell ref="F13:G13"/>
    <mergeCell ref="A12:B12"/>
    <mergeCell ref="F12:G12"/>
    <mergeCell ref="N13:O13"/>
    <mergeCell ref="P13:Q13"/>
    <mergeCell ref="F15:G15"/>
    <mergeCell ref="N15:O15"/>
    <mergeCell ref="A16:B16"/>
    <mergeCell ref="F16:G16"/>
    <mergeCell ref="N16:O16"/>
    <mergeCell ref="P16:Q16"/>
    <mergeCell ref="A19:B19"/>
    <mergeCell ref="F19:G19"/>
    <mergeCell ref="N19:O19"/>
    <mergeCell ref="P19:Q19"/>
    <mergeCell ref="A22:B22"/>
    <mergeCell ref="F22:G22"/>
    <mergeCell ref="N22:O22"/>
    <mergeCell ref="P22:Q22"/>
    <mergeCell ref="A25:B25"/>
    <mergeCell ref="F25:G25"/>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4:B14"/>
    <mergeCell ref="F14:G14"/>
    <mergeCell ref="N14:O14"/>
    <mergeCell ref="P14:Q14"/>
    <mergeCell ref="R14:S14"/>
    <mergeCell ref="P15:Q15"/>
    <mergeCell ref="R15:S15"/>
    <mergeCell ref="A15:B15"/>
    <mergeCell ref="R16:S16"/>
    <mergeCell ref="A17:B17"/>
    <mergeCell ref="F17:G17"/>
    <mergeCell ref="N17:O17"/>
    <mergeCell ref="P17:Q17"/>
    <mergeCell ref="R17:S17"/>
    <mergeCell ref="A18:B18"/>
    <mergeCell ref="F18:G18"/>
    <mergeCell ref="N18:O18"/>
    <mergeCell ref="P18:Q18"/>
    <mergeCell ref="R18:S18"/>
    <mergeCell ref="R19:S19"/>
    <mergeCell ref="A20:B20"/>
    <mergeCell ref="F20:G20"/>
    <mergeCell ref="N20:O20"/>
    <mergeCell ref="P20:Q20"/>
    <mergeCell ref="R20:S20"/>
    <mergeCell ref="A21:B21"/>
    <mergeCell ref="F21:G21"/>
    <mergeCell ref="N21:O21"/>
    <mergeCell ref="P21:Q21"/>
    <mergeCell ref="R21:S21"/>
    <mergeCell ref="R22:S22"/>
    <mergeCell ref="A23:B23"/>
    <mergeCell ref="F23:G23"/>
    <mergeCell ref="N23:O23"/>
    <mergeCell ref="P23:Q23"/>
    <mergeCell ref="R23:S23"/>
    <mergeCell ref="A24:B24"/>
    <mergeCell ref="F24:G24"/>
    <mergeCell ref="N24:O24"/>
    <mergeCell ref="P24:Q24"/>
    <mergeCell ref="R24:S24"/>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FF00"/>
  </sheetPr>
  <dimension ref="A1:U202"/>
  <sheetViews>
    <sheetView showGridLines="0" zoomScale="90" zoomScaleNormal="90" workbookViewId="0">
      <pane ySplit="1" topLeftCell="A111"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183</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443.45</v>
      </c>
      <c r="D17" s="192">
        <v>437.78</v>
      </c>
      <c r="E17" s="147">
        <f t="shared" si="3"/>
        <v>881.23</v>
      </c>
      <c r="F17" s="814">
        <f>'0664'!F17:G17</f>
        <v>1.01</v>
      </c>
      <c r="G17" s="814"/>
      <c r="H17" s="99">
        <f t="shared" si="4"/>
        <v>890.04229999999995</v>
      </c>
      <c r="I17" s="120">
        <f t="shared" si="0"/>
        <v>4057098.85</v>
      </c>
      <c r="N17" s="840" t="s">
        <v>33</v>
      </c>
      <c r="O17" s="840"/>
      <c r="P17" s="841">
        <f t="shared" si="1"/>
        <v>0</v>
      </c>
      <c r="Q17" s="841"/>
      <c r="R17" s="842">
        <v>1</v>
      </c>
      <c r="S17" s="842"/>
      <c r="T17" s="114">
        <f t="shared" si="5"/>
        <v>0</v>
      </c>
      <c r="U17" s="115">
        <f t="shared" si="2"/>
        <v>0</v>
      </c>
    </row>
    <row r="18" spans="1:21" x14ac:dyDescent="0.25">
      <c r="A18" s="764" t="s">
        <v>34</v>
      </c>
      <c r="B18" s="764"/>
      <c r="C18" s="192">
        <v>42.53</v>
      </c>
      <c r="D18" s="192">
        <v>38.93</v>
      </c>
      <c r="E18" s="147">
        <f t="shared" si="3"/>
        <v>81.460000000000008</v>
      </c>
      <c r="F18" s="814">
        <f>'0664'!F18:G18</f>
        <v>1.01</v>
      </c>
      <c r="G18" s="814"/>
      <c r="H18" s="99">
        <f t="shared" si="4"/>
        <v>82.274600000000007</v>
      </c>
      <c r="I18" s="120">
        <f t="shared" si="0"/>
        <v>375034.07</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12.54</v>
      </c>
      <c r="D27" s="192">
        <v>11.76</v>
      </c>
      <c r="E27" s="147">
        <f t="shared" si="3"/>
        <v>24.299999999999997</v>
      </c>
      <c r="F27" s="814">
        <f>'0664'!F27:G27</f>
        <v>1.1990000000000001</v>
      </c>
      <c r="G27" s="814"/>
      <c r="H27" s="99">
        <f t="shared" si="4"/>
        <v>29.1357</v>
      </c>
      <c r="I27" s="120">
        <f t="shared" si="0"/>
        <v>132809.88</v>
      </c>
      <c r="N27" s="840" t="s">
        <v>118</v>
      </c>
      <c r="O27" s="840"/>
      <c r="P27" s="841">
        <f t="shared" si="1"/>
        <v>0</v>
      </c>
      <c r="Q27" s="841"/>
      <c r="R27" s="842">
        <v>1</v>
      </c>
      <c r="S27" s="842"/>
      <c r="T27" s="114">
        <f t="shared" si="5"/>
        <v>0</v>
      </c>
      <c r="U27" s="115">
        <f t="shared" si="2"/>
        <v>0</v>
      </c>
    </row>
    <row r="28" spans="1:21" x14ac:dyDescent="0.25">
      <c r="A28" s="790" t="s">
        <v>119</v>
      </c>
      <c r="B28" s="790"/>
      <c r="C28" s="137">
        <v>27.75</v>
      </c>
      <c r="D28" s="137">
        <v>29.63</v>
      </c>
      <c r="E28" s="204">
        <f t="shared" si="3"/>
        <v>57.379999999999995</v>
      </c>
      <c r="F28" s="815">
        <f>'0664'!F28:G28</f>
        <v>1.01</v>
      </c>
      <c r="G28" s="815"/>
      <c r="H28" s="112">
        <f t="shared" si="4"/>
        <v>57.953800000000001</v>
      </c>
      <c r="I28" s="113">
        <f t="shared" si="0"/>
        <v>264172.05</v>
      </c>
      <c r="N28" s="845" t="s">
        <v>119</v>
      </c>
      <c r="O28" s="845"/>
      <c r="P28" s="841">
        <f t="shared" si="1"/>
        <v>0</v>
      </c>
      <c r="Q28" s="841"/>
      <c r="R28" s="846">
        <v>1</v>
      </c>
      <c r="S28" s="846"/>
      <c r="T28" s="114">
        <f t="shared" si="5"/>
        <v>0</v>
      </c>
      <c r="U28" s="115">
        <f t="shared" si="2"/>
        <v>0</v>
      </c>
    </row>
    <row r="29" spans="1:21" x14ac:dyDescent="0.25">
      <c r="A29" s="828" t="s">
        <v>5</v>
      </c>
      <c r="B29" s="828"/>
      <c r="C29" s="113">
        <f>SUM(C13:C28)</f>
        <v>526.27</v>
      </c>
      <c r="D29" s="113">
        <f>SUM(D13:D28)</f>
        <v>518.1</v>
      </c>
      <c r="E29" s="113">
        <f>SUM(E13:E28)</f>
        <v>1044.3699999999999</v>
      </c>
      <c r="F29" s="820"/>
      <c r="G29" s="820"/>
      <c r="H29" s="118">
        <f>SUM(H13:H28)</f>
        <v>1059.4063999999998</v>
      </c>
      <c r="I29" s="113">
        <f>SUM(I13:I28)</f>
        <v>4829114.8499999996</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1059.4063999999998</v>
      </c>
      <c r="F45" s="36"/>
      <c r="G45" s="128"/>
      <c r="H45" s="129" t="s">
        <v>131</v>
      </c>
      <c r="I45" s="113">
        <f>SUM(I43,I29)</f>
        <v>4829114.8499999996</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42.03</v>
      </c>
      <c r="D56" s="192">
        <v>38.93</v>
      </c>
      <c r="E56" s="147">
        <f t="shared" si="10"/>
        <v>80.960000000000008</v>
      </c>
      <c r="F56" s="143" t="s">
        <v>15</v>
      </c>
      <c r="G56" s="52">
        <v>251</v>
      </c>
      <c r="H56" s="485">
        <f>'0664'!H56</f>
        <v>835</v>
      </c>
      <c r="I56" s="120">
        <f t="shared" si="11"/>
        <v>67601.600000000006</v>
      </c>
      <c r="N56" s="863"/>
      <c r="O56" s="863"/>
      <c r="P56" s="865"/>
      <c r="Q56" s="865"/>
      <c r="R56" s="45" t="s">
        <v>15</v>
      </c>
      <c r="S56" s="43">
        <v>251</v>
      </c>
      <c r="T56" s="138">
        <f t="shared" si="12"/>
        <v>835</v>
      </c>
      <c r="U56" s="139">
        <f t="shared" si="13"/>
        <v>0</v>
      </c>
    </row>
    <row r="57" spans="1:21" x14ac:dyDescent="0.25">
      <c r="A57" s="792"/>
      <c r="B57" s="792"/>
      <c r="C57" s="192">
        <v>0.5</v>
      </c>
      <c r="D57" s="192">
        <v>0</v>
      </c>
      <c r="E57" s="147">
        <f t="shared" si="10"/>
        <v>0.5</v>
      </c>
      <c r="F57" s="143" t="s">
        <v>15</v>
      </c>
      <c r="G57" s="52">
        <v>252</v>
      </c>
      <c r="H57" s="485">
        <f>'0664'!H57</f>
        <v>3168</v>
      </c>
      <c r="I57" s="120">
        <f t="shared" si="11"/>
        <v>1584</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42.53</v>
      </c>
      <c r="D59" s="116">
        <f>SUM(D50:D58)</f>
        <v>38.93</v>
      </c>
      <c r="E59" s="116">
        <f>SUM(E50:E58)</f>
        <v>81.460000000000008</v>
      </c>
      <c r="F59" s="767" t="s">
        <v>78</v>
      </c>
      <c r="G59" s="767"/>
      <c r="H59" s="767"/>
      <c r="I59" s="116">
        <f>SUM(I50:I58)</f>
        <v>69185.600000000006</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1044.3699999999999</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5.4749999999999998E-3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1059.4063999999998</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4.9399999999999999E-3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5.4749999999999998E-3</v>
      </c>
      <c r="I68" s="120">
        <f>ROUND(F68*H68,2)</f>
        <v>230111.93</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5.4749999999999998E-3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5.4749999999999998E-3</v>
      </c>
      <c r="I71" s="120">
        <f>IF(D71="Y",ROUND(F71*H71,2),0)</f>
        <v>802.67</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5.4749999999999998E-3</v>
      </c>
      <c r="I72" s="120">
        <f>ROUND(F72*H72,2)</f>
        <v>62075.06</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5.4749999999999998E-3</v>
      </c>
      <c r="I73" s="120">
        <f>ROUND(F73*H73,2)</f>
        <v>76006.06</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5.4749999999999998E-3</v>
      </c>
      <c r="I77" s="120">
        <f t="shared" ref="I77:I82" si="14">ROUND(F77*H77,2)</f>
        <v>40857.42</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5.4749999999999998E-3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4.9399999999999999E-3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4.9399999999999999E-3</v>
      </c>
      <c r="I80" s="120">
        <f t="shared" si="14"/>
        <v>42300.17</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4.9399999999999999E-3</v>
      </c>
      <c r="I81" s="120">
        <f t="shared" si="14"/>
        <v>833196.35</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4.9399999999999999E-3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176804.02</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5.4749999999999998E-3</v>
      </c>
      <c r="I84" s="120">
        <f>ROUND(F84*H84,2)</f>
        <v>118338.53</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0</v>
      </c>
      <c r="D90" s="781"/>
      <c r="E90" s="54">
        <f>H8</f>
        <v>1.0424</v>
      </c>
      <c r="F90" s="545">
        <f>'0664'!F90</f>
        <v>923.19</v>
      </c>
      <c r="G90" s="186" t="s">
        <v>13</v>
      </c>
      <c r="H90" s="120">
        <f>ROUND(C90*E90*F90,2)</f>
        <v>0</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1059.4063999999998</v>
      </c>
      <c r="D91" s="781"/>
      <c r="E91" s="54">
        <f>H8</f>
        <v>1.0424</v>
      </c>
      <c r="F91" s="545">
        <f>'0664'!F91</f>
        <v>925.42</v>
      </c>
      <c r="G91" s="186" t="s">
        <v>13</v>
      </c>
      <c r="H91" s="113">
        <f>ROUND(C91*E91*F91,2)</f>
        <v>1021964.66</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1059.4063999999998</v>
      </c>
      <c r="D92" s="782"/>
      <c r="E92" s="168"/>
      <c r="F92" s="168"/>
      <c r="G92" s="168"/>
      <c r="H92" s="169" t="s">
        <v>145</v>
      </c>
      <c r="I92" s="120">
        <f>IF(A1=75,0,H91+H90+H89)</f>
        <v>1021964.66</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2</v>
      </c>
      <c r="D98" s="192">
        <v>3</v>
      </c>
      <c r="E98" s="147">
        <f>(C98+D98)/2</f>
        <v>2.5</v>
      </c>
      <c r="F98" s="173" t="s">
        <v>39</v>
      </c>
      <c r="G98" s="546">
        <f>'0664'!G98</f>
        <v>486</v>
      </c>
      <c r="I98" s="120">
        <f>ROUND(G98*E98,2)</f>
        <v>1215</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7501972.3200000003</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7501972.3200000003</v>
      </c>
      <c r="I118" s="113">
        <f>ROUND(IF(E29=0,0,IF(E29&gt;250,-(((250/E29)*H118)*IF(G118="H",0.02,0.05)),IF(G118="H",-0.02*H118,-0.05*H118))),2)</f>
        <v>-89790.64</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7412181.6800000006</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-7421525.4400000004</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-9343.7599999997765</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-9343.76</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285307.98</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A13:B13"/>
    <mergeCell ref="F13:G13"/>
    <mergeCell ref="A12:B12"/>
    <mergeCell ref="F12:G12"/>
    <mergeCell ref="N13:O13"/>
    <mergeCell ref="P13:Q13"/>
    <mergeCell ref="F15:G15"/>
    <mergeCell ref="N15:O15"/>
    <mergeCell ref="A16:B16"/>
    <mergeCell ref="F16:G16"/>
    <mergeCell ref="N16:O16"/>
    <mergeCell ref="P16:Q16"/>
    <mergeCell ref="A19:B19"/>
    <mergeCell ref="F19:G19"/>
    <mergeCell ref="N19:O19"/>
    <mergeCell ref="P19:Q19"/>
    <mergeCell ref="A22:B22"/>
    <mergeCell ref="F22:G22"/>
    <mergeCell ref="N22:O22"/>
    <mergeCell ref="P22:Q22"/>
    <mergeCell ref="A25:B25"/>
    <mergeCell ref="F25:G25"/>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4:B14"/>
    <mergeCell ref="F14:G14"/>
    <mergeCell ref="N14:O14"/>
    <mergeCell ref="P14:Q14"/>
    <mergeCell ref="R14:S14"/>
    <mergeCell ref="P15:Q15"/>
    <mergeCell ref="R15:S15"/>
    <mergeCell ref="A15:B15"/>
    <mergeCell ref="R16:S16"/>
    <mergeCell ref="A17:B17"/>
    <mergeCell ref="F17:G17"/>
    <mergeCell ref="N17:O17"/>
    <mergeCell ref="P17:Q17"/>
    <mergeCell ref="R17:S17"/>
    <mergeCell ref="A18:B18"/>
    <mergeCell ref="F18:G18"/>
    <mergeCell ref="N18:O18"/>
    <mergeCell ref="P18:Q18"/>
    <mergeCell ref="R18:S18"/>
    <mergeCell ref="R19:S19"/>
    <mergeCell ref="A20:B20"/>
    <mergeCell ref="F20:G20"/>
    <mergeCell ref="N20:O20"/>
    <mergeCell ref="P20:Q20"/>
    <mergeCell ref="R20:S20"/>
    <mergeCell ref="A21:B21"/>
    <mergeCell ref="F21:G21"/>
    <mergeCell ref="N21:O21"/>
    <mergeCell ref="P21:Q21"/>
    <mergeCell ref="R21:S21"/>
    <mergeCell ref="R22:S22"/>
    <mergeCell ref="A23:B23"/>
    <mergeCell ref="F23:G23"/>
    <mergeCell ref="N23:O23"/>
    <mergeCell ref="P23:Q23"/>
    <mergeCell ref="R23:S23"/>
    <mergeCell ref="A24:B24"/>
    <mergeCell ref="F24:G24"/>
    <mergeCell ref="N24:O24"/>
    <mergeCell ref="P24:Q24"/>
    <mergeCell ref="R24:S24"/>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FF00"/>
  </sheetPr>
  <dimension ref="A1:U202"/>
  <sheetViews>
    <sheetView showGridLines="0" zoomScale="90" zoomScaleNormal="90" workbookViewId="0">
      <pane ySplit="1" topLeftCell="A101" activePane="bottomLeft" state="frozen"/>
      <selection activeCell="A46" sqref="A46:IV46"/>
      <selection pane="bottomLeft" activeCell="J128" sqref="J128"/>
    </sheetView>
  </sheetViews>
  <sheetFormatPr defaultRowHeight="15.75" x14ac:dyDescent="0.25"/>
  <cols>
    <col min="1" max="1" width="10.28515625" style="86"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411</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249.17</v>
      </c>
      <c r="D13" s="190">
        <v>250.02</v>
      </c>
      <c r="E13" s="245">
        <f>IF(D$29=0,C13*2,C13+D13)</f>
        <v>499.19</v>
      </c>
      <c r="F13" s="819">
        <f>'0664'!F13:G13</f>
        <v>1.1259999999999999</v>
      </c>
      <c r="G13" s="819"/>
      <c r="H13" s="194">
        <f>ROUND(E13*F13,4)</f>
        <v>562.08789999999999</v>
      </c>
      <c r="I13" s="140">
        <f t="shared" ref="I13:I28" si="0">ROUND(ROUND(H13*$C$8,4)*($H$8),2)</f>
        <v>2562177.29</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22.97</v>
      </c>
      <c r="D14" s="192">
        <v>22.54</v>
      </c>
      <c r="E14" s="147">
        <f t="shared" ref="E14:E28" si="3">IF(D$29=0,C14*2,C14+D14)</f>
        <v>45.51</v>
      </c>
      <c r="F14" s="814">
        <f>'0664'!F14:G14</f>
        <v>1.1259999999999999</v>
      </c>
      <c r="G14" s="814"/>
      <c r="H14" s="99">
        <f t="shared" ref="H14:H28" si="4">ROUND(E14*F14,4)</f>
        <v>51.244300000000003</v>
      </c>
      <c r="I14" s="120">
        <f t="shared" si="0"/>
        <v>233587.99</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305.14</v>
      </c>
      <c r="D15" s="192">
        <v>302.67</v>
      </c>
      <c r="E15" s="147">
        <f t="shared" si="3"/>
        <v>607.80999999999995</v>
      </c>
      <c r="F15" s="814">
        <f>'0664'!F15:G15</f>
        <v>1</v>
      </c>
      <c r="G15" s="814"/>
      <c r="H15" s="99">
        <f t="shared" si="4"/>
        <v>607.80999999999995</v>
      </c>
      <c r="I15" s="120">
        <f t="shared" si="0"/>
        <v>2770593.32</v>
      </c>
      <c r="N15" s="840" t="s">
        <v>31</v>
      </c>
      <c r="O15" s="840"/>
      <c r="P15" s="841">
        <f t="shared" si="1"/>
        <v>0</v>
      </c>
      <c r="Q15" s="841"/>
      <c r="R15" s="842">
        <v>1</v>
      </c>
      <c r="S15" s="842"/>
      <c r="T15" s="114">
        <f t="shared" si="5"/>
        <v>0</v>
      </c>
      <c r="U15" s="115">
        <f t="shared" si="2"/>
        <v>0</v>
      </c>
    </row>
    <row r="16" spans="1:21" x14ac:dyDescent="0.25">
      <c r="A16" s="764" t="s">
        <v>32</v>
      </c>
      <c r="B16" s="764"/>
      <c r="C16" s="192">
        <v>43.65</v>
      </c>
      <c r="D16" s="192">
        <v>42.02</v>
      </c>
      <c r="E16" s="147">
        <f t="shared" si="3"/>
        <v>85.67</v>
      </c>
      <c r="F16" s="814">
        <f>'0664'!F16:G16</f>
        <v>1</v>
      </c>
      <c r="G16" s="814"/>
      <c r="H16" s="99">
        <f t="shared" si="4"/>
        <v>85.67</v>
      </c>
      <c r="I16" s="120">
        <f t="shared" si="0"/>
        <v>390511.39</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18.22</v>
      </c>
      <c r="D25" s="192">
        <v>19.07</v>
      </c>
      <c r="E25" s="147">
        <f t="shared" si="3"/>
        <v>37.29</v>
      </c>
      <c r="F25" s="814">
        <f>'0664'!F25:G25</f>
        <v>1.1990000000000001</v>
      </c>
      <c r="G25" s="814"/>
      <c r="H25" s="99">
        <f t="shared" si="4"/>
        <v>44.710700000000003</v>
      </c>
      <c r="I25" s="120">
        <f t="shared" si="0"/>
        <v>203805.74</v>
      </c>
      <c r="N25" s="840" t="s">
        <v>116</v>
      </c>
      <c r="O25" s="840"/>
      <c r="P25" s="841">
        <f t="shared" si="1"/>
        <v>0</v>
      </c>
      <c r="Q25" s="841"/>
      <c r="R25" s="842">
        <v>1</v>
      </c>
      <c r="S25" s="842"/>
      <c r="T25" s="114">
        <f t="shared" si="5"/>
        <v>0</v>
      </c>
      <c r="U25" s="115">
        <f t="shared" si="2"/>
        <v>0</v>
      </c>
    </row>
    <row r="26" spans="1:21" x14ac:dyDescent="0.25">
      <c r="A26" s="764" t="s">
        <v>117</v>
      </c>
      <c r="B26" s="764"/>
      <c r="C26" s="192">
        <v>18.48</v>
      </c>
      <c r="D26" s="192">
        <v>16.41</v>
      </c>
      <c r="E26" s="147">
        <f t="shared" si="3"/>
        <v>34.89</v>
      </c>
      <c r="F26" s="814">
        <f>'0664'!F26:G26</f>
        <v>1.1990000000000001</v>
      </c>
      <c r="G26" s="814"/>
      <c r="H26" s="99">
        <f t="shared" si="4"/>
        <v>41.833100000000002</v>
      </c>
      <c r="I26" s="120">
        <f t="shared" si="0"/>
        <v>190688.71</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657.63</v>
      </c>
      <c r="D29" s="113">
        <f>SUM(D13:D28)</f>
        <v>652.73</v>
      </c>
      <c r="E29" s="113">
        <f>SUM(E13:E28)</f>
        <v>1310.3600000000001</v>
      </c>
      <c r="F29" s="820"/>
      <c r="G29" s="820"/>
      <c r="H29" s="118">
        <f>SUM(H13:H28)</f>
        <v>1393.356</v>
      </c>
      <c r="I29" s="113">
        <f>SUM(I13:I28)</f>
        <v>6351364.4399999995</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1393.356</v>
      </c>
      <c r="F45" s="36"/>
      <c r="G45" s="128"/>
      <c r="H45" s="129" t="s">
        <v>131</v>
      </c>
      <c r="I45" s="113">
        <f>SUM(I43,I29)</f>
        <v>6351364.4399999995</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22.47</v>
      </c>
      <c r="D50" s="192">
        <v>22.14</v>
      </c>
      <c r="E50" s="147">
        <f>IF(D$59=0,C50*2,C50+D50)</f>
        <v>44.61</v>
      </c>
      <c r="F50" s="40" t="s">
        <v>21</v>
      </c>
      <c r="G50" s="52">
        <v>251</v>
      </c>
      <c r="H50" s="485">
        <f>'0664'!H50</f>
        <v>1047</v>
      </c>
      <c r="I50" s="120">
        <f>ROUND(E50*H50,2)</f>
        <v>46706.67</v>
      </c>
      <c r="N50" s="863" t="s">
        <v>28</v>
      </c>
      <c r="O50" s="863"/>
      <c r="P50" s="864"/>
      <c r="Q50" s="864"/>
      <c r="R50" s="42" t="s">
        <v>21</v>
      </c>
      <c r="S50" s="43">
        <v>251</v>
      </c>
      <c r="T50" s="138">
        <f>H50</f>
        <v>1047</v>
      </c>
      <c r="U50" s="139">
        <f>ROUND(P50*T50,0)</f>
        <v>0</v>
      </c>
    </row>
    <row r="51" spans="1:21" x14ac:dyDescent="0.25">
      <c r="A51" s="792"/>
      <c r="B51" s="792"/>
      <c r="C51" s="192">
        <v>0.5</v>
      </c>
      <c r="D51" s="192">
        <v>0.4</v>
      </c>
      <c r="E51" s="147">
        <f t="shared" ref="E51:E58" si="10">IF(D$59=0,C51*2,C51+D51)</f>
        <v>0.9</v>
      </c>
      <c r="F51" s="52" t="s">
        <v>21</v>
      </c>
      <c r="G51" s="52">
        <v>252</v>
      </c>
      <c r="H51" s="485">
        <f>'0664'!H51</f>
        <v>3380</v>
      </c>
      <c r="I51" s="120">
        <f t="shared" ref="I51:I58" si="11">ROUND(E51*H51,2)</f>
        <v>3042</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39.630000000000003</v>
      </c>
      <c r="D53" s="192">
        <v>39.520000000000003</v>
      </c>
      <c r="E53" s="147">
        <f t="shared" si="10"/>
        <v>79.150000000000006</v>
      </c>
      <c r="F53" s="143" t="s">
        <v>14</v>
      </c>
      <c r="G53" s="52">
        <v>251</v>
      </c>
      <c r="H53" s="485">
        <f>'0664'!H53</f>
        <v>1173</v>
      </c>
      <c r="I53" s="120">
        <f t="shared" si="11"/>
        <v>92842.95</v>
      </c>
      <c r="N53" s="863"/>
      <c r="O53" s="863"/>
      <c r="P53" s="865"/>
      <c r="Q53" s="865"/>
      <c r="R53" s="45" t="s">
        <v>14</v>
      </c>
      <c r="S53" s="43">
        <v>251</v>
      </c>
      <c r="T53" s="138">
        <f t="shared" si="12"/>
        <v>1173</v>
      </c>
      <c r="U53" s="139">
        <f t="shared" si="13"/>
        <v>0</v>
      </c>
    </row>
    <row r="54" spans="1:21" x14ac:dyDescent="0.25">
      <c r="A54" s="792"/>
      <c r="B54" s="792"/>
      <c r="C54" s="192">
        <v>3.52</v>
      </c>
      <c r="D54" s="192">
        <v>2</v>
      </c>
      <c r="E54" s="147">
        <f t="shared" si="10"/>
        <v>5.52</v>
      </c>
      <c r="F54" s="143" t="s">
        <v>14</v>
      </c>
      <c r="G54" s="52">
        <v>252</v>
      </c>
      <c r="H54" s="485">
        <f>'0664'!H54</f>
        <v>3506</v>
      </c>
      <c r="I54" s="120">
        <f t="shared" si="11"/>
        <v>19353.12</v>
      </c>
      <c r="N54" s="863"/>
      <c r="O54" s="863"/>
      <c r="P54" s="865"/>
      <c r="Q54" s="865"/>
      <c r="R54" s="45" t="s">
        <v>14</v>
      </c>
      <c r="S54" s="43">
        <v>252</v>
      </c>
      <c r="T54" s="138">
        <f t="shared" si="12"/>
        <v>3506</v>
      </c>
      <c r="U54" s="139">
        <f t="shared" si="13"/>
        <v>0</v>
      </c>
    </row>
    <row r="55" spans="1:21" x14ac:dyDescent="0.25">
      <c r="A55" s="792"/>
      <c r="B55" s="792"/>
      <c r="C55" s="192">
        <v>0.5</v>
      </c>
      <c r="D55" s="192">
        <v>0.5</v>
      </c>
      <c r="E55" s="147">
        <f t="shared" si="10"/>
        <v>1</v>
      </c>
      <c r="F55" s="143" t="s">
        <v>14</v>
      </c>
      <c r="G55" s="52">
        <v>253</v>
      </c>
      <c r="H55" s="485">
        <f>'0664'!H55</f>
        <v>7023</v>
      </c>
      <c r="I55" s="120">
        <f t="shared" si="11"/>
        <v>7023</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66.62</v>
      </c>
      <c r="D59" s="116">
        <f>SUM(D50:D58)</f>
        <v>64.56</v>
      </c>
      <c r="E59" s="116">
        <f>SUM(E50:E58)</f>
        <v>131.18</v>
      </c>
      <c r="F59" s="767" t="s">
        <v>78</v>
      </c>
      <c r="G59" s="767"/>
      <c r="H59" s="767"/>
      <c r="I59" s="116">
        <f>SUM(I50:I58)</f>
        <v>168967.74</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1310.3600000000001</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6.8690000000000001E-3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1393.356</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6.4970000000000002E-3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6.8690000000000001E-3</v>
      </c>
      <c r="I68" s="120">
        <f>ROUND(F68*H68,2)</f>
        <v>288701.15999999997</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6.8690000000000001E-3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6.8690000000000001E-3</v>
      </c>
      <c r="I71" s="120">
        <f>IF(D71="Y",ROUND(F71*H71,2),0)</f>
        <v>1007.04</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6.8690000000000001E-3</v>
      </c>
      <c r="I72" s="120">
        <f>ROUND(F72*H72,2)</f>
        <v>77880.100000000006</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6.8690000000000001E-3</v>
      </c>
      <c r="I73" s="120">
        <f>ROUND(F73*H73,2)</f>
        <v>95358.1</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6.8690000000000001E-3</v>
      </c>
      <c r="I77" s="120">
        <f t="shared" ref="I77:I82" si="14">ROUND(F77*H77,2)</f>
        <v>51260.2</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6.8690000000000001E-3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6.4970000000000002E-3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6.4970000000000002E-3</v>
      </c>
      <c r="I80" s="120">
        <f t="shared" si="14"/>
        <v>55632.43</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6.4970000000000002E-3</v>
      </c>
      <c r="I81" s="120">
        <f t="shared" si="14"/>
        <v>1095804.99</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6.4970000000000002E-3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256062.33</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6.8690000000000001E-3</v>
      </c>
      <c r="I84" s="120">
        <f>ROUND(F84*H84,2)</f>
        <v>148468.92000000001</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658.04289999999992</v>
      </c>
      <c r="D89" s="781"/>
      <c r="E89" s="54">
        <f>H8</f>
        <v>1.0424</v>
      </c>
      <c r="F89" s="545">
        <f>'0664'!F89</f>
        <v>966.9</v>
      </c>
      <c r="G89" s="186" t="s">
        <v>13</v>
      </c>
      <c r="H89" s="120">
        <f>ROUND(C89*E89*F89,2)</f>
        <v>663239.18000000005</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735.31309999999985</v>
      </c>
      <c r="D90" s="781"/>
      <c r="E90" s="54">
        <f>H8</f>
        <v>1.0424</v>
      </c>
      <c r="F90" s="545">
        <f>'0664'!F90</f>
        <v>923.19</v>
      </c>
      <c r="G90" s="186" t="s">
        <v>13</v>
      </c>
      <c r="H90" s="120">
        <f>ROUND(C90*E90*F90,2)</f>
        <v>707616.25</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1393.3559999999998</v>
      </c>
      <c r="D92" s="782"/>
      <c r="E92" s="168"/>
      <c r="F92" s="168"/>
      <c r="G92" s="168"/>
      <c r="H92" s="169" t="s">
        <v>145</v>
      </c>
      <c r="I92" s="120">
        <f>IF(A1=75,0,H91+H90+H89)</f>
        <v>1370855.4300000002</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147</v>
      </c>
      <c r="D98" s="192">
        <v>134</v>
      </c>
      <c r="E98" s="147">
        <f>(C98+D98)/2</f>
        <v>140.5</v>
      </c>
      <c r="F98" s="173" t="s">
        <v>39</v>
      </c>
      <c r="G98" s="546">
        <f>'0664'!G98</f>
        <v>486</v>
      </c>
      <c r="I98" s="120">
        <f>ROUND(G98*E98,2)</f>
        <v>68283</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10029645.879999999</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10029645.879999999</v>
      </c>
      <c r="I118" s="113">
        <f>ROUND(IF(E29=0,0,IF(E29&gt;250,-(((250/E29)*H118)*IF(G118="H",0.02,0.05)),IF(G118="H",-0.02*H118,-0.05*H118))),2)</f>
        <v>-95676.44</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9933969.4399999995</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-9932327.1500000004</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1642.2899999991059</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1642.29</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405805.85</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FF00"/>
  </sheetPr>
  <dimension ref="A1:U202"/>
  <sheetViews>
    <sheetView showGridLines="0" zoomScale="90" zoomScaleNormal="90" workbookViewId="0">
      <pane ySplit="1" topLeftCell="A95" activePane="bottomLeft" state="frozen"/>
      <selection activeCell="A46" sqref="A46:IV46"/>
      <selection pane="bottomLeft" activeCell="I122" sqref="I122"/>
    </sheetView>
  </sheetViews>
  <sheetFormatPr defaultRowHeight="15.75" x14ac:dyDescent="0.25"/>
  <cols>
    <col min="1" max="1" width="10.28515625" style="62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1" width="11.5703125" style="3" bestFit="1" customWidth="1"/>
    <col min="12" max="12" width="10.28515625" style="3" bestFit="1" customWidth="1"/>
    <col min="13" max="13" width="9.140625" style="3"/>
    <col min="14" max="14" width="10.28515625" style="62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395</v>
      </c>
      <c r="B2" s="2"/>
      <c r="C2" s="2"/>
      <c r="D2" s="2"/>
      <c r="E2" s="2"/>
      <c r="F2" s="2"/>
      <c r="G2" s="2"/>
      <c r="H2" s="2"/>
      <c r="I2" s="2"/>
      <c r="N2" s="824" t="s">
        <v>23</v>
      </c>
      <c r="O2" s="824"/>
      <c r="P2" s="824"/>
      <c r="Q2" s="824"/>
      <c r="R2" s="824"/>
      <c r="S2" s="824"/>
      <c r="T2" s="824"/>
      <c r="U2" s="824"/>
    </row>
    <row r="3" spans="1:21" x14ac:dyDescent="0.25">
      <c r="A3" s="625"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651"/>
      <c r="O5" s="651"/>
      <c r="P5" s="656"/>
      <c r="Q5" s="656"/>
      <c r="R5" s="5"/>
      <c r="S5" s="5"/>
      <c r="T5" s="5"/>
      <c r="U5" s="5"/>
    </row>
    <row r="6" spans="1:21" ht="12" customHeight="1" x14ac:dyDescent="0.25">
      <c r="A6" s="657"/>
      <c r="B6" s="657"/>
      <c r="C6" s="655"/>
      <c r="D6" s="655"/>
      <c r="E6" s="655"/>
      <c r="F6" s="4"/>
      <c r="G6" s="4"/>
      <c r="H6" s="4"/>
      <c r="I6" s="4"/>
      <c r="N6" s="651"/>
      <c r="O6" s="651"/>
      <c r="P6" s="656"/>
      <c r="Q6" s="656"/>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716" t="s">
        <v>391</v>
      </c>
      <c r="D9" s="600" t="s">
        <v>391</v>
      </c>
      <c r="E9" s="8"/>
      <c r="F9" s="9"/>
      <c r="G9" s="9"/>
      <c r="H9" s="10"/>
      <c r="I9" s="547" t="s">
        <v>428</v>
      </c>
      <c r="J9" s="393"/>
      <c r="K9" s="399"/>
      <c r="L9" s="399"/>
      <c r="N9" s="652"/>
      <c r="O9" s="652"/>
      <c r="P9" s="653"/>
      <c r="Q9" s="653"/>
      <c r="R9" s="14"/>
      <c r="S9" s="14"/>
      <c r="T9" s="15"/>
      <c r="U9" s="721" t="s">
        <v>428</v>
      </c>
    </row>
    <row r="10" spans="1:21" x14ac:dyDescent="0.25">
      <c r="A10" s="7"/>
      <c r="B10" s="7"/>
      <c r="C10" s="600" t="s">
        <v>435</v>
      </c>
      <c r="D10" s="669" t="s">
        <v>436</v>
      </c>
      <c r="E10" s="108" t="s">
        <v>8</v>
      </c>
      <c r="F10" s="806" t="s">
        <v>1</v>
      </c>
      <c r="G10" s="806"/>
      <c r="H10" s="10" t="s">
        <v>74</v>
      </c>
      <c r="I10" s="11" t="s">
        <v>36</v>
      </c>
      <c r="J10" s="395"/>
      <c r="K10" s="394"/>
      <c r="L10" s="394"/>
      <c r="N10" s="652"/>
      <c r="O10" s="652"/>
      <c r="P10" s="653"/>
      <c r="Q10" s="653"/>
      <c r="R10" s="839" t="s">
        <v>1</v>
      </c>
      <c r="S10" s="839"/>
      <c r="T10" s="15" t="s">
        <v>74</v>
      </c>
      <c r="U10" s="16" t="s">
        <v>36</v>
      </c>
    </row>
    <row r="11" spans="1:21" x14ac:dyDescent="0.25">
      <c r="A11" s="797" t="s">
        <v>1</v>
      </c>
      <c r="B11" s="797"/>
      <c r="C11" s="624" t="s">
        <v>2</v>
      </c>
      <c r="D11" s="622" t="s">
        <v>2</v>
      </c>
      <c r="E11" s="622" t="s">
        <v>2</v>
      </c>
      <c r="F11" s="807" t="s">
        <v>77</v>
      </c>
      <c r="G11" s="807"/>
      <c r="H11" s="17" t="s">
        <v>73</v>
      </c>
      <c r="I11" s="18" t="s">
        <v>76</v>
      </c>
      <c r="J11" s="393"/>
      <c r="K11" s="394"/>
      <c r="L11" s="394"/>
      <c r="N11" s="829" t="s">
        <v>1</v>
      </c>
      <c r="O11" s="829"/>
      <c r="P11" s="830" t="s">
        <v>24</v>
      </c>
      <c r="Q11" s="830"/>
      <c r="R11" s="831" t="s">
        <v>77</v>
      </c>
      <c r="S11" s="831"/>
      <c r="T11" s="19" t="s">
        <v>73</v>
      </c>
      <c r="U11" s="20" t="s">
        <v>76</v>
      </c>
    </row>
    <row r="12" spans="1:21" x14ac:dyDescent="0.25">
      <c r="A12" s="808" t="s">
        <v>48</v>
      </c>
      <c r="B12" s="808"/>
      <c r="C12" s="110"/>
      <c r="D12" s="110"/>
      <c r="E12" s="650" t="s">
        <v>49</v>
      </c>
      <c r="F12" s="809" t="s">
        <v>50</v>
      </c>
      <c r="G12" s="809"/>
      <c r="H12" s="21" t="s">
        <v>51</v>
      </c>
      <c r="I12" s="22" t="s">
        <v>52</v>
      </c>
      <c r="K12" s="394"/>
      <c r="L12" s="394"/>
      <c r="N12" s="832" t="s">
        <v>48</v>
      </c>
      <c r="O12" s="832"/>
      <c r="P12" s="833" t="s">
        <v>49</v>
      </c>
      <c r="Q12" s="833"/>
      <c r="R12" s="834" t="s">
        <v>50</v>
      </c>
      <c r="S12" s="834"/>
      <c r="T12" s="23" t="s">
        <v>51</v>
      </c>
      <c r="U12" s="24" t="s">
        <v>52</v>
      </c>
    </row>
    <row r="13" spans="1:21" x14ac:dyDescent="0.25">
      <c r="A13" s="798" t="s">
        <v>29</v>
      </c>
      <c r="B13" s="798"/>
      <c r="C13" s="192">
        <v>33.33</v>
      </c>
      <c r="D13" s="190">
        <v>32.85</v>
      </c>
      <c r="E13" s="245">
        <f>IF(D$29=0,C13*2,C13+D13)</f>
        <v>66.180000000000007</v>
      </c>
      <c r="F13" s="819">
        <f>'0664'!F13:G13</f>
        <v>1.1259999999999999</v>
      </c>
      <c r="G13" s="819"/>
      <c r="H13" s="194">
        <f>ROUND(E13*F13,4)</f>
        <v>74.518699999999995</v>
      </c>
      <c r="I13" s="140">
        <f t="shared" ref="I13:I28" si="0">ROUND(ROUND(H13*$C$8,4)*($H$8),2)</f>
        <v>339680.18</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1.48</v>
      </c>
      <c r="D14" s="192">
        <v>3.02</v>
      </c>
      <c r="E14" s="147">
        <f t="shared" ref="E14:E28" si="3">IF(D$29=0,C14*2,C14+D14)</f>
        <v>4.5</v>
      </c>
      <c r="F14" s="814">
        <f>'0664'!F14:G14</f>
        <v>1.1259999999999999</v>
      </c>
      <c r="G14" s="814"/>
      <c r="H14" s="99">
        <f t="shared" ref="H14:H28" si="4">ROUND(E14*F14,4)</f>
        <v>5.0670000000000002</v>
      </c>
      <c r="I14" s="120">
        <f t="shared" si="0"/>
        <v>23097.01</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24.38</v>
      </c>
      <c r="D15" s="192">
        <v>26.44</v>
      </c>
      <c r="E15" s="147">
        <f t="shared" si="3"/>
        <v>50.82</v>
      </c>
      <c r="F15" s="814">
        <f>'0664'!F15:G15</f>
        <v>1</v>
      </c>
      <c r="G15" s="814"/>
      <c r="H15" s="99">
        <f t="shared" si="4"/>
        <v>50.82</v>
      </c>
      <c r="I15" s="120">
        <f t="shared" si="0"/>
        <v>231653.89</v>
      </c>
      <c r="N15" s="840" t="s">
        <v>31</v>
      </c>
      <c r="O15" s="840"/>
      <c r="P15" s="841">
        <f t="shared" si="1"/>
        <v>0</v>
      </c>
      <c r="Q15" s="841"/>
      <c r="R15" s="842">
        <v>1</v>
      </c>
      <c r="S15" s="842"/>
      <c r="T15" s="114">
        <f t="shared" si="5"/>
        <v>0</v>
      </c>
      <c r="U15" s="115">
        <f t="shared" si="2"/>
        <v>0</v>
      </c>
    </row>
    <row r="16" spans="1:21" x14ac:dyDescent="0.25">
      <c r="A16" s="764" t="s">
        <v>32</v>
      </c>
      <c r="B16" s="764"/>
      <c r="C16" s="192">
        <v>2</v>
      </c>
      <c r="D16" s="192">
        <v>2.5</v>
      </c>
      <c r="E16" s="147">
        <f t="shared" si="3"/>
        <v>4.5</v>
      </c>
      <c r="F16" s="814">
        <f>'0664'!F16:G16</f>
        <v>1</v>
      </c>
      <c r="G16" s="814"/>
      <c r="H16" s="99">
        <f t="shared" si="4"/>
        <v>4.5</v>
      </c>
      <c r="I16" s="120">
        <f t="shared" si="0"/>
        <v>20512.45</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66.23</v>
      </c>
      <c r="D25" s="192">
        <v>63.28</v>
      </c>
      <c r="E25" s="147">
        <f t="shared" si="3"/>
        <v>129.51</v>
      </c>
      <c r="F25" s="814">
        <f>'0664'!F25:G25</f>
        <v>1.1990000000000001</v>
      </c>
      <c r="G25" s="814"/>
      <c r="H25" s="99">
        <f t="shared" si="4"/>
        <v>155.2825</v>
      </c>
      <c r="I25" s="120">
        <f t="shared" si="0"/>
        <v>707827.54</v>
      </c>
      <c r="N25" s="840" t="s">
        <v>116</v>
      </c>
      <c r="O25" s="840"/>
      <c r="P25" s="841">
        <f t="shared" si="1"/>
        <v>0</v>
      </c>
      <c r="Q25" s="841"/>
      <c r="R25" s="842">
        <v>1</v>
      </c>
      <c r="S25" s="842"/>
      <c r="T25" s="114">
        <f t="shared" si="5"/>
        <v>0</v>
      </c>
      <c r="U25" s="115">
        <f t="shared" si="2"/>
        <v>0</v>
      </c>
    </row>
    <row r="26" spans="1:21" x14ac:dyDescent="0.25">
      <c r="A26" s="764" t="s">
        <v>117</v>
      </c>
      <c r="B26" s="764"/>
      <c r="C26" s="192">
        <v>31.64</v>
      </c>
      <c r="D26" s="192">
        <v>31.25</v>
      </c>
      <c r="E26" s="147">
        <f t="shared" si="3"/>
        <v>62.89</v>
      </c>
      <c r="F26" s="814">
        <f>'0664'!F26:G26</f>
        <v>1.1990000000000001</v>
      </c>
      <c r="G26" s="814"/>
      <c r="H26" s="99">
        <f t="shared" si="4"/>
        <v>75.405100000000004</v>
      </c>
      <c r="I26" s="120">
        <f t="shared" si="0"/>
        <v>343720.68</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159.06</v>
      </c>
      <c r="D29" s="113">
        <f>SUM(D13:D28)+0</f>
        <v>159.34</v>
      </c>
      <c r="E29" s="113">
        <f>SUM(E13:E28)</f>
        <v>318.39999999999998</v>
      </c>
      <c r="F29" s="820"/>
      <c r="G29" s="820"/>
      <c r="H29" s="118">
        <f>SUM(H13:H28)</f>
        <v>365.5933</v>
      </c>
      <c r="I29" s="113">
        <f>SUM(I13:I28)</f>
        <v>1666491.75</v>
      </c>
      <c r="J29" s="3">
        <v>1589376.34</v>
      </c>
      <c r="K29" s="339">
        <f>I29-J29</f>
        <v>77115.409999999916</v>
      </c>
      <c r="N29" s="850" t="s">
        <v>5</v>
      </c>
      <c r="O29" s="850"/>
      <c r="P29" s="851">
        <f>SUM(P13:P28)</f>
        <v>0</v>
      </c>
      <c r="Q29" s="851"/>
      <c r="R29" s="852"/>
      <c r="S29" s="852"/>
      <c r="T29" s="119">
        <f>SUM(T13:T28)</f>
        <v>0</v>
      </c>
      <c r="U29" s="115">
        <f>SUM(U13:U28)</f>
        <v>0</v>
      </c>
    </row>
    <row r="30" spans="1:21" x14ac:dyDescent="0.25">
      <c r="A30" s="658"/>
      <c r="B30" s="658"/>
      <c r="C30" s="120"/>
      <c r="D30" s="120"/>
      <c r="E30" s="120"/>
      <c r="F30" s="659"/>
      <c r="G30" s="659"/>
      <c r="H30" s="99"/>
      <c r="I30" s="120"/>
      <c r="N30" s="647"/>
      <c r="O30" s="647"/>
      <c r="P30" s="30"/>
      <c r="Q30" s="30"/>
      <c r="R30" s="648"/>
      <c r="S30" s="648"/>
      <c r="T30" s="121"/>
      <c r="U30" s="122"/>
    </row>
    <row r="31" spans="1:21" x14ac:dyDescent="0.25">
      <c r="A31" s="195" t="s">
        <v>99</v>
      </c>
      <c r="B31" s="658"/>
      <c r="C31" s="120"/>
      <c r="D31" s="120"/>
      <c r="E31" s="120"/>
      <c r="F31" s="659"/>
      <c r="G31" s="659"/>
      <c r="H31" s="99"/>
      <c r="I31" s="120"/>
      <c r="N31" s="647"/>
      <c r="O31" s="647"/>
      <c r="P31" s="30"/>
      <c r="Q31" s="30"/>
      <c r="R31" s="648"/>
      <c r="S31" s="648"/>
      <c r="T31" s="121"/>
      <c r="U31" s="122"/>
    </row>
    <row r="32" spans="1:21" hidden="1" x14ac:dyDescent="0.25">
      <c r="A32" s="195"/>
      <c r="B32" s="658"/>
      <c r="C32" s="120"/>
      <c r="D32" s="120"/>
      <c r="E32" s="120"/>
      <c r="F32" s="659"/>
      <c r="G32" s="659"/>
      <c r="H32" s="99"/>
      <c r="I32" s="120"/>
      <c r="N32" s="647"/>
      <c r="O32" s="647"/>
      <c r="P32" s="30"/>
      <c r="Q32" s="30"/>
      <c r="R32" s="648"/>
      <c r="S32" s="648"/>
      <c r="T32" s="121"/>
      <c r="U32" s="122"/>
    </row>
    <row r="33" spans="1:21" hidden="1" x14ac:dyDescent="0.25">
      <c r="A33" s="195"/>
      <c r="B33" s="658"/>
      <c r="C33" s="120"/>
      <c r="D33" s="120"/>
      <c r="E33" s="120"/>
      <c r="F33" s="887" t="s">
        <v>298</v>
      </c>
      <c r="G33" s="887"/>
      <c r="H33" s="887"/>
      <c r="I33" s="120"/>
      <c r="N33" s="647"/>
      <c r="O33" s="647"/>
      <c r="P33" s="30"/>
      <c r="Q33" s="30"/>
      <c r="R33" s="648"/>
      <c r="S33" s="648"/>
      <c r="T33" s="121"/>
      <c r="U33" s="122"/>
    </row>
    <row r="34" spans="1:21" hidden="1" x14ac:dyDescent="0.25">
      <c r="A34" s="3"/>
      <c r="B34" s="646"/>
      <c r="C34" s="646"/>
      <c r="D34" s="646"/>
      <c r="E34" s="646"/>
      <c r="F34" s="887"/>
      <c r="G34" s="887"/>
      <c r="H34" s="887"/>
      <c r="I34" s="25" t="s">
        <v>75</v>
      </c>
      <c r="N34" s="853" t="s">
        <v>35</v>
      </c>
      <c r="O34" s="853"/>
      <c r="P34" s="853"/>
      <c r="Q34" s="853"/>
      <c r="R34" s="853"/>
      <c r="S34" s="853"/>
      <c r="T34" s="853"/>
      <c r="U34" s="26" t="s">
        <v>75</v>
      </c>
    </row>
    <row r="35" spans="1:21" hidden="1" x14ac:dyDescent="0.25">
      <c r="A35" s="658"/>
      <c r="B35" s="658"/>
      <c r="C35" s="600" t="s">
        <v>126</v>
      </c>
      <c r="D35" s="600" t="s">
        <v>127</v>
      </c>
      <c r="E35" s="108" t="s">
        <v>8</v>
      </c>
      <c r="F35" s="887"/>
      <c r="G35" s="887"/>
      <c r="H35" s="887"/>
      <c r="I35" s="25" t="s">
        <v>36</v>
      </c>
      <c r="N35" s="647"/>
      <c r="O35" s="647"/>
      <c r="P35" s="30"/>
      <c r="Q35" s="30"/>
      <c r="R35" s="648"/>
      <c r="S35" s="648"/>
      <c r="T35" s="121"/>
      <c r="U35" s="26" t="s">
        <v>36</v>
      </c>
    </row>
    <row r="36" spans="1:21" hidden="1" x14ac:dyDescent="0.25">
      <c r="A36" s="797" t="s">
        <v>64</v>
      </c>
      <c r="B36" s="797"/>
      <c r="C36" s="601" t="s">
        <v>2</v>
      </c>
      <c r="D36" s="601" t="s">
        <v>2</v>
      </c>
      <c r="E36" s="601"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idden="1" x14ac:dyDescent="0.25">
      <c r="A44" s="61"/>
      <c r="B44" s="127"/>
      <c r="C44" s="120"/>
      <c r="D44" s="120"/>
      <c r="E44" s="140"/>
      <c r="F44" s="33"/>
      <c r="G44" s="128"/>
      <c r="H44" s="129"/>
      <c r="I44" s="120"/>
      <c r="N44" s="647"/>
      <c r="O44" s="647"/>
      <c r="P44" s="647"/>
      <c r="Q44" s="647"/>
      <c r="R44" s="35"/>
      <c r="S44" s="648"/>
      <c r="T44" s="648"/>
      <c r="U44" s="122"/>
    </row>
    <row r="45" spans="1:21" ht="16.5" hidden="1" thickBot="1" x14ac:dyDescent="0.3">
      <c r="A45" s="61"/>
      <c r="B45" s="127" t="s">
        <v>129</v>
      </c>
      <c r="C45" s="61"/>
      <c r="D45" s="61"/>
      <c r="E45" s="201">
        <f>H29+E43</f>
        <v>365.5933</v>
      </c>
      <c r="F45" s="36"/>
      <c r="G45" s="128"/>
      <c r="H45" s="129" t="s">
        <v>131</v>
      </c>
      <c r="I45" s="113">
        <f>SUM(I43,I29)</f>
        <v>1666491.75</v>
      </c>
      <c r="N45" s="855" t="s">
        <v>56</v>
      </c>
      <c r="O45" s="855"/>
      <c r="P45" s="855"/>
      <c r="Q45" s="855"/>
      <c r="R45" s="37">
        <f>R43+T29</f>
        <v>0</v>
      </c>
      <c r="S45" s="852" t="s">
        <v>54</v>
      </c>
      <c r="T45" s="852"/>
      <c r="U45" s="130">
        <f>SUM(U43,U29)</f>
        <v>0</v>
      </c>
    </row>
    <row r="46" spans="1:21" hidden="1" x14ac:dyDescent="0.25">
      <c r="A46" s="658"/>
      <c r="B46" s="658"/>
      <c r="C46" s="658"/>
      <c r="D46" s="658"/>
      <c r="E46" s="658"/>
      <c r="F46" s="36"/>
      <c r="G46" s="649"/>
      <c r="H46" s="649"/>
      <c r="I46" s="120"/>
      <c r="N46" s="647"/>
      <c r="O46" s="647"/>
      <c r="P46" s="647"/>
      <c r="Q46" s="647"/>
      <c r="R46" s="37"/>
      <c r="S46" s="648"/>
      <c r="T46" s="648"/>
      <c r="U46" s="122"/>
    </row>
    <row r="47" spans="1:21" x14ac:dyDescent="0.25">
      <c r="A47" s="658"/>
      <c r="B47" s="127" t="s">
        <v>391</v>
      </c>
      <c r="C47" s="716" t="s">
        <v>391</v>
      </c>
      <c r="D47" s="600" t="s">
        <v>391</v>
      </c>
      <c r="E47" s="658"/>
      <c r="F47" s="36"/>
      <c r="G47" s="649"/>
      <c r="H47" s="649"/>
      <c r="I47" s="120"/>
      <c r="N47" s="647"/>
      <c r="O47" s="647"/>
      <c r="P47" s="647"/>
      <c r="Q47" s="647"/>
      <c r="R47" s="37"/>
      <c r="S47" s="648"/>
      <c r="T47" s="648"/>
      <c r="U47" s="122"/>
    </row>
    <row r="48" spans="1:21" x14ac:dyDescent="0.25">
      <c r="A48" s="658"/>
      <c r="B48" s="658"/>
      <c r="C48" s="600" t="s">
        <v>435</v>
      </c>
      <c r="D48" s="669" t="s">
        <v>436</v>
      </c>
      <c r="E48" s="715" t="s">
        <v>8</v>
      </c>
      <c r="F48" s="132" t="s">
        <v>132</v>
      </c>
      <c r="G48" s="133" t="s">
        <v>134</v>
      </c>
      <c r="H48" s="134" t="s">
        <v>135</v>
      </c>
      <c r="I48" s="120"/>
      <c r="N48" s="647"/>
      <c r="O48" s="647"/>
      <c r="P48" s="647"/>
      <c r="Q48" s="647"/>
      <c r="R48" s="37"/>
      <c r="S48" s="648"/>
      <c r="T48" s="648"/>
      <c r="U48" s="122"/>
    </row>
    <row r="49" spans="1:21" x14ac:dyDescent="0.25">
      <c r="A49" s="38" t="s">
        <v>89</v>
      </c>
      <c r="B49" s="38"/>
      <c r="C49" s="624" t="s">
        <v>2</v>
      </c>
      <c r="D49" s="622" t="s">
        <v>2</v>
      </c>
      <c r="E49" s="622" t="s">
        <v>2</v>
      </c>
      <c r="F49" s="650" t="s">
        <v>133</v>
      </c>
      <c r="G49" s="637" t="s">
        <v>133</v>
      </c>
      <c r="H49" s="135" t="s">
        <v>136</v>
      </c>
      <c r="I49" s="38"/>
      <c r="N49" s="845" t="s">
        <v>89</v>
      </c>
      <c r="O49" s="845"/>
      <c r="P49" s="856" t="s">
        <v>2</v>
      </c>
      <c r="Q49" s="856"/>
      <c r="R49" s="39" t="s">
        <v>25</v>
      </c>
      <c r="S49" s="633" t="s">
        <v>26</v>
      </c>
      <c r="T49" s="136" t="s">
        <v>27</v>
      </c>
      <c r="U49" s="39"/>
    </row>
    <row r="50" spans="1:21" x14ac:dyDescent="0.25">
      <c r="A50" s="791" t="s">
        <v>100</v>
      </c>
      <c r="B50" s="791"/>
      <c r="C50" s="192">
        <v>1.48</v>
      </c>
      <c r="D50" s="192">
        <v>3.02</v>
      </c>
      <c r="E50" s="147">
        <f>IF(D$59=0,C50*2,C50+D50)</f>
        <v>4.5</v>
      </c>
      <c r="F50" s="634" t="s">
        <v>21</v>
      </c>
      <c r="G50" s="644">
        <v>251</v>
      </c>
      <c r="H50" s="485">
        <f>'0664'!H50</f>
        <v>1047</v>
      </c>
      <c r="I50" s="120">
        <f>ROUND(E50*H50,2)</f>
        <v>4711.5</v>
      </c>
      <c r="N50" s="863" t="s">
        <v>28</v>
      </c>
      <c r="O50" s="863"/>
      <c r="P50" s="864"/>
      <c r="Q50" s="864"/>
      <c r="R50" s="635" t="s">
        <v>21</v>
      </c>
      <c r="S50" s="654">
        <v>251</v>
      </c>
      <c r="T50" s="138">
        <f>H50</f>
        <v>1047</v>
      </c>
      <c r="U50" s="139">
        <f>ROUND(P50*T50,0)</f>
        <v>0</v>
      </c>
    </row>
    <row r="51" spans="1:21" x14ac:dyDescent="0.25">
      <c r="A51" s="792"/>
      <c r="B51" s="792"/>
      <c r="C51" s="192">
        <v>0</v>
      </c>
      <c r="D51" s="192">
        <v>0</v>
      </c>
      <c r="E51" s="147">
        <f t="shared" ref="E51:E58" si="10">IF(D$59=0,C51*2,C51+D51)</f>
        <v>0</v>
      </c>
      <c r="F51" s="644" t="s">
        <v>21</v>
      </c>
      <c r="G51" s="644">
        <v>252</v>
      </c>
      <c r="H51" s="485">
        <f>'0664'!H51</f>
        <v>3380</v>
      </c>
      <c r="I51" s="120">
        <f t="shared" ref="I51:I58" si="11">ROUND(E51*H51,2)</f>
        <v>0</v>
      </c>
      <c r="N51" s="863"/>
      <c r="O51" s="863"/>
      <c r="P51" s="865"/>
      <c r="Q51" s="865"/>
      <c r="R51" s="654" t="s">
        <v>21</v>
      </c>
      <c r="S51" s="654">
        <v>252</v>
      </c>
      <c r="T51" s="138">
        <f t="shared" ref="T51:T58" si="12">H51</f>
        <v>3380</v>
      </c>
      <c r="U51" s="139">
        <f t="shared" ref="U51:U58" si="13">ROUND(P51*T51,0)</f>
        <v>0</v>
      </c>
    </row>
    <row r="52" spans="1:21" x14ac:dyDescent="0.25">
      <c r="A52" s="792"/>
      <c r="B52" s="792"/>
      <c r="C52" s="192">
        <v>0</v>
      </c>
      <c r="D52" s="192">
        <v>0</v>
      </c>
      <c r="E52" s="147">
        <f t="shared" si="10"/>
        <v>0</v>
      </c>
      <c r="F52" s="644" t="s">
        <v>21</v>
      </c>
      <c r="G52" s="644">
        <v>253</v>
      </c>
      <c r="H52" s="485">
        <f>'0664'!H52</f>
        <v>6896</v>
      </c>
      <c r="I52" s="120">
        <f t="shared" si="11"/>
        <v>0</v>
      </c>
      <c r="N52" s="863"/>
      <c r="O52" s="863"/>
      <c r="P52" s="865"/>
      <c r="Q52" s="865"/>
      <c r="R52" s="654" t="s">
        <v>21</v>
      </c>
      <c r="S52" s="654">
        <v>253</v>
      </c>
      <c r="T52" s="138">
        <f t="shared" si="12"/>
        <v>6896</v>
      </c>
      <c r="U52" s="139">
        <f t="shared" si="13"/>
        <v>0</v>
      </c>
    </row>
    <row r="53" spans="1:21" x14ac:dyDescent="0.25">
      <c r="A53" s="792"/>
      <c r="B53" s="792"/>
      <c r="C53" s="192">
        <v>2</v>
      </c>
      <c r="D53" s="192">
        <v>2.5</v>
      </c>
      <c r="E53" s="147">
        <f t="shared" si="10"/>
        <v>4.5</v>
      </c>
      <c r="F53" s="660" t="s">
        <v>14</v>
      </c>
      <c r="G53" s="644">
        <v>251</v>
      </c>
      <c r="H53" s="485">
        <f>'0664'!H53</f>
        <v>1173</v>
      </c>
      <c r="I53" s="120">
        <f t="shared" si="11"/>
        <v>5278.5</v>
      </c>
      <c r="N53" s="863"/>
      <c r="O53" s="863"/>
      <c r="P53" s="865"/>
      <c r="Q53" s="865"/>
      <c r="R53" s="45" t="s">
        <v>14</v>
      </c>
      <c r="S53" s="654">
        <v>251</v>
      </c>
      <c r="T53" s="138">
        <f t="shared" si="12"/>
        <v>1173</v>
      </c>
      <c r="U53" s="139">
        <f t="shared" si="13"/>
        <v>0</v>
      </c>
    </row>
    <row r="54" spans="1:21" x14ac:dyDescent="0.25">
      <c r="A54" s="792"/>
      <c r="B54" s="792"/>
      <c r="C54" s="192">
        <v>0</v>
      </c>
      <c r="D54" s="192">
        <v>0</v>
      </c>
      <c r="E54" s="147">
        <f t="shared" si="10"/>
        <v>0</v>
      </c>
      <c r="F54" s="660" t="s">
        <v>14</v>
      </c>
      <c r="G54" s="644">
        <v>252</v>
      </c>
      <c r="H54" s="485">
        <f>'0664'!H54</f>
        <v>3506</v>
      </c>
      <c r="I54" s="120">
        <f t="shared" si="11"/>
        <v>0</v>
      </c>
      <c r="N54" s="863"/>
      <c r="O54" s="863"/>
      <c r="P54" s="865"/>
      <c r="Q54" s="865"/>
      <c r="R54" s="45" t="s">
        <v>14</v>
      </c>
      <c r="S54" s="654">
        <v>252</v>
      </c>
      <c r="T54" s="138">
        <f t="shared" si="12"/>
        <v>3506</v>
      </c>
      <c r="U54" s="139">
        <f t="shared" si="13"/>
        <v>0</v>
      </c>
    </row>
    <row r="55" spans="1:21" x14ac:dyDescent="0.25">
      <c r="A55" s="792"/>
      <c r="B55" s="792"/>
      <c r="C55" s="192">
        <v>0</v>
      </c>
      <c r="D55" s="192">
        <v>0</v>
      </c>
      <c r="E55" s="147">
        <f t="shared" si="10"/>
        <v>0</v>
      </c>
      <c r="F55" s="660" t="s">
        <v>14</v>
      </c>
      <c r="G55" s="644">
        <v>253</v>
      </c>
      <c r="H55" s="485">
        <f>'0664'!H55</f>
        <v>7023</v>
      </c>
      <c r="I55" s="120">
        <f t="shared" si="11"/>
        <v>0</v>
      </c>
      <c r="N55" s="863"/>
      <c r="O55" s="863"/>
      <c r="P55" s="865"/>
      <c r="Q55" s="865"/>
      <c r="R55" s="45" t="s">
        <v>14</v>
      </c>
      <c r="S55" s="654">
        <v>253</v>
      </c>
      <c r="T55" s="138">
        <f t="shared" si="12"/>
        <v>7023</v>
      </c>
      <c r="U55" s="139">
        <f t="shared" si="13"/>
        <v>0</v>
      </c>
    </row>
    <row r="56" spans="1:21" x14ac:dyDescent="0.25">
      <c r="A56" s="792"/>
      <c r="B56" s="792"/>
      <c r="C56" s="192">
        <v>0</v>
      </c>
      <c r="D56" s="192">
        <v>0</v>
      </c>
      <c r="E56" s="147">
        <f t="shared" si="10"/>
        <v>0</v>
      </c>
      <c r="F56" s="660" t="s">
        <v>15</v>
      </c>
      <c r="G56" s="644">
        <v>251</v>
      </c>
      <c r="H56" s="485">
        <f>'0664'!H56</f>
        <v>835</v>
      </c>
      <c r="I56" s="120">
        <f t="shared" si="11"/>
        <v>0</v>
      </c>
      <c r="N56" s="863"/>
      <c r="O56" s="863"/>
      <c r="P56" s="865"/>
      <c r="Q56" s="865"/>
      <c r="R56" s="45" t="s">
        <v>15</v>
      </c>
      <c r="S56" s="654">
        <v>251</v>
      </c>
      <c r="T56" s="138">
        <f t="shared" si="12"/>
        <v>835</v>
      </c>
      <c r="U56" s="139">
        <f t="shared" si="13"/>
        <v>0</v>
      </c>
    </row>
    <row r="57" spans="1:21" x14ac:dyDescent="0.25">
      <c r="A57" s="792"/>
      <c r="B57" s="792"/>
      <c r="C57" s="192">
        <v>0</v>
      </c>
      <c r="D57" s="192">
        <v>0</v>
      </c>
      <c r="E57" s="147">
        <f t="shared" si="10"/>
        <v>0</v>
      </c>
      <c r="F57" s="660" t="s">
        <v>15</v>
      </c>
      <c r="G57" s="644">
        <v>252</v>
      </c>
      <c r="H57" s="485">
        <f>'0664'!H57</f>
        <v>3168</v>
      </c>
      <c r="I57" s="120">
        <f t="shared" si="11"/>
        <v>0</v>
      </c>
      <c r="N57" s="863"/>
      <c r="O57" s="863"/>
      <c r="P57" s="865"/>
      <c r="Q57" s="865"/>
      <c r="R57" s="45" t="s">
        <v>15</v>
      </c>
      <c r="S57" s="654">
        <v>252</v>
      </c>
      <c r="T57" s="138">
        <f t="shared" si="12"/>
        <v>3168</v>
      </c>
      <c r="U57" s="139">
        <f t="shared" si="13"/>
        <v>0</v>
      </c>
    </row>
    <row r="58" spans="1:21" ht="16.5" thickBot="1" x14ac:dyDescent="0.3">
      <c r="A58" s="792"/>
      <c r="B58" s="792"/>
      <c r="C58" s="192">
        <v>0</v>
      </c>
      <c r="D58" s="192">
        <v>0</v>
      </c>
      <c r="E58" s="147">
        <f t="shared" si="10"/>
        <v>0</v>
      </c>
      <c r="F58" s="660" t="s">
        <v>15</v>
      </c>
      <c r="G58" s="644">
        <v>253</v>
      </c>
      <c r="H58" s="485">
        <f>'0664'!H58</f>
        <v>6685</v>
      </c>
      <c r="I58" s="120">
        <f t="shared" si="11"/>
        <v>0</v>
      </c>
      <c r="N58" s="863"/>
      <c r="O58" s="863"/>
      <c r="P58" s="866"/>
      <c r="Q58" s="866"/>
      <c r="R58" s="45" t="s">
        <v>15</v>
      </c>
      <c r="S58" s="654">
        <v>253</v>
      </c>
      <c r="T58" s="138">
        <f t="shared" si="12"/>
        <v>6685</v>
      </c>
      <c r="U58" s="141">
        <f t="shared" si="13"/>
        <v>0</v>
      </c>
    </row>
    <row r="59" spans="1:21" ht="16.5" thickBot="1" x14ac:dyDescent="0.3">
      <c r="A59" s="767" t="s">
        <v>16</v>
      </c>
      <c r="B59" s="767"/>
      <c r="C59" s="116">
        <f>SUM(C50:C58)</f>
        <v>3.48</v>
      </c>
      <c r="D59" s="116">
        <f>SUM(D50:D58)</f>
        <v>5.52</v>
      </c>
      <c r="E59" s="116">
        <f>SUM(E50:E58)</f>
        <v>9</v>
      </c>
      <c r="F59" s="767" t="s">
        <v>78</v>
      </c>
      <c r="G59" s="767"/>
      <c r="H59" s="767"/>
      <c r="I59" s="116">
        <f>SUM(I50:I58)</f>
        <v>9990</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318.39999999999998</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626"/>
      <c r="G63" s="47" t="s">
        <v>13</v>
      </c>
      <c r="H63" s="145">
        <f>ROUND(C62/H62,6)</f>
        <v>1.6689999999999999E-3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365.5933</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594"/>
      <c r="G66" s="48" t="s">
        <v>13</v>
      </c>
      <c r="H66" s="149">
        <f>ROUND(C65/H65,6)</f>
        <v>1.7049999999999999E-3</v>
      </c>
      <c r="I66" s="149"/>
      <c r="N66" s="845" t="s">
        <v>20</v>
      </c>
      <c r="O66" s="845"/>
      <c r="P66" s="845"/>
      <c r="Q66" s="845"/>
      <c r="R66" s="845"/>
      <c r="S66" s="845"/>
      <c r="T66" s="867">
        <f>ROUND(P65/T65,6)</f>
        <v>0</v>
      </c>
      <c r="U66" s="867"/>
    </row>
    <row r="67" spans="1:21" s="61" customFormat="1" x14ac:dyDescent="0.25">
      <c r="A67" s="626"/>
      <c r="G67" s="47"/>
      <c r="H67" s="150"/>
      <c r="I67" s="150"/>
      <c r="N67" s="636"/>
      <c r="O67" s="636"/>
      <c r="P67" s="636"/>
      <c r="Q67" s="636"/>
      <c r="R67" s="632"/>
      <c r="S67" s="636"/>
      <c r="T67" s="153"/>
      <c r="U67" s="645"/>
    </row>
    <row r="68" spans="1:21" x14ac:dyDescent="0.25">
      <c r="A68" s="764" t="s">
        <v>87</v>
      </c>
      <c r="B68" s="764"/>
      <c r="C68" s="764"/>
      <c r="D68" s="626"/>
      <c r="E68" s="642" t="s">
        <v>3</v>
      </c>
      <c r="F68" s="544">
        <f>'0664'!F68</f>
        <v>42029577</v>
      </c>
      <c r="G68" s="634" t="s">
        <v>6</v>
      </c>
      <c r="H68" s="155">
        <f>H63</f>
        <v>1.6689999999999999E-3</v>
      </c>
      <c r="I68" s="120">
        <f>ROUND(F68*H68,2)</f>
        <v>70147.360000000001</v>
      </c>
      <c r="N68" s="840" t="s">
        <v>87</v>
      </c>
      <c r="O68" s="840"/>
      <c r="P68" s="840"/>
      <c r="Q68" s="50"/>
      <c r="R68" s="156">
        <f>F68</f>
        <v>42029577</v>
      </c>
      <c r="S68" s="635" t="s">
        <v>6</v>
      </c>
      <c r="T68" s="157">
        <f>T63</f>
        <v>0</v>
      </c>
      <c r="U68" s="115">
        <f>ROUND(R68*T68,0)</f>
        <v>0</v>
      </c>
    </row>
    <row r="69" spans="1:21" x14ac:dyDescent="0.25">
      <c r="A69" s="811" t="s">
        <v>98</v>
      </c>
      <c r="B69" s="764"/>
      <c r="C69" s="764"/>
      <c r="D69" s="626"/>
      <c r="E69" s="642"/>
      <c r="F69" s="161"/>
      <c r="G69" s="634"/>
      <c r="H69" s="155"/>
      <c r="I69" s="120"/>
      <c r="N69" s="840" t="s">
        <v>86</v>
      </c>
      <c r="O69" s="840"/>
      <c r="P69" s="840"/>
      <c r="Q69" s="158"/>
      <c r="R69" s="158"/>
      <c r="S69" s="158"/>
      <c r="T69" s="158"/>
      <c r="U69" s="158"/>
    </row>
    <row r="70" spans="1:21" x14ac:dyDescent="0.25">
      <c r="A70" s="813" t="s">
        <v>143</v>
      </c>
      <c r="B70" s="764"/>
      <c r="C70" s="764"/>
      <c r="D70" s="626"/>
      <c r="E70" s="642" t="s">
        <v>3</v>
      </c>
      <c r="F70" s="544">
        <f>'0664'!F70</f>
        <v>0</v>
      </c>
      <c r="G70" s="634" t="s">
        <v>6</v>
      </c>
      <c r="H70" s="155">
        <f>H63</f>
        <v>1.6689999999999999E-3</v>
      </c>
      <c r="I70" s="120">
        <f>ROUND(F70*H70,2)</f>
        <v>0</v>
      </c>
      <c r="N70" s="631"/>
      <c r="O70" s="631"/>
      <c r="P70" s="631"/>
      <c r="Q70" s="50"/>
      <c r="R70" s="156">
        <f>F70</f>
        <v>0</v>
      </c>
      <c r="S70" s="635" t="s">
        <v>6</v>
      </c>
      <c r="T70" s="157">
        <f>T63</f>
        <v>0</v>
      </c>
      <c r="U70" s="115">
        <f>ROUND(R70*T70,0)</f>
        <v>0</v>
      </c>
    </row>
    <row r="71" spans="1:21" x14ac:dyDescent="0.25">
      <c r="A71" s="764" t="s">
        <v>85</v>
      </c>
      <c r="B71" s="764"/>
      <c r="C71" s="764"/>
      <c r="D71" s="556" t="s">
        <v>358</v>
      </c>
      <c r="E71" s="642" t="s">
        <v>372</v>
      </c>
      <c r="F71" s="544">
        <f>'0664'!F71</f>
        <v>146607</v>
      </c>
      <c r="G71" s="634" t="s">
        <v>6</v>
      </c>
      <c r="H71" s="155">
        <f>H63</f>
        <v>1.6689999999999999E-3</v>
      </c>
      <c r="I71" s="120">
        <f>IF(D71="Y",ROUND(F71*H71,2),0)</f>
        <v>244.69</v>
      </c>
      <c r="N71" s="840" t="s">
        <v>85</v>
      </c>
      <c r="O71" s="840"/>
      <c r="P71" s="840"/>
      <c r="Q71" s="50"/>
      <c r="R71" s="156">
        <f>F71</f>
        <v>146607</v>
      </c>
      <c r="S71" s="635" t="s">
        <v>6</v>
      </c>
      <c r="T71" s="157">
        <f>T63</f>
        <v>0</v>
      </c>
      <c r="U71" s="115">
        <f>ROUND(R71*T71,0)</f>
        <v>0</v>
      </c>
    </row>
    <row r="72" spans="1:21" x14ac:dyDescent="0.25">
      <c r="A72" s="764" t="s">
        <v>84</v>
      </c>
      <c r="B72" s="764"/>
      <c r="C72" s="764"/>
      <c r="D72" s="626"/>
      <c r="E72" s="642" t="s">
        <v>3</v>
      </c>
      <c r="F72" s="544">
        <f>'0664'!F72</f>
        <v>11337910</v>
      </c>
      <c r="G72" s="634" t="s">
        <v>6</v>
      </c>
      <c r="H72" s="155">
        <f>H63</f>
        <v>1.6689999999999999E-3</v>
      </c>
      <c r="I72" s="120">
        <f>ROUND(F72*H72,2)</f>
        <v>18922.97</v>
      </c>
      <c r="N72" s="840" t="s">
        <v>84</v>
      </c>
      <c r="O72" s="840"/>
      <c r="P72" s="840"/>
      <c r="Q72" s="50"/>
      <c r="R72" s="156">
        <f>F72</f>
        <v>11337910</v>
      </c>
      <c r="S72" s="635" t="s">
        <v>6</v>
      </c>
      <c r="T72" s="157">
        <f>T63</f>
        <v>0</v>
      </c>
      <c r="U72" s="115">
        <f>ROUND(R72*T72,0)</f>
        <v>0</v>
      </c>
    </row>
    <row r="73" spans="1:21" x14ac:dyDescent="0.25">
      <c r="A73" s="764" t="s">
        <v>83</v>
      </c>
      <c r="B73" s="764"/>
      <c r="C73" s="764"/>
      <c r="D73" s="626"/>
      <c r="E73" s="642" t="s">
        <v>3</v>
      </c>
      <c r="F73" s="544">
        <f>'0664'!F73</f>
        <v>13882385</v>
      </c>
      <c r="G73" s="634" t="s">
        <v>6</v>
      </c>
      <c r="H73" s="155">
        <f>H63</f>
        <v>1.6689999999999999E-3</v>
      </c>
      <c r="I73" s="120">
        <f>ROUND(F73*H73,2)</f>
        <v>23169.7</v>
      </c>
      <c r="N73" s="840" t="s">
        <v>83</v>
      </c>
      <c r="O73" s="840"/>
      <c r="P73" s="840"/>
      <c r="Q73" s="50"/>
      <c r="R73" s="159">
        <f>F73</f>
        <v>13882385</v>
      </c>
      <c r="S73" s="635" t="s">
        <v>6</v>
      </c>
      <c r="T73" s="157">
        <f>T63</f>
        <v>0</v>
      </c>
      <c r="U73" s="115">
        <f>ROUND(R73*T73,0)</f>
        <v>0</v>
      </c>
    </row>
    <row r="74" spans="1:21" x14ac:dyDescent="0.25">
      <c r="A74" s="337" t="s">
        <v>101</v>
      </c>
      <c r="D74" s="626"/>
      <c r="E74" s="660"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626"/>
      <c r="C76" s="626"/>
      <c r="D76" s="626"/>
      <c r="E76" s="626"/>
      <c r="F76" s="626"/>
      <c r="G76" s="626"/>
      <c r="H76" s="626"/>
      <c r="I76" s="160"/>
      <c r="N76" s="687" t="s">
        <v>44</v>
      </c>
      <c r="O76" s="631"/>
      <c r="P76" s="631"/>
      <c r="Q76" s="631"/>
      <c r="R76" s="631"/>
      <c r="S76" s="631"/>
      <c r="T76" s="631"/>
      <c r="U76" s="122"/>
    </row>
    <row r="77" spans="1:21" x14ac:dyDescent="0.25">
      <c r="A77" s="765" t="s">
        <v>387</v>
      </c>
      <c r="B77" s="764"/>
      <c r="C77" s="764"/>
      <c r="D77" s="626"/>
      <c r="E77" s="642" t="s">
        <v>3</v>
      </c>
      <c r="F77" s="544">
        <f>'0664'!F77</f>
        <v>7462542</v>
      </c>
      <c r="G77" s="634" t="s">
        <v>6</v>
      </c>
      <c r="H77" s="155">
        <f>H63</f>
        <v>1.6689999999999999E-3</v>
      </c>
      <c r="I77" s="120">
        <f t="shared" ref="I77:I82" si="14">ROUND(F77*H77,2)</f>
        <v>12454.98</v>
      </c>
      <c r="N77" s="860" t="s">
        <v>387</v>
      </c>
      <c r="O77" s="840"/>
      <c r="P77" s="840"/>
      <c r="Q77" s="50"/>
      <c r="R77" s="159">
        <f t="shared" ref="R77:R83" si="15">F77</f>
        <v>7462542</v>
      </c>
      <c r="S77" s="635" t="s">
        <v>6</v>
      </c>
      <c r="T77" s="157">
        <f>T64</f>
        <v>0</v>
      </c>
      <c r="U77" s="115">
        <f t="shared" ref="U77:U82" si="16">ROUND(R77*T77,0)</f>
        <v>0</v>
      </c>
    </row>
    <row r="78" spans="1:21" x14ac:dyDescent="0.25">
      <c r="A78" s="765" t="s">
        <v>388</v>
      </c>
      <c r="B78" s="764"/>
      <c r="C78" s="764"/>
      <c r="D78" s="626"/>
      <c r="E78" s="642" t="s">
        <v>3</v>
      </c>
      <c r="F78" s="544">
        <f>'0664'!F78</f>
        <v>0</v>
      </c>
      <c r="G78" s="634" t="s">
        <v>6</v>
      </c>
      <c r="H78" s="155">
        <f>H63</f>
        <v>1.6689999999999999E-3</v>
      </c>
      <c r="I78" s="120">
        <f t="shared" si="14"/>
        <v>0</v>
      </c>
      <c r="N78" s="840" t="s">
        <v>388</v>
      </c>
      <c r="O78" s="840"/>
      <c r="P78" s="840"/>
      <c r="Q78" s="50"/>
      <c r="R78" s="159">
        <f t="shared" si="15"/>
        <v>0</v>
      </c>
      <c r="S78" s="635" t="s">
        <v>6</v>
      </c>
      <c r="T78" s="157">
        <f>T64</f>
        <v>0</v>
      </c>
      <c r="U78" s="115">
        <f t="shared" si="16"/>
        <v>0</v>
      </c>
    </row>
    <row r="79" spans="1:21" x14ac:dyDescent="0.25">
      <c r="A79" s="765" t="s">
        <v>414</v>
      </c>
      <c r="B79" s="764"/>
      <c r="C79" s="764"/>
      <c r="D79" s="626"/>
      <c r="E79" s="642" t="s">
        <v>4</v>
      </c>
      <c r="F79" s="544">
        <f>'0664'!F79</f>
        <v>0</v>
      </c>
      <c r="G79" s="634" t="s">
        <v>6</v>
      </c>
      <c r="H79" s="155">
        <f>H66</f>
        <v>1.7049999999999999E-3</v>
      </c>
      <c r="I79" s="120">
        <f t="shared" si="14"/>
        <v>0</v>
      </c>
      <c r="N79" s="860" t="s">
        <v>414</v>
      </c>
      <c r="O79" s="840"/>
      <c r="P79" s="840"/>
      <c r="Q79" s="50"/>
      <c r="R79" s="159">
        <f t="shared" si="15"/>
        <v>0</v>
      </c>
      <c r="S79" s="635" t="s">
        <v>6</v>
      </c>
      <c r="T79" s="157">
        <f>T66</f>
        <v>0</v>
      </c>
      <c r="U79" s="115">
        <f t="shared" si="16"/>
        <v>0</v>
      </c>
    </row>
    <row r="80" spans="1:21" x14ac:dyDescent="0.25">
      <c r="A80" s="765" t="s">
        <v>415</v>
      </c>
      <c r="B80" s="764"/>
      <c r="C80" s="764"/>
      <c r="D80" s="626"/>
      <c r="E80" s="642" t="s">
        <v>4</v>
      </c>
      <c r="F80" s="544">
        <f>'0664'!F80</f>
        <v>8562788</v>
      </c>
      <c r="G80" s="634" t="s">
        <v>6</v>
      </c>
      <c r="H80" s="155">
        <f>H66</f>
        <v>1.7049999999999999E-3</v>
      </c>
      <c r="I80" s="120">
        <f t="shared" si="14"/>
        <v>14599.55</v>
      </c>
      <c r="N80" s="860" t="s">
        <v>415</v>
      </c>
      <c r="O80" s="840"/>
      <c r="P80" s="840"/>
      <c r="Q80" s="50"/>
      <c r="R80" s="159">
        <f t="shared" si="15"/>
        <v>8562788</v>
      </c>
      <c r="S80" s="635" t="s">
        <v>6</v>
      </c>
      <c r="T80" s="157">
        <f>T66</f>
        <v>0</v>
      </c>
      <c r="U80" s="115">
        <f t="shared" si="16"/>
        <v>0</v>
      </c>
    </row>
    <row r="81" spans="1:21" x14ac:dyDescent="0.25">
      <c r="A81" s="765" t="s">
        <v>419</v>
      </c>
      <c r="B81" s="764"/>
      <c r="C81" s="764"/>
      <c r="D81" s="626"/>
      <c r="E81" s="642" t="s">
        <v>4</v>
      </c>
      <c r="F81" s="544">
        <f>'0664'!F81</f>
        <v>168663228</v>
      </c>
      <c r="G81" s="634" t="s">
        <v>6</v>
      </c>
      <c r="H81" s="155">
        <f>H66</f>
        <v>1.7049999999999999E-3</v>
      </c>
      <c r="I81" s="120">
        <f t="shared" si="14"/>
        <v>287570.8</v>
      </c>
      <c r="N81" s="860" t="s">
        <v>419</v>
      </c>
      <c r="O81" s="840"/>
      <c r="P81" s="840"/>
      <c r="Q81" s="50"/>
      <c r="R81" s="159">
        <f t="shared" si="15"/>
        <v>168663228</v>
      </c>
      <c r="S81" s="635" t="s">
        <v>6</v>
      </c>
      <c r="T81" s="157">
        <f>T66</f>
        <v>0</v>
      </c>
      <c r="U81" s="115">
        <f t="shared" si="16"/>
        <v>0</v>
      </c>
    </row>
    <row r="82" spans="1:21" x14ac:dyDescent="0.25">
      <c r="A82" s="765" t="s">
        <v>420</v>
      </c>
      <c r="B82" s="764"/>
      <c r="C82" s="764"/>
      <c r="D82" s="626"/>
      <c r="E82" s="642" t="s">
        <v>4</v>
      </c>
      <c r="F82" s="544">
        <f>'0664'!F82</f>
        <v>0</v>
      </c>
      <c r="G82" s="634" t="s">
        <v>6</v>
      </c>
      <c r="H82" s="155">
        <f>H66</f>
        <v>1.7049999999999999E-3</v>
      </c>
      <c r="I82" s="120">
        <f t="shared" si="14"/>
        <v>0</v>
      </c>
      <c r="N82" s="860" t="s">
        <v>420</v>
      </c>
      <c r="O82" s="840"/>
      <c r="P82" s="840"/>
      <c r="Q82" s="50"/>
      <c r="R82" s="156">
        <f t="shared" si="15"/>
        <v>0</v>
      </c>
      <c r="S82" s="635" t="s">
        <v>6</v>
      </c>
      <c r="T82" s="157">
        <f>T66</f>
        <v>0</v>
      </c>
      <c r="U82" s="115">
        <f t="shared" si="16"/>
        <v>0</v>
      </c>
    </row>
    <row r="83" spans="1:21" x14ac:dyDescent="0.25">
      <c r="A83" s="717" t="s">
        <v>425</v>
      </c>
      <c r="B83" s="626"/>
      <c r="C83" s="626"/>
      <c r="D83" s="626"/>
      <c r="E83" s="683" t="s">
        <v>45</v>
      </c>
      <c r="F83" s="544"/>
      <c r="G83" s="634"/>
      <c r="H83" s="155"/>
      <c r="I83" s="120">
        <v>63149.85</v>
      </c>
      <c r="N83" s="719" t="s">
        <v>425</v>
      </c>
      <c r="O83" s="631"/>
      <c r="P83" s="631"/>
      <c r="Q83" s="50"/>
      <c r="R83" s="159">
        <f t="shared" si="15"/>
        <v>0</v>
      </c>
      <c r="S83" s="635" t="s">
        <v>6</v>
      </c>
      <c r="T83" s="157">
        <f>T66</f>
        <v>0</v>
      </c>
      <c r="U83" s="115">
        <f>IF($H$116=1,I83,0)</f>
        <v>0</v>
      </c>
    </row>
    <row r="84" spans="1:21" x14ac:dyDescent="0.25">
      <c r="A84" s="765" t="s">
        <v>457</v>
      </c>
      <c r="B84" s="764"/>
      <c r="C84" s="764"/>
      <c r="D84" s="744"/>
      <c r="E84" s="747" t="s">
        <v>3</v>
      </c>
      <c r="F84" s="544">
        <f>'0664'!F84</f>
        <v>21614343</v>
      </c>
      <c r="G84" s="749" t="s">
        <v>6</v>
      </c>
      <c r="H84" s="155">
        <f>H63</f>
        <v>1.6689999999999999E-3</v>
      </c>
      <c r="I84" s="120">
        <f>ROUND(F84*H84,2)</f>
        <v>36074.339999999997</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626"/>
      <c r="C87" s="780" t="s">
        <v>74</v>
      </c>
      <c r="D87" s="780"/>
      <c r="E87" s="626"/>
      <c r="F87" s="660" t="s">
        <v>37</v>
      </c>
      <c r="G87" s="626"/>
      <c r="H87" s="626"/>
      <c r="I87" s="626"/>
      <c r="N87" s="631"/>
      <c r="O87" s="631"/>
      <c r="P87" s="631"/>
      <c r="Q87" s="631"/>
      <c r="R87" s="631"/>
      <c r="S87" s="631"/>
      <c r="T87" s="631"/>
      <c r="U87" s="63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630"/>
      <c r="B89" s="64" t="s">
        <v>150</v>
      </c>
      <c r="C89" s="781">
        <f>H13+H14+H19+H22+H25</f>
        <v>234.8682</v>
      </c>
      <c r="D89" s="781"/>
      <c r="E89" s="54">
        <f>H8</f>
        <v>1.0424</v>
      </c>
      <c r="F89" s="545">
        <f>'0664'!F89</f>
        <v>966.9</v>
      </c>
      <c r="G89" s="661" t="s">
        <v>13</v>
      </c>
      <c r="H89" s="120">
        <f>ROUND(C89*E89*F89,2)</f>
        <v>236722.85</v>
      </c>
      <c r="I89" s="124"/>
      <c r="N89" s="629"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130.7251</v>
      </c>
      <c r="D90" s="781"/>
      <c r="E90" s="54">
        <f>H8</f>
        <v>1.0424</v>
      </c>
      <c r="F90" s="545">
        <f>'0664'!F90</f>
        <v>923.19</v>
      </c>
      <c r="G90" s="661" t="s">
        <v>13</v>
      </c>
      <c r="H90" s="120">
        <f>ROUND(C90*E90*F90,2)</f>
        <v>125801.11</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661"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365.5933</v>
      </c>
      <c r="D92" s="782"/>
      <c r="E92" s="168"/>
      <c r="F92" s="168"/>
      <c r="G92" s="168"/>
      <c r="H92" s="169" t="s">
        <v>145</v>
      </c>
      <c r="I92" s="120">
        <f>IF(A1=75,0,H91+H90+H89)</f>
        <v>362523.96</v>
      </c>
      <c r="N92" s="639"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640"/>
      <c r="B94" s="640"/>
      <c r="C94" s="640"/>
      <c r="D94" s="640"/>
      <c r="E94" s="640"/>
      <c r="F94" s="640"/>
      <c r="G94" s="640"/>
      <c r="H94" s="640"/>
      <c r="I94" s="640"/>
      <c r="N94" s="641"/>
      <c r="O94" s="641"/>
      <c r="P94" s="641"/>
      <c r="Q94" s="641"/>
      <c r="R94" s="641"/>
      <c r="S94" s="641"/>
      <c r="T94" s="641"/>
      <c r="U94" s="641"/>
    </row>
    <row r="95" spans="1:21" x14ac:dyDescent="0.25">
      <c r="A95" s="745" t="s">
        <v>459</v>
      </c>
      <c r="C95" s="642"/>
      <c r="D95" s="626"/>
      <c r="E95" s="683" t="s">
        <v>102</v>
      </c>
      <c r="F95" s="774"/>
      <c r="G95" s="774"/>
      <c r="H95" s="774"/>
      <c r="I95" s="774"/>
      <c r="N95" s="860" t="s">
        <v>459</v>
      </c>
      <c r="O95" s="840"/>
      <c r="P95" s="840"/>
      <c r="Q95" s="879"/>
      <c r="R95" s="879"/>
      <c r="S95" s="879"/>
      <c r="T95" s="879"/>
      <c r="U95" s="122"/>
    </row>
    <row r="96" spans="1:21" x14ac:dyDescent="0.25">
      <c r="B96" s="626"/>
      <c r="C96" s="600" t="s">
        <v>435</v>
      </c>
      <c r="D96" s="669" t="s">
        <v>436</v>
      </c>
      <c r="E96" s="108" t="s">
        <v>153</v>
      </c>
      <c r="F96" s="642"/>
      <c r="G96" s="642"/>
      <c r="H96" s="642"/>
      <c r="I96" s="642"/>
      <c r="N96" s="631"/>
      <c r="O96" s="631"/>
      <c r="P96" s="631"/>
      <c r="Q96" s="643"/>
      <c r="R96" s="643"/>
      <c r="S96" s="643"/>
      <c r="T96" s="643"/>
      <c r="U96" s="122"/>
    </row>
    <row r="97" spans="1:21" x14ac:dyDescent="0.25">
      <c r="B97" s="626"/>
      <c r="C97" s="624" t="s">
        <v>2</v>
      </c>
      <c r="D97" s="622" t="s">
        <v>2</v>
      </c>
      <c r="E97" s="622" t="s">
        <v>2</v>
      </c>
      <c r="F97" s="642"/>
      <c r="G97" s="642"/>
      <c r="H97" s="642"/>
      <c r="I97" s="642"/>
      <c r="N97" s="631"/>
      <c r="O97" s="631"/>
      <c r="P97" s="631"/>
      <c r="Q97" s="643"/>
      <c r="R97" s="643"/>
      <c r="S97" s="643"/>
      <c r="T97" s="643"/>
      <c r="U97" s="122"/>
    </row>
    <row r="98" spans="1:21" x14ac:dyDescent="0.25">
      <c r="A98" s="767" t="s">
        <v>66</v>
      </c>
      <c r="B98" s="767"/>
      <c r="C98" s="192">
        <v>0</v>
      </c>
      <c r="D98" s="192">
        <v>0</v>
      </c>
      <c r="E98" s="147">
        <f>(C98+D98)/2</f>
        <v>0</v>
      </c>
      <c r="F98" s="173" t="s">
        <v>39</v>
      </c>
      <c r="G98" s="546">
        <f>'0664'!G98</f>
        <v>486</v>
      </c>
      <c r="I98" s="120">
        <f>ROUND(G98*E98,2)</f>
        <v>0</v>
      </c>
      <c r="N98" s="873" t="s">
        <v>66</v>
      </c>
      <c r="O98" s="873"/>
      <c r="P98" s="874">
        <f>IF(H116=1,E98,0)</f>
        <v>0</v>
      </c>
      <c r="Q98" s="874"/>
      <c r="R98" s="874"/>
      <c r="S98" s="651"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651" t="s">
        <v>39</v>
      </c>
      <c r="T99" s="72">
        <f>G99</f>
        <v>1498</v>
      </c>
      <c r="U99" s="115">
        <f>ROUND(T99*P99,0)</f>
        <v>0</v>
      </c>
    </row>
    <row r="100" spans="1:21" x14ac:dyDescent="0.25">
      <c r="A100" s="174"/>
      <c r="B100" s="174"/>
      <c r="C100" s="89"/>
      <c r="D100" s="89"/>
      <c r="E100" s="89"/>
      <c r="F100" s="89"/>
      <c r="G100" s="175"/>
      <c r="H100" s="176"/>
      <c r="I100" s="120"/>
      <c r="N100" s="638"/>
      <c r="O100" s="638"/>
      <c r="P100" s="178"/>
      <c r="Q100" s="178"/>
      <c r="R100" s="178"/>
      <c r="S100" s="651"/>
      <c r="T100" s="72"/>
      <c r="U100" s="122"/>
    </row>
    <row r="101" spans="1:21" x14ac:dyDescent="0.25">
      <c r="A101" s="174"/>
      <c r="B101" s="174"/>
      <c r="C101" s="89"/>
      <c r="D101" s="89"/>
      <c r="E101" s="89"/>
      <c r="F101" s="89"/>
      <c r="G101" s="175"/>
      <c r="H101" s="176"/>
      <c r="I101" s="120"/>
      <c r="N101" s="638"/>
      <c r="O101" s="638"/>
      <c r="P101" s="178"/>
      <c r="Q101" s="178"/>
      <c r="R101" s="178"/>
      <c r="S101" s="651"/>
      <c r="T101" s="72"/>
      <c r="U101" s="122"/>
    </row>
    <row r="102" spans="1:21" hidden="1" x14ac:dyDescent="0.25">
      <c r="A102" s="765" t="s">
        <v>374</v>
      </c>
      <c r="B102" s="764"/>
      <c r="C102" s="764"/>
      <c r="D102" s="626"/>
      <c r="E102" s="686" t="s">
        <v>41</v>
      </c>
      <c r="F102" s="780"/>
      <c r="G102" s="780"/>
      <c r="H102" s="780"/>
      <c r="I102" s="780"/>
      <c r="N102" s="860" t="s">
        <v>383</v>
      </c>
      <c r="O102" s="840"/>
      <c r="P102" s="840"/>
      <c r="Q102" s="840"/>
      <c r="R102" s="840"/>
      <c r="S102" s="840"/>
      <c r="T102" s="840"/>
      <c r="U102" s="840"/>
    </row>
    <row r="103" spans="1:21" hidden="1" x14ac:dyDescent="0.25">
      <c r="B103" s="626"/>
      <c r="C103" s="776" t="s">
        <v>93</v>
      </c>
      <c r="D103" s="776"/>
      <c r="E103" s="776"/>
      <c r="F103" s="644"/>
      <c r="G103" s="644"/>
      <c r="H103" s="661" t="s">
        <v>154</v>
      </c>
      <c r="I103" s="644"/>
      <c r="N103" s="631"/>
      <c r="O103" s="631"/>
      <c r="P103" s="631"/>
      <c r="Q103" s="631"/>
      <c r="R103" s="631"/>
      <c r="S103" s="631"/>
      <c r="T103" s="631"/>
      <c r="U103" s="631"/>
    </row>
    <row r="104" spans="1:21" hidden="1" x14ac:dyDescent="0.25">
      <c r="B104" s="626"/>
      <c r="C104" s="600" t="s">
        <v>392</v>
      </c>
      <c r="D104" s="600" t="s">
        <v>370</v>
      </c>
      <c r="E104" s="185" t="s">
        <v>8</v>
      </c>
      <c r="F104" s="883" t="s">
        <v>155</v>
      </c>
      <c r="G104" s="770"/>
      <c r="H104" s="634" t="s">
        <v>38</v>
      </c>
      <c r="I104" s="644"/>
      <c r="N104" s="631"/>
      <c r="O104" s="631"/>
      <c r="P104" s="631"/>
      <c r="Q104" s="631"/>
      <c r="R104" s="631"/>
      <c r="S104" s="631"/>
      <c r="T104" s="631"/>
      <c r="U104" s="631"/>
    </row>
    <row r="105" spans="1:21" hidden="1" x14ac:dyDescent="0.25">
      <c r="A105" s="776" t="s">
        <v>96</v>
      </c>
      <c r="B105" s="776"/>
      <c r="C105" s="601" t="s">
        <v>2</v>
      </c>
      <c r="D105" s="601" t="s">
        <v>2</v>
      </c>
      <c r="E105" s="637" t="s">
        <v>2</v>
      </c>
      <c r="F105" s="776" t="s">
        <v>37</v>
      </c>
      <c r="G105" s="776"/>
      <c r="H105" s="637" t="s">
        <v>37</v>
      </c>
      <c r="I105" s="637" t="s">
        <v>8</v>
      </c>
      <c r="N105" s="859" t="s">
        <v>67</v>
      </c>
      <c r="O105" s="859"/>
      <c r="P105" s="874" t="s">
        <v>93</v>
      </c>
      <c r="Q105" s="874"/>
      <c r="R105" s="859" t="s">
        <v>68</v>
      </c>
      <c r="S105" s="859"/>
      <c r="T105" s="633" t="s">
        <v>69</v>
      </c>
      <c r="U105" s="633"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idden="1" x14ac:dyDescent="0.25">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634"/>
      <c r="B110" s="634"/>
      <c r="C110" s="81"/>
      <c r="D110" s="81"/>
      <c r="E110" s="81"/>
      <c r="F110" s="81"/>
      <c r="G110" s="81"/>
      <c r="H110" s="81"/>
      <c r="I110" s="120"/>
      <c r="N110" s="635"/>
      <c r="O110" s="635"/>
      <c r="P110" s="82"/>
      <c r="Q110" s="82"/>
      <c r="R110" s="82"/>
      <c r="S110" s="82"/>
      <c r="T110" s="82"/>
      <c r="U110" s="187"/>
    </row>
    <row r="111" spans="1:21" x14ac:dyDescent="0.25">
      <c r="A111" s="765" t="s">
        <v>460</v>
      </c>
      <c r="B111" s="764"/>
      <c r="C111" s="764"/>
      <c r="D111" s="62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62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626"/>
      <c r="C113" s="626"/>
      <c r="D113" s="626"/>
      <c r="E113" s="628"/>
      <c r="F113" s="628"/>
      <c r="G113" s="628"/>
      <c r="H113" s="628"/>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2565339.9500000002</v>
      </c>
      <c r="N114" s="629"/>
      <c r="O114" s="629"/>
      <c r="P114" s="629"/>
      <c r="Q114" s="629"/>
      <c r="R114" s="629"/>
      <c r="S114" s="629"/>
      <c r="T114" s="629"/>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626"/>
      <c r="C117" s="626"/>
      <c r="D117" s="626"/>
      <c r="E117" s="626"/>
      <c r="F117" s="626"/>
      <c r="G117" s="626"/>
      <c r="H117" s="89"/>
      <c r="I117" s="120"/>
      <c r="N117" s="88" t="s">
        <v>108</v>
      </c>
      <c r="O117" s="88"/>
      <c r="P117" s="88"/>
      <c r="Q117" s="88"/>
      <c r="R117" s="88"/>
      <c r="S117" s="88"/>
      <c r="T117" s="88"/>
      <c r="U117" s="88"/>
    </row>
    <row r="118" spans="1:21" x14ac:dyDescent="0.25">
      <c r="A118" s="3" t="s">
        <v>104</v>
      </c>
      <c r="B118" s="626"/>
      <c r="C118" s="626"/>
      <c r="D118" s="626"/>
      <c r="E118" s="626"/>
      <c r="F118" s="626"/>
      <c r="G118" s="396"/>
      <c r="H118" s="188">
        <f>IF(H116=1,I116,I114)</f>
        <v>2565339.9500000002</v>
      </c>
      <c r="I118" s="113">
        <f>ROUND(IF(E29=0,0,IF(E29&gt;250,-(((250/E29)*H118)*IF(G118="H",0.02,0.05)),IF(G118="H",-0.02*H118,-0.05*H118))),2)</f>
        <v>-100712.15</v>
      </c>
      <c r="N118" s="90" t="s">
        <v>109</v>
      </c>
      <c r="O118" s="88"/>
      <c r="P118" s="88"/>
      <c r="Q118" s="88"/>
      <c r="R118" s="88"/>
      <c r="S118" s="88"/>
      <c r="T118" s="88"/>
      <c r="U118" s="88"/>
    </row>
    <row r="119" spans="1:21" x14ac:dyDescent="0.25">
      <c r="B119" s="626"/>
      <c r="C119" s="626"/>
      <c r="D119" s="626"/>
      <c r="E119" s="626"/>
      <c r="F119" s="626"/>
      <c r="G119" s="626"/>
      <c r="H119" s="89"/>
      <c r="I119" s="120"/>
      <c r="N119" s="627"/>
      <c r="O119" s="627"/>
      <c r="P119" s="627"/>
      <c r="Q119" s="627"/>
      <c r="R119" s="627"/>
      <c r="S119" s="627"/>
      <c r="T119" s="627"/>
      <c r="U119" s="627"/>
    </row>
    <row r="120" spans="1:21" x14ac:dyDescent="0.25">
      <c r="A120" s="552" t="s">
        <v>105</v>
      </c>
      <c r="B120" s="553"/>
      <c r="C120" s="553"/>
      <c r="D120" s="553"/>
      <c r="E120" s="553"/>
      <c r="F120" s="553"/>
      <c r="G120" s="553"/>
      <c r="H120" s="554"/>
      <c r="I120" s="555">
        <f>I114+I118</f>
        <v>2464627.8000000003</v>
      </c>
      <c r="N120" s="627"/>
      <c r="O120" s="627"/>
      <c r="P120" s="627"/>
      <c r="Q120" s="627"/>
      <c r="R120" s="627"/>
      <c r="S120" s="627"/>
      <c r="T120" s="627"/>
      <c r="U120" s="627"/>
    </row>
    <row r="121" spans="1:21" x14ac:dyDescent="0.25">
      <c r="B121" s="626"/>
      <c r="C121" s="626"/>
      <c r="D121" s="626"/>
      <c r="E121" s="626"/>
      <c r="F121" s="626"/>
      <c r="G121" s="626"/>
      <c r="H121" s="89"/>
      <c r="I121" s="120"/>
      <c r="N121" s="627"/>
      <c r="O121" s="627"/>
      <c r="P121" s="627"/>
      <c r="Q121" s="627"/>
      <c r="R121" s="627"/>
      <c r="S121" s="627"/>
      <c r="T121" s="627"/>
      <c r="U121" s="627"/>
    </row>
    <row r="122" spans="1:21" x14ac:dyDescent="0.25">
      <c r="A122" s="625" t="s">
        <v>308</v>
      </c>
      <c r="B122" s="626"/>
      <c r="C122" s="189"/>
      <c r="D122" s="626"/>
      <c r="F122" s="626"/>
      <c r="G122" s="626"/>
      <c r="H122" s="89"/>
      <c r="I122" s="427">
        <v>-2464927.12</v>
      </c>
      <c r="N122" s="627"/>
      <c r="O122" s="627"/>
      <c r="P122" s="627"/>
      <c r="Q122" s="627"/>
      <c r="R122" s="627"/>
      <c r="S122" s="627"/>
      <c r="T122" s="627"/>
      <c r="U122" s="627"/>
    </row>
    <row r="123" spans="1:21" x14ac:dyDescent="0.25">
      <c r="B123" s="626"/>
      <c r="C123" s="626"/>
      <c r="D123" s="626"/>
      <c r="E123" s="626"/>
      <c r="F123" s="626"/>
      <c r="G123" s="626"/>
      <c r="H123" s="89"/>
      <c r="I123" s="120"/>
      <c r="N123" s="627"/>
      <c r="O123" s="627"/>
      <c r="P123" s="627"/>
      <c r="Q123" s="627"/>
      <c r="R123" s="627"/>
      <c r="S123" s="627"/>
      <c r="T123" s="627"/>
      <c r="U123" s="627"/>
    </row>
    <row r="124" spans="1:21" x14ac:dyDescent="0.25">
      <c r="A124" s="625" t="s">
        <v>313</v>
      </c>
      <c r="B124" s="626"/>
      <c r="C124" s="626"/>
      <c r="D124" s="626"/>
      <c r="E124" s="626"/>
      <c r="F124" s="626"/>
      <c r="G124" s="626"/>
      <c r="H124" s="89"/>
      <c r="I124" s="414">
        <f>I120+I122</f>
        <v>-299.31999999983236</v>
      </c>
      <c r="N124" s="627"/>
      <c r="O124" s="627"/>
      <c r="P124" s="627"/>
      <c r="Q124" s="627"/>
      <c r="R124" s="627"/>
      <c r="S124" s="627"/>
      <c r="T124" s="627"/>
      <c r="U124" s="627"/>
    </row>
    <row r="125" spans="1:21" x14ac:dyDescent="0.25">
      <c r="A125" s="625"/>
      <c r="B125" s="626"/>
      <c r="C125" s="626"/>
      <c r="D125" s="626"/>
      <c r="E125" s="626"/>
      <c r="F125" s="626"/>
      <c r="G125" s="626"/>
      <c r="H125" s="89"/>
      <c r="I125" s="414"/>
      <c r="N125" s="627"/>
      <c r="O125" s="627"/>
      <c r="P125" s="627"/>
      <c r="Q125" s="627"/>
      <c r="R125" s="627"/>
      <c r="S125" s="627"/>
      <c r="T125" s="627"/>
      <c r="U125" s="627"/>
    </row>
    <row r="126" spans="1:21" x14ac:dyDescent="0.25">
      <c r="A126" s="625" t="s">
        <v>314</v>
      </c>
      <c r="B126" s="626"/>
      <c r="C126" s="626"/>
      <c r="D126" s="626"/>
      <c r="E126" s="626"/>
      <c r="F126" s="626"/>
      <c r="G126" s="626"/>
      <c r="H126" s="89"/>
      <c r="I126" s="426">
        <f>'0664'!I126</f>
        <v>1</v>
      </c>
      <c r="N126" s="627"/>
      <c r="O126" s="627"/>
      <c r="P126" s="627"/>
      <c r="Q126" s="627"/>
      <c r="R126" s="627"/>
      <c r="S126" s="627"/>
      <c r="T126" s="627"/>
      <c r="U126" s="627"/>
    </row>
    <row r="127" spans="1:21" x14ac:dyDescent="0.25">
      <c r="B127" s="626"/>
      <c r="C127" s="626"/>
      <c r="D127" s="626"/>
      <c r="E127" s="626"/>
      <c r="F127" s="626"/>
      <c r="G127" s="626"/>
      <c r="H127" s="89"/>
      <c r="I127" s="120"/>
      <c r="N127" s="627"/>
      <c r="O127" s="627"/>
      <c r="P127" s="627"/>
      <c r="Q127" s="627"/>
      <c r="R127" s="627"/>
      <c r="S127" s="627"/>
      <c r="T127" s="627"/>
      <c r="U127" s="627"/>
    </row>
    <row r="128" spans="1:21" ht="16.5" thickBot="1" x14ac:dyDescent="0.3">
      <c r="A128" s="3" t="s">
        <v>107</v>
      </c>
      <c r="B128" s="626"/>
      <c r="C128" s="626"/>
      <c r="D128" s="626"/>
      <c r="E128" s="626"/>
      <c r="F128" s="626"/>
      <c r="G128" s="626"/>
      <c r="H128" s="89"/>
      <c r="I128" s="205">
        <f>ROUND(I124/I126,2)</f>
        <v>-299.32</v>
      </c>
      <c r="N128" s="627"/>
      <c r="O128" s="627"/>
      <c r="P128" s="627"/>
      <c r="Q128" s="627"/>
      <c r="R128" s="627"/>
      <c r="S128" s="627"/>
      <c r="T128" s="627"/>
      <c r="U128" s="627"/>
    </row>
    <row r="129" spans="1:21" ht="16.5" thickTop="1" x14ac:dyDescent="0.25">
      <c r="B129" s="626"/>
      <c r="C129" s="626"/>
      <c r="D129" s="626"/>
      <c r="E129" s="626"/>
      <c r="F129" s="626"/>
      <c r="G129" s="626"/>
      <c r="H129" s="89"/>
      <c r="I129" s="120"/>
      <c r="N129" s="627"/>
      <c r="O129" s="627"/>
      <c r="P129" s="627"/>
      <c r="Q129" s="627"/>
      <c r="R129" s="627"/>
      <c r="S129" s="627"/>
      <c r="T129" s="627"/>
      <c r="U129" s="627"/>
    </row>
    <row r="130" spans="1:21" ht="16.5" thickBot="1" x14ac:dyDescent="0.3">
      <c r="A130" s="3" t="s">
        <v>123</v>
      </c>
      <c r="B130" s="626"/>
      <c r="C130" s="626"/>
      <c r="D130" s="626"/>
      <c r="E130" s="626"/>
      <c r="F130" s="626"/>
      <c r="G130" s="626"/>
      <c r="H130" s="89"/>
      <c r="I130" s="180">
        <f>ROUND(IF(G118="H",(H118*0.02)+I118,(H118*0.05)+I118),2)</f>
        <v>27554.85</v>
      </c>
      <c r="N130" s="627"/>
      <c r="O130" s="627"/>
      <c r="P130" s="627"/>
      <c r="Q130" s="627"/>
      <c r="R130" s="627"/>
      <c r="S130" s="627"/>
      <c r="T130" s="627"/>
      <c r="U130" s="627"/>
    </row>
    <row r="131" spans="1:21" ht="16.5" thickTop="1" x14ac:dyDescent="0.25">
      <c r="B131" s="626"/>
      <c r="C131" s="626"/>
      <c r="D131" s="626"/>
      <c r="E131" s="626"/>
      <c r="F131" s="626"/>
      <c r="G131" s="626"/>
      <c r="H131" s="89"/>
      <c r="I131" s="181"/>
      <c r="N131" s="627"/>
      <c r="O131" s="627"/>
      <c r="P131" s="627"/>
      <c r="Q131" s="627"/>
      <c r="R131" s="627"/>
      <c r="S131" s="627"/>
      <c r="T131" s="627"/>
      <c r="U131" s="627"/>
    </row>
    <row r="132" spans="1:21" x14ac:dyDescent="0.25">
      <c r="B132" s="626"/>
      <c r="C132" s="626"/>
      <c r="D132" s="626"/>
      <c r="E132" s="626"/>
      <c r="F132" s="626"/>
      <c r="G132" s="626"/>
      <c r="H132" s="89"/>
      <c r="I132" s="120"/>
      <c r="N132" s="627"/>
      <c r="O132" s="627"/>
      <c r="P132" s="627"/>
      <c r="Q132" s="627"/>
      <c r="R132" s="627"/>
      <c r="S132" s="627"/>
      <c r="T132" s="627"/>
      <c r="U132" s="627"/>
    </row>
    <row r="133" spans="1:21" x14ac:dyDescent="0.25">
      <c r="B133" s="626"/>
      <c r="C133" s="626"/>
      <c r="D133" s="626"/>
      <c r="E133" s="626"/>
      <c r="F133" s="626"/>
      <c r="G133" s="626"/>
      <c r="H133" s="89"/>
      <c r="I133" s="181"/>
      <c r="N133" s="627"/>
      <c r="O133" s="627"/>
      <c r="P133" s="627"/>
      <c r="Q133" s="627"/>
      <c r="R133" s="627"/>
      <c r="S133" s="627"/>
      <c r="T133" s="627"/>
      <c r="U133" s="627"/>
    </row>
    <row r="134" spans="1:21" x14ac:dyDescent="0.25">
      <c r="A134" s="492" t="s">
        <v>7</v>
      </c>
      <c r="B134" s="492"/>
      <c r="C134" s="492"/>
      <c r="D134" s="492"/>
      <c r="E134" s="492"/>
      <c r="F134" s="492"/>
      <c r="G134" s="492"/>
      <c r="H134" s="492"/>
      <c r="I134" s="492"/>
      <c r="J134" s="182"/>
      <c r="N134" s="627"/>
      <c r="O134" s="627"/>
      <c r="P134" s="627"/>
      <c r="Q134" s="627"/>
      <c r="R134" s="627"/>
      <c r="S134" s="627"/>
      <c r="T134" s="627"/>
      <c r="U134" s="627"/>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627"/>
      <c r="O136" s="627"/>
      <c r="P136" s="627"/>
      <c r="Q136" s="627"/>
      <c r="R136" s="627"/>
      <c r="S136" s="627"/>
      <c r="T136" s="627"/>
      <c r="U136" s="627"/>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c r="K187" s="390"/>
    </row>
    <row r="188" spans="1:14" x14ac:dyDescent="0.25">
      <c r="A188" s="93"/>
      <c r="K188" s="390"/>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 ref="F12:G12"/>
    <mergeCell ref="N12:O12"/>
    <mergeCell ref="P12:Q12"/>
    <mergeCell ref="R12:S12"/>
    <mergeCell ref="A13:B13"/>
    <mergeCell ref="F13:G13"/>
    <mergeCell ref="N13:O13"/>
    <mergeCell ref="P13:Q13"/>
    <mergeCell ref="R13:S13"/>
    <mergeCell ref="A12:B12"/>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82:C82"/>
    <mergeCell ref="N82:P82"/>
    <mergeCell ref="A86:I86"/>
    <mergeCell ref="N86:U86"/>
    <mergeCell ref="A79:C79"/>
    <mergeCell ref="N79:P79"/>
    <mergeCell ref="A80:C80"/>
    <mergeCell ref="N80:P80"/>
    <mergeCell ref="A81:C81"/>
    <mergeCell ref="N81:P81"/>
    <mergeCell ref="C87:D87"/>
    <mergeCell ref="A84:C84"/>
    <mergeCell ref="N84:P84"/>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A98:B98"/>
    <mergeCell ref="N98:O98"/>
    <mergeCell ref="P98:R98"/>
    <mergeCell ref="A99:B99"/>
    <mergeCell ref="N99:O99"/>
    <mergeCell ref="P99:R99"/>
    <mergeCell ref="A102:C102"/>
    <mergeCell ref="F102:I102"/>
    <mergeCell ref="N102:U102"/>
    <mergeCell ref="C103:E103"/>
    <mergeCell ref="F104:G104"/>
    <mergeCell ref="A105:B105"/>
    <mergeCell ref="F105:G105"/>
    <mergeCell ref="N105:O105"/>
    <mergeCell ref="P105:Q105"/>
    <mergeCell ref="R105:S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N109:O109"/>
    <mergeCell ref="A111:C111"/>
    <mergeCell ref="F111:H111"/>
    <mergeCell ref="N111:P111"/>
    <mergeCell ref="A112:C112"/>
    <mergeCell ref="F112:H112"/>
    <mergeCell ref="N112:P112"/>
    <mergeCell ref="N135:U135"/>
    <mergeCell ref="N113:T113"/>
    <mergeCell ref="A114:H114"/>
    <mergeCell ref="A115:G115"/>
    <mergeCell ref="N115:U115"/>
    <mergeCell ref="A116:G116"/>
    <mergeCell ref="N116:U11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U227"/>
  <sheetViews>
    <sheetView showGridLines="0" zoomScale="90" zoomScaleNormal="90" workbookViewId="0">
      <pane ySplit="1" topLeftCell="A59" activePane="bottomLeft" state="frozen"/>
      <selection activeCell="I118" sqref="I118"/>
      <selection pane="bottomLeft" activeCell="F77" sqref="F77"/>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156</v>
      </c>
      <c r="B2" s="2"/>
      <c r="C2" s="2"/>
      <c r="D2" s="2"/>
      <c r="E2" s="2"/>
      <c r="F2" s="2"/>
      <c r="G2" s="2"/>
      <c r="H2" s="2"/>
      <c r="I2" s="2"/>
      <c r="N2" s="824" t="s">
        <v>23</v>
      </c>
      <c r="O2" s="824"/>
      <c r="P2" s="824"/>
      <c r="Q2" s="824"/>
      <c r="R2" s="824"/>
      <c r="S2" s="824"/>
      <c r="T2" s="824"/>
      <c r="U2" s="824"/>
    </row>
    <row r="3" spans="1:21" x14ac:dyDescent="0.25">
      <c r="A3" s="393" t="s">
        <v>471</v>
      </c>
      <c r="N3" s="825" t="str">
        <f>A3</f>
        <v>Based on the FLDOE 2021-22 FEFP Final Calculation</v>
      </c>
      <c r="O3" s="825"/>
      <c r="P3" s="825"/>
      <c r="Q3" s="825"/>
      <c r="R3" s="825"/>
      <c r="S3" s="825"/>
      <c r="T3" s="825"/>
      <c r="U3" s="825"/>
    </row>
    <row r="4" spans="1:21" x14ac:dyDescent="0.25">
      <c r="A4" s="803" t="s">
        <v>0</v>
      </c>
      <c r="B4" s="803"/>
      <c r="C4" s="804" t="s">
        <v>9</v>
      </c>
      <c r="D4" s="804"/>
      <c r="E4" s="804"/>
      <c r="F4" s="599" t="s">
        <v>472</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
        <v>445</v>
      </c>
      <c r="B7" s="818"/>
      <c r="C7" s="818"/>
      <c r="D7" s="818"/>
      <c r="E7" s="818"/>
      <c r="F7" s="818"/>
      <c r="G7" s="818"/>
      <c r="H7" s="818"/>
      <c r="I7" s="818"/>
      <c r="N7" s="826" t="s">
        <v>88</v>
      </c>
      <c r="O7" s="826"/>
      <c r="P7" s="826"/>
      <c r="Q7" s="826"/>
      <c r="R7" s="826"/>
      <c r="S7" s="826"/>
      <c r="T7" s="826"/>
      <c r="U7" s="826"/>
    </row>
    <row r="8" spans="1:21" x14ac:dyDescent="0.25">
      <c r="A8" s="103"/>
      <c r="B8" s="104" t="s">
        <v>125</v>
      </c>
      <c r="C8" s="541">
        <v>4372.91</v>
      </c>
      <c r="D8" s="105"/>
      <c r="E8" s="106"/>
      <c r="F8" s="103"/>
      <c r="G8" s="104" t="s">
        <v>124</v>
      </c>
      <c r="H8" s="484">
        <v>1.0424</v>
      </c>
      <c r="I8" s="94"/>
      <c r="N8" s="835" t="s">
        <v>10</v>
      </c>
      <c r="O8" s="835"/>
      <c r="P8" s="836">
        <v>4154.45</v>
      </c>
      <c r="Q8" s="836"/>
      <c r="R8" s="837" t="s">
        <v>11</v>
      </c>
      <c r="S8" s="837"/>
      <c r="T8" s="838">
        <f>H8</f>
        <v>1.0424</v>
      </c>
      <c r="U8" s="838"/>
    </row>
    <row r="9" spans="1:21" x14ac:dyDescent="0.25">
      <c r="A9" s="7"/>
      <c r="B9" s="7" t="s">
        <v>391</v>
      </c>
      <c r="C9" s="8" t="s">
        <v>391</v>
      </c>
      <c r="D9" s="8" t="s">
        <v>391</v>
      </c>
      <c r="E9" s="8"/>
      <c r="F9" s="9"/>
      <c r="G9" s="9"/>
      <c r="H9" s="10"/>
      <c r="I9" s="623"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38" t="s">
        <v>1</v>
      </c>
      <c r="B11" s="38"/>
      <c r="C11" s="622" t="s">
        <v>2</v>
      </c>
      <c r="D11" s="622" t="s">
        <v>2</v>
      </c>
      <c r="E11" s="109"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13.44</v>
      </c>
      <c r="D13" s="190">
        <v>14.23</v>
      </c>
      <c r="E13" s="245">
        <f>IF(D$29=0,C13*2,C13+D13)</f>
        <v>27.67</v>
      </c>
      <c r="F13" s="819">
        <v>1.1259999999999999</v>
      </c>
      <c r="G13" s="819"/>
      <c r="H13" s="194">
        <f>ROUND(E13*F13,4)</f>
        <v>31.156400000000001</v>
      </c>
      <c r="I13" s="140">
        <f t="shared" ref="I13:I28" si="0">ROUND(ROUND(H13*$C$8,4)*($H$8),2)</f>
        <v>142020.88</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2.5299999999999998</v>
      </c>
      <c r="D14" s="192">
        <v>2.4700000000000002</v>
      </c>
      <c r="E14" s="147">
        <f t="shared" ref="E14:E28" si="3">IF(D$29=0,C14*2,C14+D14)</f>
        <v>5</v>
      </c>
      <c r="F14" s="815">
        <v>1.1259999999999999</v>
      </c>
      <c r="G14" s="815"/>
      <c r="H14" s="99">
        <f t="shared" ref="H14:H28" si="4">ROUND(E14*F14,4)</f>
        <v>5.63</v>
      </c>
      <c r="I14" s="120">
        <f t="shared" si="0"/>
        <v>25663.35</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15.11</v>
      </c>
      <c r="D15" s="192">
        <v>14.98</v>
      </c>
      <c r="E15" s="147">
        <f t="shared" si="3"/>
        <v>30.09</v>
      </c>
      <c r="F15" s="814">
        <v>1</v>
      </c>
      <c r="G15" s="814"/>
      <c r="H15" s="99">
        <f t="shared" si="4"/>
        <v>30.09</v>
      </c>
      <c r="I15" s="120">
        <f t="shared" si="0"/>
        <v>137159.89000000001</v>
      </c>
      <c r="N15" s="840" t="s">
        <v>31</v>
      </c>
      <c r="O15" s="840"/>
      <c r="P15" s="841">
        <f t="shared" si="1"/>
        <v>0</v>
      </c>
      <c r="Q15" s="841"/>
      <c r="R15" s="842">
        <v>1</v>
      </c>
      <c r="S15" s="842"/>
      <c r="T15" s="114">
        <f t="shared" si="5"/>
        <v>0</v>
      </c>
      <c r="U15" s="115">
        <f t="shared" si="2"/>
        <v>0</v>
      </c>
    </row>
    <row r="16" spans="1:21" x14ac:dyDescent="0.25">
      <c r="A16" s="764" t="s">
        <v>32</v>
      </c>
      <c r="B16" s="764"/>
      <c r="C16" s="192">
        <v>3.51</v>
      </c>
      <c r="D16" s="192">
        <v>3.5</v>
      </c>
      <c r="E16" s="147">
        <f t="shared" si="3"/>
        <v>7.01</v>
      </c>
      <c r="F16" s="814">
        <v>1</v>
      </c>
      <c r="G16" s="814"/>
      <c r="H16" s="99">
        <f t="shared" si="4"/>
        <v>7.01</v>
      </c>
      <c r="I16" s="120">
        <f t="shared" si="0"/>
        <v>31953.83</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8.08</v>
      </c>
      <c r="D25" s="192">
        <v>7.26</v>
      </c>
      <c r="E25" s="147">
        <f t="shared" si="3"/>
        <v>15.34</v>
      </c>
      <c r="F25" s="814">
        <v>1.1990000000000001</v>
      </c>
      <c r="G25" s="814"/>
      <c r="H25" s="99">
        <f t="shared" si="4"/>
        <v>18.392700000000001</v>
      </c>
      <c r="I25" s="120">
        <f t="shared" si="0"/>
        <v>83839.839999999997</v>
      </c>
      <c r="L25" s="390"/>
      <c r="N25" s="840" t="s">
        <v>116</v>
      </c>
      <c r="O25" s="840"/>
      <c r="P25" s="841">
        <f t="shared" si="1"/>
        <v>0</v>
      </c>
      <c r="Q25" s="841"/>
      <c r="R25" s="842">
        <v>1</v>
      </c>
      <c r="S25" s="842"/>
      <c r="T25" s="114">
        <f t="shared" si="5"/>
        <v>0</v>
      </c>
      <c r="U25" s="115">
        <f t="shared" si="2"/>
        <v>0</v>
      </c>
    </row>
    <row r="26" spans="1:21" x14ac:dyDescent="0.25">
      <c r="A26" s="764" t="s">
        <v>117</v>
      </c>
      <c r="B26" s="764"/>
      <c r="C26" s="192">
        <v>2.4300000000000002</v>
      </c>
      <c r="D26" s="192">
        <v>2.46</v>
      </c>
      <c r="E26" s="147">
        <f t="shared" si="3"/>
        <v>4.8900000000000006</v>
      </c>
      <c r="F26" s="814">
        <v>1.1990000000000001</v>
      </c>
      <c r="G26" s="814"/>
      <c r="H26" s="99">
        <f t="shared" si="4"/>
        <v>5.8631000000000002</v>
      </c>
      <c r="I26" s="120">
        <f t="shared" si="0"/>
        <v>26725.89</v>
      </c>
      <c r="L26" s="390"/>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45.099999999999994</v>
      </c>
      <c r="D29" s="113">
        <f>SUM(D13:D28)</f>
        <v>44.9</v>
      </c>
      <c r="E29" s="113">
        <f>SUM(E13:E28)</f>
        <v>90.000000000000014</v>
      </c>
      <c r="F29" s="820"/>
      <c r="G29" s="820"/>
      <c r="H29" s="118">
        <f>SUM(H13:H28)</f>
        <v>98.142200000000017</v>
      </c>
      <c r="I29" s="113">
        <f>SUM(I13:I28)</f>
        <v>447363.68000000005</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29"/>
      <c r="O30" s="29"/>
      <c r="P30" s="30"/>
      <c r="Q30" s="30"/>
      <c r="R30" s="31"/>
      <c r="S30" s="31"/>
      <c r="T30" s="121"/>
      <c r="U30" s="122"/>
    </row>
    <row r="31" spans="1:21" x14ac:dyDescent="0.25">
      <c r="A31" s="437" t="s">
        <v>318</v>
      </c>
      <c r="B31" s="27"/>
      <c r="C31" s="120"/>
      <c r="D31" s="120"/>
      <c r="E31" s="120"/>
      <c r="F31" s="326"/>
      <c r="G31" s="326"/>
      <c r="H31" s="99"/>
      <c r="I31" s="120"/>
      <c r="N31" s="29"/>
      <c r="O31" s="29"/>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16" t="s">
        <v>298</v>
      </c>
      <c r="G33" s="816"/>
      <c r="H33" s="816"/>
      <c r="I33" s="120"/>
      <c r="N33" s="324"/>
      <c r="O33" s="324"/>
      <c r="P33" s="30"/>
      <c r="Q33" s="30"/>
      <c r="R33" s="325"/>
      <c r="S33" s="325"/>
      <c r="T33" s="121"/>
      <c r="U33" s="122"/>
    </row>
    <row r="34" spans="1:21" ht="15.75" hidden="1" customHeight="1" x14ac:dyDescent="0.25">
      <c r="A34" s="3"/>
      <c r="B34" s="123"/>
      <c r="C34" s="123"/>
      <c r="D34" s="123"/>
      <c r="E34" s="123"/>
      <c r="F34" s="816"/>
      <c r="G34" s="816"/>
      <c r="H34" s="816"/>
      <c r="I34" s="25" t="str">
        <f>I9</f>
        <v>2021-22</v>
      </c>
      <c r="N34" s="853" t="s">
        <v>35</v>
      </c>
      <c r="O34" s="853"/>
      <c r="P34" s="853"/>
      <c r="Q34" s="853"/>
      <c r="R34" s="853"/>
      <c r="S34" s="853"/>
      <c r="T34" s="853"/>
      <c r="U34" s="26" t="s">
        <v>75</v>
      </c>
    </row>
    <row r="35" spans="1:21" hidden="1" x14ac:dyDescent="0.25">
      <c r="A35" s="27"/>
      <c r="B35" s="27"/>
      <c r="C35" s="600" t="s">
        <v>397</v>
      </c>
      <c r="D35" s="600"/>
      <c r="E35" s="108" t="s">
        <v>8</v>
      </c>
      <c r="F35" s="816"/>
      <c r="G35" s="816"/>
      <c r="H35" s="816"/>
      <c r="I35" s="25" t="s">
        <v>36</v>
      </c>
      <c r="N35" s="29"/>
      <c r="O35" s="29"/>
      <c r="P35" s="30"/>
      <c r="Q35" s="30"/>
      <c r="R35" s="31"/>
      <c r="S35" s="31"/>
      <c r="T35" s="121"/>
      <c r="U35" s="26" t="s">
        <v>36</v>
      </c>
    </row>
    <row r="36" spans="1:21" hidden="1" x14ac:dyDescent="0.25">
      <c r="A36" s="797" t="s">
        <v>64</v>
      </c>
      <c r="B36" s="797"/>
      <c r="C36" s="622" t="s">
        <v>2</v>
      </c>
      <c r="D36" s="622"/>
      <c r="E36" s="109" t="s">
        <v>2</v>
      </c>
      <c r="F36" s="817"/>
      <c r="G36" s="817"/>
      <c r="H36" s="817"/>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29"/>
      <c r="O44" s="29"/>
      <c r="P44" s="29"/>
      <c r="Q44" s="29"/>
      <c r="R44" s="35"/>
      <c r="S44" s="31"/>
      <c r="T44" s="31"/>
      <c r="U44" s="122"/>
    </row>
    <row r="45" spans="1:21" ht="16.5" hidden="1" thickBot="1" x14ac:dyDescent="0.3">
      <c r="A45" s="61"/>
      <c r="B45" s="127" t="s">
        <v>129</v>
      </c>
      <c r="C45" s="61"/>
      <c r="D45" s="61"/>
      <c r="E45" s="201">
        <f>H29+E43</f>
        <v>98.142200000000017</v>
      </c>
      <c r="F45" s="36"/>
      <c r="G45" s="128"/>
      <c r="H45" s="129" t="s">
        <v>131</v>
      </c>
      <c r="I45" s="113">
        <f>SUM(I43,I29)</f>
        <v>447363.68000000005</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29"/>
      <c r="O46" s="29"/>
      <c r="P46" s="29"/>
      <c r="Q46" s="29"/>
      <c r="R46" s="37"/>
      <c r="S46" s="31"/>
      <c r="T46" s="31"/>
      <c r="U46" s="122"/>
    </row>
    <row r="47" spans="1:21" x14ac:dyDescent="0.25">
      <c r="A47" s="27"/>
      <c r="B47" s="27" t="s">
        <v>391</v>
      </c>
      <c r="C47" s="8" t="s">
        <v>391</v>
      </c>
      <c r="D47" s="8" t="s">
        <v>391</v>
      </c>
      <c r="E47" s="27"/>
      <c r="F47" s="36"/>
      <c r="G47" s="131"/>
      <c r="H47" s="131"/>
      <c r="I47" s="120"/>
      <c r="N47" s="29"/>
      <c r="O47" s="29"/>
      <c r="P47" s="29"/>
      <c r="Q47" s="29"/>
      <c r="R47" s="37"/>
      <c r="S47" s="31"/>
      <c r="T47" s="31"/>
      <c r="U47" s="122"/>
    </row>
    <row r="48" spans="1:21" x14ac:dyDescent="0.25">
      <c r="A48" s="27"/>
      <c r="B48" s="27"/>
      <c r="C48" s="600" t="s">
        <v>435</v>
      </c>
      <c r="D48" s="669" t="s">
        <v>436</v>
      </c>
      <c r="E48" s="108" t="s">
        <v>8</v>
      </c>
      <c r="F48" s="132" t="s">
        <v>132</v>
      </c>
      <c r="G48" s="133" t="s">
        <v>134</v>
      </c>
      <c r="H48" s="134" t="s">
        <v>135</v>
      </c>
      <c r="I48" s="120"/>
      <c r="N48" s="29"/>
      <c r="O48" s="29"/>
      <c r="P48" s="29"/>
      <c r="Q48" s="29"/>
      <c r="R48" s="37"/>
      <c r="S48" s="31"/>
      <c r="T48" s="31"/>
      <c r="U48" s="122"/>
    </row>
    <row r="49" spans="1:21" x14ac:dyDescent="0.25">
      <c r="A49" s="38" t="s">
        <v>89</v>
      </c>
      <c r="B49" s="38"/>
      <c r="C49" s="622" t="s">
        <v>2</v>
      </c>
      <c r="D49" s="622" t="s">
        <v>2</v>
      </c>
      <c r="E49" s="601"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2.02</v>
      </c>
      <c r="D50" s="192">
        <v>2.06</v>
      </c>
      <c r="E50" s="147">
        <f>IF(D$59=0,C50*2,C50+D50)</f>
        <v>4.08</v>
      </c>
      <c r="F50" s="40" t="s">
        <v>21</v>
      </c>
      <c r="G50" s="41">
        <v>251</v>
      </c>
      <c r="H50" s="485">
        <v>1047</v>
      </c>
      <c r="I50" s="120">
        <f>ROUND(E50*H50,2)</f>
        <v>4271.76</v>
      </c>
      <c r="N50" s="863" t="s">
        <v>28</v>
      </c>
      <c r="O50" s="863"/>
      <c r="P50" s="864"/>
      <c r="Q50" s="864"/>
      <c r="R50" s="42" t="s">
        <v>21</v>
      </c>
      <c r="S50" s="43">
        <v>251</v>
      </c>
      <c r="T50" s="138">
        <f>H50</f>
        <v>1047</v>
      </c>
      <c r="U50" s="139">
        <f>ROUND(P50*T50,0)</f>
        <v>0</v>
      </c>
    </row>
    <row r="51" spans="1:21" x14ac:dyDescent="0.25">
      <c r="A51" s="792"/>
      <c r="B51" s="792"/>
      <c r="C51" s="192">
        <v>0.51</v>
      </c>
      <c r="D51" s="192">
        <v>0.41</v>
      </c>
      <c r="E51" s="147">
        <f t="shared" ref="E51:E58" si="10">IF(D$59=0,C51*2,C51+D51)</f>
        <v>0.91999999999999993</v>
      </c>
      <c r="F51" s="41" t="s">
        <v>21</v>
      </c>
      <c r="G51" s="41">
        <v>252</v>
      </c>
      <c r="H51" s="485">
        <v>3380</v>
      </c>
      <c r="I51" s="120">
        <f t="shared" ref="I51:I58" si="11">ROUND(E51*H51,2)</f>
        <v>3109.6</v>
      </c>
      <c r="K51" s="390"/>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41" t="s">
        <v>21</v>
      </c>
      <c r="G52" s="41">
        <v>253</v>
      </c>
      <c r="H52" s="485">
        <v>6896</v>
      </c>
      <c r="I52" s="120">
        <f t="shared" si="11"/>
        <v>0</v>
      </c>
      <c r="K52" s="390"/>
      <c r="N52" s="863"/>
      <c r="O52" s="863"/>
      <c r="P52" s="865"/>
      <c r="Q52" s="865"/>
      <c r="R52" s="43" t="s">
        <v>21</v>
      </c>
      <c r="S52" s="43">
        <v>253</v>
      </c>
      <c r="T52" s="138">
        <f t="shared" si="12"/>
        <v>6896</v>
      </c>
      <c r="U52" s="139">
        <f t="shared" si="13"/>
        <v>0</v>
      </c>
    </row>
    <row r="53" spans="1:21" x14ac:dyDescent="0.25">
      <c r="A53" s="792"/>
      <c r="B53" s="792"/>
      <c r="C53" s="192">
        <v>3.01</v>
      </c>
      <c r="D53" s="192">
        <v>3.08</v>
      </c>
      <c r="E53" s="147">
        <f t="shared" si="10"/>
        <v>6.09</v>
      </c>
      <c r="F53" s="44" t="s">
        <v>14</v>
      </c>
      <c r="G53" s="41">
        <v>251</v>
      </c>
      <c r="H53" s="485">
        <v>1173</v>
      </c>
      <c r="I53" s="120">
        <f t="shared" si="11"/>
        <v>7143.57</v>
      </c>
      <c r="N53" s="863"/>
      <c r="O53" s="863"/>
      <c r="P53" s="865"/>
      <c r="Q53" s="865"/>
      <c r="R53" s="45" t="s">
        <v>14</v>
      </c>
      <c r="S53" s="43">
        <v>251</v>
      </c>
      <c r="T53" s="138">
        <f t="shared" si="12"/>
        <v>1173</v>
      </c>
      <c r="U53" s="139">
        <f t="shared" si="13"/>
        <v>0</v>
      </c>
    </row>
    <row r="54" spans="1:21" x14ac:dyDescent="0.25">
      <c r="A54" s="792"/>
      <c r="B54" s="792"/>
      <c r="C54" s="192">
        <v>0.5</v>
      </c>
      <c r="D54" s="192">
        <v>0.42</v>
      </c>
      <c r="E54" s="147">
        <f t="shared" si="10"/>
        <v>0.91999999999999993</v>
      </c>
      <c r="F54" s="44" t="s">
        <v>14</v>
      </c>
      <c r="G54" s="41">
        <v>252</v>
      </c>
      <c r="H54" s="485">
        <v>3506</v>
      </c>
      <c r="I54" s="120">
        <f t="shared" si="11"/>
        <v>3225.52</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44" t="s">
        <v>14</v>
      </c>
      <c r="G55" s="41">
        <v>253</v>
      </c>
      <c r="H55" s="485">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44" t="s">
        <v>15</v>
      </c>
      <c r="G56" s="41">
        <v>251</v>
      </c>
      <c r="H56" s="485">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44" t="s">
        <v>15</v>
      </c>
      <c r="G57" s="41">
        <v>252</v>
      </c>
      <c r="H57" s="485">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44" t="s">
        <v>15</v>
      </c>
      <c r="G58" s="41">
        <v>253</v>
      </c>
      <c r="H58" s="485">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6.04</v>
      </c>
      <c r="D59" s="116">
        <f>SUM(D50:D58)</f>
        <v>5.9700000000000006</v>
      </c>
      <c r="E59" s="116">
        <f>SUM(E50:E58)</f>
        <v>12.01</v>
      </c>
      <c r="F59" s="767" t="s">
        <v>78</v>
      </c>
      <c r="G59" s="767"/>
      <c r="H59" s="767"/>
      <c r="I59" s="116">
        <f>SUM(I50:I58)</f>
        <v>17750.45</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325</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90.000000000000014</v>
      </c>
      <c r="D62" s="882" t="s">
        <v>137</v>
      </c>
      <c r="E62" s="882"/>
      <c r="F62" s="882"/>
      <c r="G62" s="882"/>
      <c r="H62" s="486">
        <v>190754.06</v>
      </c>
      <c r="I62" s="144"/>
      <c r="N62" s="860" t="s">
        <v>327</v>
      </c>
      <c r="O62" s="840"/>
      <c r="P62" s="46">
        <f>P29</f>
        <v>0</v>
      </c>
      <c r="Q62" s="861" t="s">
        <v>79</v>
      </c>
      <c r="R62" s="861"/>
      <c r="S62" s="861"/>
      <c r="T62" s="862">
        <f>H62</f>
        <v>190754.06</v>
      </c>
      <c r="U62" s="862"/>
    </row>
    <row r="63" spans="1:21" x14ac:dyDescent="0.25">
      <c r="B63" s="86"/>
      <c r="G63" s="47" t="s">
        <v>13</v>
      </c>
      <c r="H63" s="145">
        <f>ROUND(C62/H62,6)</f>
        <v>4.7199999999999998E-4</v>
      </c>
      <c r="I63" s="146"/>
      <c r="N63" s="840" t="s">
        <v>19</v>
      </c>
      <c r="O63" s="840"/>
      <c r="P63" s="840"/>
      <c r="Q63" s="840"/>
      <c r="R63" s="840"/>
      <c r="S63" s="840"/>
      <c r="T63" s="868">
        <f>ROUND(P62/T62,6)</f>
        <v>0</v>
      </c>
      <c r="U63" s="868"/>
    </row>
    <row r="64" spans="1:21" x14ac:dyDescent="0.25">
      <c r="A64" s="765" t="s">
        <v>326</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98.142200000000017</v>
      </c>
      <c r="D65" s="882" t="s">
        <v>142</v>
      </c>
      <c r="E65" s="882"/>
      <c r="F65" s="882"/>
      <c r="G65" s="882"/>
      <c r="H65" s="487">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4.5800000000000002E-4</v>
      </c>
      <c r="I66" s="149"/>
      <c r="N66" s="845" t="s">
        <v>20</v>
      </c>
      <c r="O66" s="845"/>
      <c r="P66" s="845"/>
      <c r="Q66" s="845"/>
      <c r="R66" s="845"/>
      <c r="S66" s="845"/>
      <c r="T66" s="867">
        <f>ROUND(P65/T65,6)</f>
        <v>0</v>
      </c>
      <c r="U66" s="867"/>
    </row>
    <row r="67" spans="1:21" s="61" customFormat="1" x14ac:dyDescent="0.25">
      <c r="A67" s="381"/>
      <c r="G67" s="47"/>
      <c r="H67" s="150"/>
      <c r="I67" s="150"/>
      <c r="N67" s="151"/>
      <c r="O67" s="151"/>
      <c r="P67" s="151"/>
      <c r="Q67" s="151"/>
      <c r="R67" s="152"/>
      <c r="S67" s="151"/>
      <c r="T67" s="153"/>
      <c r="U67" s="154"/>
    </row>
    <row r="68" spans="1:21" x14ac:dyDescent="0.25">
      <c r="A68" s="764" t="s">
        <v>87</v>
      </c>
      <c r="B68" s="764"/>
      <c r="C68" s="764"/>
      <c r="D68" s="86"/>
      <c r="E68" s="49" t="s">
        <v>3</v>
      </c>
      <c r="F68" s="489">
        <v>42029577</v>
      </c>
      <c r="G68" s="40" t="s">
        <v>6</v>
      </c>
      <c r="H68" s="155">
        <f>H63</f>
        <v>4.7199999999999998E-4</v>
      </c>
      <c r="I68" s="120">
        <f>ROUND(F68*H68,2)</f>
        <v>19837.96</v>
      </c>
      <c r="N68" s="840" t="s">
        <v>87</v>
      </c>
      <c r="O68" s="840"/>
      <c r="P68" s="840"/>
      <c r="Q68" s="50"/>
      <c r="R68" s="156">
        <f>F68</f>
        <v>42029577</v>
      </c>
      <c r="S68" s="42" t="s">
        <v>6</v>
      </c>
      <c r="T68" s="157">
        <f>T63</f>
        <v>0</v>
      </c>
      <c r="U68" s="115">
        <f>ROUND(R68*T68,0)</f>
        <v>0</v>
      </c>
    </row>
    <row r="69" spans="1:21" x14ac:dyDescent="0.25">
      <c r="A69" s="811" t="s">
        <v>98</v>
      </c>
      <c r="B69" s="764"/>
      <c r="C69" s="764"/>
      <c r="D69" s="86"/>
      <c r="E69" s="49"/>
      <c r="F69" s="429"/>
      <c r="G69" s="40"/>
      <c r="H69" s="155"/>
      <c r="I69" s="120"/>
      <c r="N69" s="840" t="s">
        <v>86</v>
      </c>
      <c r="O69" s="840"/>
      <c r="P69" s="840"/>
      <c r="Q69" s="158"/>
      <c r="R69" s="158"/>
      <c r="S69" s="158"/>
      <c r="T69" s="158"/>
      <c r="U69" s="158"/>
    </row>
    <row r="70" spans="1:21" x14ac:dyDescent="0.25">
      <c r="A70" s="813" t="s">
        <v>143</v>
      </c>
      <c r="B70" s="764"/>
      <c r="C70" s="764"/>
      <c r="D70" s="86"/>
      <c r="E70" s="49" t="s">
        <v>3</v>
      </c>
      <c r="F70" s="489">
        <v>0</v>
      </c>
      <c r="G70" s="40" t="s">
        <v>6</v>
      </c>
      <c r="H70" s="155">
        <f>H63</f>
        <v>4.7199999999999998E-4</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489">
        <v>146607</v>
      </c>
      <c r="G71" s="40" t="s">
        <v>6</v>
      </c>
      <c r="H71" s="155">
        <f>H63</f>
        <v>4.7199999999999998E-4</v>
      </c>
      <c r="I71" s="120">
        <f>IF(D71="Y",ROUND(F71*H71,2),0)</f>
        <v>69.2</v>
      </c>
      <c r="N71" s="840" t="s">
        <v>85</v>
      </c>
      <c r="O71" s="840"/>
      <c r="P71" s="840"/>
      <c r="Q71" s="50"/>
      <c r="R71" s="156">
        <f>F71</f>
        <v>146607</v>
      </c>
      <c r="S71" s="42" t="s">
        <v>6</v>
      </c>
      <c r="T71" s="157">
        <f>T63</f>
        <v>0</v>
      </c>
      <c r="U71" s="115">
        <f>ROUND(R71*T71,0)</f>
        <v>0</v>
      </c>
    </row>
    <row r="72" spans="1:21" x14ac:dyDescent="0.25">
      <c r="A72" s="764" t="s">
        <v>84</v>
      </c>
      <c r="B72" s="764"/>
      <c r="C72" s="764"/>
      <c r="D72" s="86"/>
      <c r="E72" s="49" t="s">
        <v>3</v>
      </c>
      <c r="F72" s="489">
        <v>11337910</v>
      </c>
      <c r="G72" s="40" t="s">
        <v>6</v>
      </c>
      <c r="H72" s="155">
        <f>H63</f>
        <v>4.7199999999999998E-4</v>
      </c>
      <c r="I72" s="120">
        <f>ROUND(F72*H72,2)</f>
        <v>5351.49</v>
      </c>
      <c r="N72" s="840" t="s">
        <v>84</v>
      </c>
      <c r="O72" s="840"/>
      <c r="P72" s="840"/>
      <c r="Q72" s="50"/>
      <c r="R72" s="156">
        <f>F72</f>
        <v>11337910</v>
      </c>
      <c r="S72" s="42" t="s">
        <v>6</v>
      </c>
      <c r="T72" s="157">
        <f>T63</f>
        <v>0</v>
      </c>
      <c r="U72" s="115">
        <f>ROUND(R72*T72,0)</f>
        <v>0</v>
      </c>
    </row>
    <row r="73" spans="1:21" x14ac:dyDescent="0.25">
      <c r="A73" s="764" t="s">
        <v>83</v>
      </c>
      <c r="B73" s="764"/>
      <c r="C73" s="764"/>
      <c r="D73" s="86"/>
      <c r="E73" s="49" t="s">
        <v>3</v>
      </c>
      <c r="F73" s="489">
        <v>13882385</v>
      </c>
      <c r="G73" s="40" t="s">
        <v>6</v>
      </c>
      <c r="H73" s="155">
        <f>H63</f>
        <v>4.7199999999999998E-4</v>
      </c>
      <c r="I73" s="120">
        <f>ROUND(F73*H73,2)</f>
        <v>6552.49</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v>0</v>
      </c>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489">
        <v>7462542</v>
      </c>
      <c r="G77" s="608" t="s">
        <v>6</v>
      </c>
      <c r="H77" s="155">
        <f>H63</f>
        <v>4.7199999999999998E-4</v>
      </c>
      <c r="I77" s="120">
        <f t="shared" ref="I77:I82" si="14">ROUND(F77*H77,2)</f>
        <v>3522.32</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489">
        <v>0</v>
      </c>
      <c r="G78" s="608" t="s">
        <v>6</v>
      </c>
      <c r="H78" s="155">
        <f>H63</f>
        <v>4.7199999999999998E-4</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49" t="s">
        <v>4</v>
      </c>
      <c r="F79" s="489">
        <v>0</v>
      </c>
      <c r="G79" s="40" t="s">
        <v>6</v>
      </c>
      <c r="H79" s="155">
        <f>H66</f>
        <v>4.5800000000000002E-4</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49" t="s">
        <v>4</v>
      </c>
      <c r="F80" s="489">
        <v>8562788</v>
      </c>
      <c r="G80" s="40" t="s">
        <v>6</v>
      </c>
      <c r="H80" s="155">
        <f>H66</f>
        <v>4.5800000000000002E-4</v>
      </c>
      <c r="I80" s="120">
        <f t="shared" si="14"/>
        <v>3921.76</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49" t="s">
        <v>4</v>
      </c>
      <c r="F81" s="489">
        <v>168663228</v>
      </c>
      <c r="G81" s="40" t="s">
        <v>6</v>
      </c>
      <c r="H81" s="155">
        <f>H66</f>
        <v>4.5800000000000002E-4</v>
      </c>
      <c r="I81" s="120">
        <f t="shared" si="14"/>
        <v>77247.759999999995</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49" t="s">
        <v>4</v>
      </c>
      <c r="F82" s="489">
        <v>0</v>
      </c>
      <c r="G82" s="40" t="s">
        <v>6</v>
      </c>
      <c r="H82" s="155">
        <f>H66</f>
        <v>4.5800000000000002E-4</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489"/>
      <c r="G83" s="445"/>
      <c r="H83" s="155"/>
      <c r="I83" s="120">
        <v>17275.740000000002</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489">
        <v>21614343</v>
      </c>
      <c r="G84" s="749" t="s">
        <v>6</v>
      </c>
      <c r="H84" s="155">
        <f>H63</f>
        <v>4.7199999999999998E-4</v>
      </c>
      <c r="I84" s="120">
        <f>ROUND(F84*H84,2)</f>
        <v>10201.969999999999</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44"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55.179100000000005</v>
      </c>
      <c r="D89" s="781"/>
      <c r="E89" s="54">
        <f>H8</f>
        <v>1.0424</v>
      </c>
      <c r="F89" s="490">
        <v>966.9</v>
      </c>
      <c r="G89" s="55" t="s">
        <v>13</v>
      </c>
      <c r="H89" s="120">
        <f>ROUND(C89*E89*F89,2)</f>
        <v>55614.83</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42.963100000000004</v>
      </c>
      <c r="D90" s="781"/>
      <c r="E90" s="54">
        <f>H8</f>
        <v>1.0424</v>
      </c>
      <c r="F90" s="490">
        <v>923.19</v>
      </c>
      <c r="G90" s="55" t="s">
        <v>13</v>
      </c>
      <c r="H90" s="120">
        <f>ROUND(C90*E90*F90,2)</f>
        <v>41344.82</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490">
        <v>925.42</v>
      </c>
      <c r="G91" s="55"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98.142200000000003</v>
      </c>
      <c r="D92" s="782"/>
      <c r="E92" s="168"/>
      <c r="F92" s="168"/>
      <c r="G92" s="168"/>
      <c r="H92" s="169" t="s">
        <v>145</v>
      </c>
      <c r="I92" s="120">
        <f>IF(A1=75,0,H91+H90+H89)</f>
        <v>96959.65</v>
      </c>
      <c r="N92" s="68"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49"/>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49"/>
      <c r="G96" s="49"/>
      <c r="H96" s="49"/>
      <c r="I96" s="49"/>
      <c r="N96" s="51"/>
      <c r="O96" s="51"/>
      <c r="P96" s="51"/>
      <c r="Q96" s="172"/>
      <c r="R96" s="172"/>
      <c r="S96" s="172"/>
      <c r="T96" s="172"/>
      <c r="U96" s="122"/>
    </row>
    <row r="97" spans="1:21" x14ac:dyDescent="0.25">
      <c r="B97" s="86"/>
      <c r="C97" s="622" t="s">
        <v>2</v>
      </c>
      <c r="D97" s="622" t="s">
        <v>2</v>
      </c>
      <c r="E97" s="601" t="s">
        <v>2</v>
      </c>
      <c r="F97" s="49"/>
      <c r="G97" s="49"/>
      <c r="H97" s="49"/>
      <c r="I97" s="49"/>
      <c r="N97" s="51"/>
      <c r="O97" s="51"/>
      <c r="P97" s="51"/>
      <c r="Q97" s="172"/>
      <c r="R97" s="172"/>
      <c r="S97" s="172"/>
      <c r="T97" s="172"/>
      <c r="U97" s="122"/>
    </row>
    <row r="98" spans="1:21" x14ac:dyDescent="0.25">
      <c r="A98" s="767" t="s">
        <v>66</v>
      </c>
      <c r="B98" s="767"/>
      <c r="C98" s="192">
        <v>0</v>
      </c>
      <c r="D98" s="192">
        <v>0</v>
      </c>
      <c r="E98" s="147">
        <f>(C98+D98)/2</f>
        <v>0</v>
      </c>
      <c r="F98" s="173" t="s">
        <v>39</v>
      </c>
      <c r="G98" s="491">
        <v>486</v>
      </c>
      <c r="I98" s="120">
        <f>ROUND(G98*E98,2)</f>
        <v>0</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491">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41"/>
      <c r="G103" s="41"/>
      <c r="H103" s="55" t="s">
        <v>154</v>
      </c>
      <c r="I103" s="41"/>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41"/>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4"/>
      <c r="F113" s="84"/>
      <c r="G113" s="84"/>
      <c r="H113" s="84"/>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706054.47000000009</v>
      </c>
      <c r="J114" s="390"/>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J115" s="390"/>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7"/>
      <c r="H118" s="188">
        <f>IF(H116=1,I116,I114)</f>
        <v>706054.47000000009</v>
      </c>
      <c r="I118" s="113">
        <f>ROUND(IF(E29=0,0,IF(E29&gt;250,-(((250/E29)*H118)*IF(G118="H",0.02,0.05)),IF(G118="H",-0.02*H118,-0.05*H118))),2)</f>
        <v>-35302.720000000001</v>
      </c>
      <c r="N118" s="90" t="s">
        <v>109</v>
      </c>
      <c r="O118" s="88"/>
      <c r="P118" s="88"/>
      <c r="Q118" s="88"/>
      <c r="R118" s="88"/>
      <c r="S118" s="88"/>
      <c r="T118" s="88"/>
      <c r="U118" s="88"/>
    </row>
    <row r="119" spans="1:21" x14ac:dyDescent="0.25">
      <c r="B119" s="86"/>
      <c r="C119" s="86"/>
      <c r="D119" s="86"/>
      <c r="E119" s="86"/>
      <c r="F119" s="86"/>
      <c r="G119" s="86"/>
      <c r="H119" s="89"/>
      <c r="I119" s="120"/>
      <c r="N119" s="91"/>
      <c r="O119" s="91"/>
      <c r="P119" s="91"/>
      <c r="Q119" s="91"/>
      <c r="R119" s="91"/>
      <c r="S119" s="91"/>
      <c r="T119" s="91"/>
      <c r="U119" s="91"/>
    </row>
    <row r="120" spans="1:21" x14ac:dyDescent="0.25">
      <c r="A120" s="552" t="s">
        <v>105</v>
      </c>
      <c r="B120" s="553"/>
      <c r="C120" s="553"/>
      <c r="D120" s="553"/>
      <c r="E120" s="553"/>
      <c r="F120" s="553"/>
      <c r="G120" s="553"/>
      <c r="H120" s="554"/>
      <c r="I120" s="555">
        <f>I114+I118</f>
        <v>670751.75000000012</v>
      </c>
      <c r="N120" s="91"/>
      <c r="O120" s="91"/>
      <c r="P120" s="91"/>
      <c r="Q120" s="91"/>
      <c r="R120" s="91"/>
      <c r="S120" s="91"/>
      <c r="T120" s="91"/>
      <c r="U120" s="91"/>
    </row>
    <row r="121" spans="1:21" x14ac:dyDescent="0.25">
      <c r="B121" s="86"/>
      <c r="C121" s="86"/>
      <c r="D121" s="86"/>
      <c r="E121" s="86"/>
      <c r="F121" s="86"/>
      <c r="G121" s="86"/>
      <c r="H121" s="89"/>
      <c r="I121" s="120"/>
      <c r="N121" s="91"/>
      <c r="O121" s="91"/>
      <c r="P121" s="91"/>
      <c r="Q121" s="91"/>
      <c r="R121" s="91"/>
      <c r="S121" s="91"/>
      <c r="T121" s="91"/>
      <c r="U121" s="91"/>
    </row>
    <row r="122" spans="1:21" x14ac:dyDescent="0.25">
      <c r="A122" s="3" t="s">
        <v>106</v>
      </c>
      <c r="B122" s="411"/>
      <c r="C122" s="189"/>
      <c r="D122" s="86"/>
      <c r="F122" s="86"/>
      <c r="G122" s="86"/>
      <c r="H122" s="89"/>
      <c r="I122" s="424">
        <v>-670203.49</v>
      </c>
      <c r="N122" s="91"/>
      <c r="O122" s="91"/>
      <c r="P122" s="91"/>
      <c r="Q122" s="91"/>
      <c r="R122" s="91"/>
      <c r="S122" s="91"/>
      <c r="T122" s="91"/>
      <c r="U122" s="91"/>
    </row>
    <row r="123" spans="1:21" x14ac:dyDescent="0.25">
      <c r="B123" s="86"/>
      <c r="C123" s="86"/>
      <c r="D123" s="86"/>
      <c r="E123" s="86"/>
      <c r="F123" s="86"/>
      <c r="G123" s="86"/>
      <c r="H123" s="89"/>
      <c r="I123" s="120"/>
      <c r="N123" s="91"/>
      <c r="O123" s="91"/>
      <c r="P123" s="91"/>
      <c r="Q123" s="91"/>
      <c r="R123" s="91"/>
      <c r="S123" s="91"/>
      <c r="T123" s="91"/>
      <c r="U123" s="91"/>
    </row>
    <row r="124" spans="1:21" x14ac:dyDescent="0.25">
      <c r="A124" s="3" t="s">
        <v>313</v>
      </c>
      <c r="B124" s="86"/>
      <c r="C124" s="86"/>
      <c r="D124" s="86"/>
      <c r="E124" s="86"/>
      <c r="F124" s="86"/>
      <c r="G124" s="86"/>
      <c r="H124" s="89"/>
      <c r="I124" s="120">
        <f>I120+I122</f>
        <v>548.26000000012573</v>
      </c>
      <c r="N124" s="91"/>
      <c r="O124" s="91"/>
      <c r="P124" s="91"/>
      <c r="Q124" s="91"/>
      <c r="R124" s="91"/>
      <c r="S124" s="91"/>
      <c r="T124" s="91"/>
      <c r="U124" s="91"/>
    </row>
    <row r="125" spans="1:21" x14ac:dyDescent="0.25">
      <c r="A125" s="3"/>
      <c r="B125" s="411"/>
      <c r="C125" s="411"/>
      <c r="D125" s="411"/>
      <c r="E125" s="411"/>
      <c r="F125" s="411"/>
      <c r="G125" s="411"/>
      <c r="H125" s="89"/>
      <c r="I125" s="120"/>
      <c r="N125" s="91"/>
      <c r="O125" s="91"/>
      <c r="P125" s="91"/>
      <c r="Q125" s="91"/>
      <c r="R125" s="91"/>
      <c r="S125" s="91"/>
      <c r="T125" s="91"/>
      <c r="U125" s="91"/>
    </row>
    <row r="126" spans="1:21" x14ac:dyDescent="0.25">
      <c r="A126" s="3" t="s">
        <v>314</v>
      </c>
      <c r="B126" s="411"/>
      <c r="C126" s="411"/>
      <c r="D126" s="411"/>
      <c r="E126" s="411"/>
      <c r="F126" s="411"/>
      <c r="G126" s="411"/>
      <c r="H126" s="89"/>
      <c r="I126" s="425">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548.26</v>
      </c>
      <c r="J128" s="3">
        <v>631.02</v>
      </c>
      <c r="K128" s="339">
        <f>J128-I128</f>
        <v>82.759999999999991</v>
      </c>
      <c r="N128" s="91"/>
      <c r="O128" s="91"/>
      <c r="P128" s="91"/>
      <c r="Q128" s="91"/>
      <c r="R128" s="91"/>
      <c r="S128" s="91"/>
      <c r="T128" s="91"/>
      <c r="U128" s="91"/>
    </row>
    <row r="129" spans="1:21" ht="16.5" thickTop="1" x14ac:dyDescent="0.25">
      <c r="B129" s="86"/>
      <c r="C129" s="86"/>
      <c r="D129" s="86"/>
      <c r="E129" s="86"/>
      <c r="F129" s="86"/>
      <c r="G129" s="86"/>
      <c r="H129" s="89"/>
      <c r="I129" s="120"/>
      <c r="N129" s="91"/>
      <c r="O129" s="91"/>
      <c r="P129" s="91"/>
      <c r="Q129" s="91"/>
      <c r="R129" s="91"/>
      <c r="S129" s="91"/>
      <c r="T129" s="91"/>
      <c r="U129" s="91"/>
    </row>
    <row r="130" spans="1:21" ht="16.5" thickBot="1" x14ac:dyDescent="0.3">
      <c r="A130" s="3" t="s">
        <v>123</v>
      </c>
      <c r="B130" s="86"/>
      <c r="C130" s="86"/>
      <c r="D130" s="86"/>
      <c r="E130" s="86"/>
      <c r="F130" s="86"/>
      <c r="G130" s="86"/>
      <c r="H130" s="89"/>
      <c r="I130" s="180">
        <f>ROUND(IF(G118="H",(H118*0.02)+I118,(H118*0.05)+I118),2)</f>
        <v>0</v>
      </c>
      <c r="N130" s="91"/>
      <c r="O130" s="91"/>
      <c r="P130" s="91"/>
      <c r="Q130" s="91"/>
      <c r="R130" s="91"/>
      <c r="S130" s="91"/>
      <c r="T130" s="91"/>
      <c r="U130" s="91"/>
    </row>
    <row r="131" spans="1:21" ht="16.5" thickTop="1" x14ac:dyDescent="0.25">
      <c r="B131" s="86"/>
      <c r="C131" s="86"/>
      <c r="D131" s="86"/>
      <c r="E131" s="86"/>
      <c r="F131" s="86"/>
      <c r="G131" s="86"/>
      <c r="H131" s="89"/>
      <c r="I131" s="181"/>
      <c r="N131" s="91"/>
      <c r="O131" s="91"/>
      <c r="P131" s="91"/>
      <c r="Q131" s="91"/>
      <c r="R131" s="91"/>
      <c r="S131" s="91"/>
      <c r="T131" s="91"/>
      <c r="U131" s="91"/>
    </row>
    <row r="132" spans="1:21" x14ac:dyDescent="0.25">
      <c r="B132" s="86"/>
      <c r="C132" s="86"/>
      <c r="D132" s="86"/>
      <c r="E132" s="86"/>
      <c r="F132" s="86"/>
      <c r="G132" s="86"/>
      <c r="H132" s="89"/>
      <c r="I132" s="120"/>
      <c r="N132" s="91"/>
      <c r="O132" s="91"/>
      <c r="P132" s="91"/>
      <c r="Q132" s="91"/>
      <c r="R132" s="91"/>
      <c r="S132" s="91"/>
      <c r="T132" s="91"/>
      <c r="U132" s="91"/>
    </row>
    <row r="133" spans="1:21" x14ac:dyDescent="0.25">
      <c r="B133" s="86"/>
      <c r="C133" s="86"/>
      <c r="D133" s="86"/>
      <c r="E133" s="86"/>
      <c r="F133" s="86"/>
      <c r="G133" s="86"/>
      <c r="H133" s="89"/>
      <c r="I133" s="181"/>
      <c r="N133" s="91"/>
      <c r="O133" s="91"/>
      <c r="P133" s="91"/>
      <c r="Q133" s="91"/>
      <c r="R133" s="91"/>
      <c r="S133" s="91"/>
      <c r="T133" s="91"/>
      <c r="U133" s="91"/>
    </row>
    <row r="134" spans="1:21" ht="12.75" customHeight="1" x14ac:dyDescent="0.25">
      <c r="A134" s="688" t="s">
        <v>7</v>
      </c>
      <c r="B134" s="688"/>
      <c r="C134" s="688"/>
      <c r="D134" s="688"/>
      <c r="E134" s="688"/>
      <c r="F134" s="688"/>
      <c r="G134" s="688"/>
      <c r="H134" s="688"/>
      <c r="I134" s="688"/>
      <c r="J134" s="182"/>
      <c r="N134" s="91"/>
      <c r="O134" s="91"/>
      <c r="P134" s="91"/>
      <c r="Q134" s="91"/>
      <c r="R134" s="91"/>
      <c r="S134" s="91"/>
      <c r="T134" s="91"/>
      <c r="U134" s="91"/>
    </row>
    <row r="135" spans="1:21" ht="12.75" customHeight="1" x14ac:dyDescent="0.25">
      <c r="A135" s="689" t="s">
        <v>328</v>
      </c>
      <c r="B135" s="690"/>
      <c r="C135" s="690"/>
      <c r="D135" s="690"/>
      <c r="E135" s="690"/>
      <c r="F135" s="690"/>
      <c r="G135" s="690"/>
      <c r="H135" s="690"/>
      <c r="I135" s="690"/>
      <c r="J135" s="96"/>
      <c r="K135" s="621"/>
      <c r="L135" s="95"/>
      <c r="M135" s="95"/>
      <c r="N135" s="881"/>
      <c r="O135" s="881"/>
      <c r="P135" s="881"/>
      <c r="Q135" s="881"/>
      <c r="R135" s="881"/>
      <c r="S135" s="881"/>
      <c r="T135" s="881"/>
      <c r="U135" s="881"/>
    </row>
    <row r="136" spans="1:21" ht="12.75" customHeight="1" x14ac:dyDescent="0.25">
      <c r="A136" s="697" t="s">
        <v>377</v>
      </c>
      <c r="B136" s="690"/>
      <c r="C136" s="690"/>
      <c r="D136" s="690"/>
      <c r="E136" s="690"/>
      <c r="F136" s="690"/>
      <c r="G136" s="690"/>
      <c r="H136" s="690"/>
      <c r="I136" s="690"/>
      <c r="J136" s="96"/>
      <c r="K136" s="621"/>
      <c r="L136" s="95"/>
      <c r="M136" s="95"/>
      <c r="N136" s="479"/>
      <c r="O136" s="479"/>
      <c r="P136" s="479"/>
      <c r="Q136" s="479"/>
      <c r="R136" s="479"/>
      <c r="S136" s="479"/>
      <c r="T136" s="479"/>
      <c r="U136" s="479"/>
    </row>
    <row r="137" spans="1:21" ht="12.75" customHeight="1" x14ac:dyDescent="0.25">
      <c r="A137" s="691" t="s">
        <v>62</v>
      </c>
      <c r="B137" s="691"/>
      <c r="C137" s="691"/>
      <c r="D137" s="691"/>
      <c r="E137" s="691"/>
      <c r="F137" s="691"/>
      <c r="G137" s="691"/>
      <c r="H137" s="691"/>
      <c r="I137" s="691"/>
      <c r="J137" s="95"/>
      <c r="K137" s="95"/>
      <c r="L137" s="95"/>
      <c r="M137" s="95"/>
      <c r="N137" s="97"/>
      <c r="O137" s="98"/>
      <c r="P137" s="98"/>
      <c r="Q137" s="98"/>
      <c r="R137" s="98"/>
      <c r="S137" s="98"/>
      <c r="T137" s="98"/>
      <c r="U137" s="98"/>
    </row>
    <row r="138" spans="1:21" s="95" customFormat="1" ht="12.75" customHeight="1" x14ac:dyDescent="0.2">
      <c r="A138" s="691" t="s">
        <v>63</v>
      </c>
      <c r="B138" s="691"/>
      <c r="C138" s="691"/>
      <c r="D138" s="691"/>
      <c r="E138" s="691"/>
      <c r="F138" s="691"/>
      <c r="G138" s="691"/>
      <c r="H138" s="691"/>
      <c r="I138" s="691"/>
      <c r="N138" s="97"/>
    </row>
    <row r="139" spans="1:21" s="95" customFormat="1" ht="12.75" customHeight="1" x14ac:dyDescent="0.2">
      <c r="A139" s="692" t="s">
        <v>376</v>
      </c>
      <c r="B139" s="691"/>
      <c r="C139" s="691"/>
      <c r="D139" s="691"/>
      <c r="E139" s="691"/>
      <c r="F139" s="691"/>
      <c r="G139" s="691"/>
      <c r="H139" s="691"/>
      <c r="I139" s="691"/>
      <c r="N139" s="97"/>
    </row>
    <row r="140" spans="1:21" s="95" customFormat="1" ht="12.75" customHeight="1" x14ac:dyDescent="0.2">
      <c r="A140" s="692" t="s">
        <v>378</v>
      </c>
      <c r="B140" s="691"/>
      <c r="C140" s="691"/>
      <c r="D140" s="691"/>
      <c r="E140" s="691"/>
      <c r="F140" s="691"/>
      <c r="G140" s="691"/>
      <c r="H140" s="691"/>
      <c r="I140" s="691"/>
      <c r="N140" s="97"/>
    </row>
    <row r="141" spans="1:21" s="95" customFormat="1" ht="12.75" customHeight="1" x14ac:dyDescent="0.2">
      <c r="A141" s="698" t="s">
        <v>329</v>
      </c>
      <c r="B141" s="691"/>
      <c r="C141" s="691"/>
      <c r="D141" s="691"/>
      <c r="E141" s="691"/>
      <c r="F141" s="691"/>
      <c r="G141" s="691"/>
      <c r="H141" s="691"/>
      <c r="I141" s="691"/>
      <c r="N141" s="97"/>
    </row>
    <row r="142" spans="1:21" s="95" customFormat="1" ht="12.75" customHeight="1" x14ac:dyDescent="0.2">
      <c r="A142" s="725" t="s">
        <v>429</v>
      </c>
      <c r="B142" s="691"/>
      <c r="C142" s="691"/>
      <c r="D142" s="691"/>
      <c r="E142" s="691"/>
      <c r="F142" s="691"/>
      <c r="G142" s="691"/>
      <c r="H142" s="691"/>
      <c r="I142" s="691"/>
      <c r="K142" s="724"/>
      <c r="N142" s="97"/>
    </row>
    <row r="143" spans="1:21" s="95" customFormat="1" ht="12.75" customHeight="1" x14ac:dyDescent="0.2">
      <c r="A143" s="726" t="s">
        <v>430</v>
      </c>
      <c r="B143" s="691"/>
      <c r="C143" s="691"/>
      <c r="D143" s="691"/>
      <c r="E143" s="691"/>
      <c r="F143" s="691"/>
      <c r="G143" s="691"/>
      <c r="H143" s="691"/>
      <c r="I143" s="691"/>
      <c r="N143" s="97"/>
    </row>
    <row r="144" spans="1:21" s="95" customFormat="1" ht="12.75" customHeight="1" x14ac:dyDescent="0.2">
      <c r="A144" s="692" t="s">
        <v>330</v>
      </c>
      <c r="B144" s="691"/>
      <c r="C144" s="691"/>
      <c r="D144" s="691"/>
      <c r="E144" s="691"/>
      <c r="F144" s="691"/>
      <c r="G144" s="691"/>
      <c r="H144" s="691"/>
      <c r="I144" s="691"/>
      <c r="N144" s="97"/>
    </row>
    <row r="145" spans="1:14" s="95" customFormat="1" ht="12.75" customHeight="1" x14ac:dyDescent="0.2">
      <c r="A145" s="698" t="s">
        <v>331</v>
      </c>
      <c r="B145" s="691"/>
      <c r="C145" s="691"/>
      <c r="D145" s="691"/>
      <c r="E145" s="691"/>
      <c r="F145" s="691"/>
      <c r="G145" s="691"/>
      <c r="H145" s="691"/>
      <c r="I145" s="691"/>
      <c r="N145" s="97"/>
    </row>
    <row r="146" spans="1:14" s="95" customFormat="1" ht="12.75" customHeight="1" x14ac:dyDescent="0.2">
      <c r="A146" s="692" t="s">
        <v>332</v>
      </c>
      <c r="B146" s="691"/>
      <c r="C146" s="691"/>
      <c r="D146" s="691"/>
      <c r="E146" s="691"/>
      <c r="F146" s="691"/>
      <c r="G146" s="691"/>
      <c r="H146" s="691"/>
      <c r="I146" s="691"/>
      <c r="N146" s="97"/>
    </row>
    <row r="147" spans="1:14" s="95" customFormat="1" ht="12.75" customHeight="1" x14ac:dyDescent="0.2">
      <c r="A147" s="692" t="s">
        <v>365</v>
      </c>
      <c r="B147" s="691"/>
      <c r="C147" s="691"/>
      <c r="D147" s="691"/>
      <c r="E147" s="691"/>
      <c r="F147" s="691"/>
      <c r="G147" s="691"/>
      <c r="H147" s="691"/>
      <c r="I147" s="691"/>
      <c r="N147" s="97"/>
    </row>
    <row r="148" spans="1:14" s="95" customFormat="1" ht="12.75" customHeight="1" x14ac:dyDescent="0.2">
      <c r="A148" s="699" t="s">
        <v>333</v>
      </c>
      <c r="B148" s="691"/>
      <c r="C148" s="691"/>
      <c r="D148" s="691"/>
      <c r="E148" s="691"/>
      <c r="F148" s="691"/>
      <c r="G148" s="691"/>
      <c r="H148" s="691"/>
      <c r="I148" s="691"/>
      <c r="N148" s="97"/>
    </row>
    <row r="149" spans="1:14" s="95" customFormat="1" ht="12.75" customHeight="1" x14ac:dyDescent="0.2">
      <c r="A149" s="699" t="s">
        <v>334</v>
      </c>
      <c r="B149" s="691"/>
      <c r="C149" s="691"/>
      <c r="D149" s="691"/>
      <c r="E149" s="691"/>
      <c r="F149" s="691"/>
      <c r="G149" s="691"/>
      <c r="H149" s="691"/>
      <c r="I149" s="691"/>
      <c r="N149" s="97"/>
    </row>
    <row r="150" spans="1:14" s="95" customFormat="1" ht="12.75" customHeight="1" x14ac:dyDescent="0.2">
      <c r="A150" s="692" t="s">
        <v>366</v>
      </c>
      <c r="B150" s="691"/>
      <c r="C150" s="691"/>
      <c r="D150" s="691"/>
      <c r="E150" s="691"/>
      <c r="F150" s="691"/>
      <c r="G150" s="691"/>
      <c r="H150" s="691"/>
      <c r="I150" s="691"/>
      <c r="N150" s="97"/>
    </row>
    <row r="151" spans="1:14" s="95" customFormat="1" ht="12.75" customHeight="1" x14ac:dyDescent="0.2">
      <c r="A151" s="692" t="s">
        <v>367</v>
      </c>
      <c r="B151" s="691"/>
      <c r="C151" s="691"/>
      <c r="D151" s="691"/>
      <c r="E151" s="691"/>
      <c r="F151" s="691"/>
      <c r="G151" s="691"/>
      <c r="H151" s="691"/>
      <c r="I151" s="691"/>
      <c r="N151" s="97"/>
    </row>
    <row r="152" spans="1:14" s="95" customFormat="1" ht="12.75" customHeight="1" x14ac:dyDescent="0.2">
      <c r="A152" s="699" t="s">
        <v>335</v>
      </c>
      <c r="B152" s="691"/>
      <c r="C152" s="691"/>
      <c r="D152" s="691"/>
      <c r="E152" s="691"/>
      <c r="F152" s="691"/>
      <c r="G152" s="691"/>
      <c r="H152" s="691"/>
      <c r="I152" s="691"/>
      <c r="N152" s="97"/>
    </row>
    <row r="153" spans="1:14" s="95" customFormat="1" ht="12.75" customHeight="1" x14ac:dyDescent="0.2">
      <c r="A153" s="692"/>
      <c r="B153" s="691"/>
      <c r="C153" s="691"/>
      <c r="D153" s="691"/>
      <c r="E153" s="691"/>
      <c r="F153" s="691"/>
      <c r="G153" s="691"/>
      <c r="H153" s="691"/>
      <c r="I153" s="691"/>
      <c r="N153" s="97"/>
    </row>
    <row r="154" spans="1:14" s="95" customFormat="1" ht="12.75" customHeight="1" x14ac:dyDescent="0.2">
      <c r="A154" s="704" t="s">
        <v>94</v>
      </c>
      <c r="B154" s="691"/>
      <c r="C154" s="691"/>
      <c r="D154" s="691"/>
      <c r="E154" s="691"/>
      <c r="F154" s="691"/>
      <c r="G154" s="691"/>
      <c r="H154" s="691"/>
      <c r="I154" s="691"/>
      <c r="N154" s="97"/>
    </row>
    <row r="155" spans="1:14" s="95" customFormat="1" ht="12.75" customHeight="1" x14ac:dyDescent="0.2">
      <c r="A155" s="693" t="s">
        <v>336</v>
      </c>
      <c r="B155" s="694"/>
      <c r="C155" s="694"/>
      <c r="D155" s="694"/>
      <c r="E155" s="694"/>
      <c r="F155" s="694"/>
      <c r="G155" s="694"/>
      <c r="H155" s="694"/>
      <c r="I155" s="694"/>
      <c r="N155" s="97"/>
    </row>
    <row r="156" spans="1:14" s="95" customFormat="1" ht="12.75" customHeight="1" x14ac:dyDescent="0.2">
      <c r="A156" s="700" t="s">
        <v>379</v>
      </c>
      <c r="B156" s="705"/>
      <c r="C156" s="705"/>
      <c r="D156" s="705"/>
      <c r="E156" s="705"/>
      <c r="F156" s="705"/>
      <c r="G156" s="705"/>
      <c r="H156" s="705"/>
      <c r="I156" s="705"/>
      <c r="N156" s="97"/>
    </row>
    <row r="157" spans="1:14" s="95" customFormat="1" ht="12.75" customHeight="1" x14ac:dyDescent="0.2">
      <c r="A157" s="700" t="s">
        <v>380</v>
      </c>
      <c r="B157" s="705"/>
      <c r="C157" s="705"/>
      <c r="D157" s="705"/>
      <c r="E157" s="705"/>
      <c r="F157" s="705"/>
      <c r="G157" s="705"/>
      <c r="H157" s="705"/>
      <c r="I157" s="705"/>
      <c r="N157" s="97"/>
    </row>
    <row r="158" spans="1:14" s="95" customFormat="1" ht="12.75" customHeight="1" x14ac:dyDescent="0.2">
      <c r="A158" s="693"/>
      <c r="B158" s="705"/>
      <c r="C158" s="705"/>
      <c r="D158" s="705"/>
      <c r="E158" s="705"/>
      <c r="F158" s="705"/>
      <c r="G158" s="705"/>
      <c r="H158" s="705"/>
      <c r="I158" s="705"/>
      <c r="N158" s="97"/>
    </row>
    <row r="159" spans="1:14" s="95" customFormat="1" ht="12.75" customHeight="1" x14ac:dyDescent="0.25">
      <c r="A159" s="693" t="s">
        <v>381</v>
      </c>
      <c r="B159" s="694"/>
      <c r="C159" s="694"/>
      <c r="D159" s="694"/>
      <c r="E159" s="694"/>
      <c r="F159" s="694"/>
      <c r="G159" s="694"/>
      <c r="H159" s="694"/>
      <c r="I159" s="694"/>
      <c r="J159" s="3"/>
      <c r="K159" s="3"/>
      <c r="L159" s="3"/>
      <c r="M159" s="3"/>
      <c r="N159" s="97"/>
    </row>
    <row r="160" spans="1:14" s="95" customFormat="1" ht="12.75" customHeight="1" x14ac:dyDescent="0.25">
      <c r="A160" s="700" t="s">
        <v>379</v>
      </c>
      <c r="B160" s="694"/>
      <c r="C160" s="694"/>
      <c r="D160" s="694"/>
      <c r="E160" s="694"/>
      <c r="F160" s="694"/>
      <c r="G160" s="694"/>
      <c r="H160" s="694"/>
      <c r="I160" s="694"/>
      <c r="J160" s="3"/>
      <c r="K160" s="3"/>
      <c r="L160" s="3"/>
      <c r="M160" s="3"/>
      <c r="N160" s="97"/>
    </row>
    <row r="161" spans="1:21" s="95" customFormat="1" ht="12.75" customHeight="1" x14ac:dyDescent="0.25">
      <c r="A161" s="700" t="s">
        <v>382</v>
      </c>
      <c r="B161" s="694"/>
      <c r="C161" s="694"/>
      <c r="D161" s="694"/>
      <c r="E161" s="694"/>
      <c r="F161" s="694"/>
      <c r="G161" s="694"/>
      <c r="H161" s="694"/>
      <c r="I161" s="694"/>
      <c r="J161" s="3"/>
      <c r="K161" s="3"/>
      <c r="L161" s="3"/>
      <c r="M161" s="3"/>
      <c r="N161" s="97"/>
    </row>
    <row r="162" spans="1:21" s="95" customFormat="1" ht="12.75" customHeight="1" x14ac:dyDescent="0.25">
      <c r="A162" s="695"/>
      <c r="B162" s="695"/>
      <c r="C162" s="695"/>
      <c r="D162" s="695"/>
      <c r="E162" s="695"/>
      <c r="F162" s="695"/>
      <c r="G162" s="695"/>
      <c r="H162" s="695"/>
      <c r="I162" s="695"/>
      <c r="J162" s="3"/>
      <c r="K162" s="3"/>
      <c r="L162" s="3"/>
      <c r="M162" s="3"/>
      <c r="N162" s="97"/>
    </row>
    <row r="163" spans="1:21" s="95" customFormat="1" ht="12.75" customHeight="1" x14ac:dyDescent="0.25">
      <c r="A163" s="706" t="s">
        <v>95</v>
      </c>
      <c r="B163" s="706"/>
      <c r="C163" s="706"/>
      <c r="D163" s="706"/>
      <c r="E163" s="706"/>
      <c r="F163" s="706"/>
      <c r="G163" s="706"/>
      <c r="H163" s="706"/>
      <c r="I163" s="706"/>
      <c r="N163" s="93"/>
      <c r="O163" s="3"/>
      <c r="P163" s="3"/>
      <c r="Q163" s="3"/>
      <c r="R163" s="3"/>
      <c r="S163" s="3"/>
      <c r="T163" s="3"/>
      <c r="U163" s="3"/>
    </row>
    <row r="164" spans="1:21" ht="12.75" customHeight="1" x14ac:dyDescent="0.25">
      <c r="A164" s="696" t="s">
        <v>337</v>
      </c>
      <c r="B164" s="695"/>
      <c r="C164" s="695"/>
      <c r="D164" s="695"/>
      <c r="E164" s="695"/>
      <c r="F164" s="695"/>
      <c r="G164" s="695"/>
      <c r="H164" s="695"/>
      <c r="I164" s="695"/>
      <c r="J164" s="95"/>
      <c r="K164" s="95"/>
      <c r="L164" s="95"/>
      <c r="M164" s="95"/>
      <c r="N164" s="97"/>
      <c r="O164" s="95"/>
      <c r="P164" s="95"/>
      <c r="Q164" s="95"/>
      <c r="R164" s="95"/>
      <c r="S164" s="95"/>
      <c r="T164" s="95"/>
      <c r="U164" s="95"/>
    </row>
    <row r="165" spans="1:21" ht="12.75" customHeight="1" x14ac:dyDescent="0.25">
      <c r="A165" s="701" t="s">
        <v>338</v>
      </c>
      <c r="B165" s="707"/>
      <c r="C165" s="707"/>
      <c r="D165" s="707"/>
      <c r="E165" s="707"/>
      <c r="F165" s="707"/>
      <c r="G165" s="707"/>
      <c r="H165" s="707"/>
      <c r="I165" s="707"/>
      <c r="J165" s="95"/>
      <c r="K165" s="95"/>
      <c r="L165" s="95"/>
      <c r="M165" s="95"/>
      <c r="N165" s="97"/>
      <c r="O165" s="95"/>
      <c r="P165" s="95"/>
      <c r="Q165" s="95"/>
      <c r="R165" s="95"/>
      <c r="S165" s="95"/>
      <c r="T165" s="95"/>
      <c r="U165" s="95"/>
    </row>
    <row r="166" spans="1:21" s="95" customFormat="1" ht="12.75" customHeight="1" x14ac:dyDescent="0.2">
      <c r="A166" s="695" t="s">
        <v>12</v>
      </c>
      <c r="B166" s="695"/>
      <c r="C166" s="695"/>
      <c r="D166" s="695"/>
      <c r="E166" s="695"/>
      <c r="F166" s="695"/>
      <c r="G166" s="695"/>
      <c r="H166" s="695"/>
      <c r="I166" s="695"/>
      <c r="N166" s="97"/>
    </row>
    <row r="167" spans="1:21" s="95" customFormat="1" ht="15.75" customHeight="1" x14ac:dyDescent="0.25">
      <c r="A167" s="494"/>
      <c r="B167" s="494"/>
      <c r="C167" s="494"/>
      <c r="D167" s="494"/>
      <c r="E167" s="494"/>
      <c r="F167" s="494"/>
      <c r="G167" s="494"/>
      <c r="H167" s="494"/>
      <c r="I167" s="494"/>
      <c r="J167" s="3"/>
      <c r="K167" s="3"/>
      <c r="L167" s="3"/>
      <c r="M167" s="3"/>
      <c r="N167" s="97"/>
    </row>
    <row r="168" spans="1:21" s="95" customFormat="1" ht="15.75" customHeight="1" x14ac:dyDescent="0.25">
      <c r="A168" s="93"/>
      <c r="B168" s="3"/>
      <c r="C168" s="3"/>
      <c r="D168" s="3"/>
      <c r="E168" s="3"/>
      <c r="F168" s="3"/>
      <c r="G168" s="3"/>
      <c r="H168" s="3"/>
      <c r="I168" s="3"/>
      <c r="J168" s="3"/>
      <c r="K168" s="3"/>
      <c r="L168" s="3"/>
      <c r="M168" s="3"/>
      <c r="N168" s="93"/>
      <c r="O168" s="3"/>
      <c r="P168" s="3"/>
      <c r="Q168" s="3"/>
      <c r="R168" s="3"/>
      <c r="S168" s="3"/>
      <c r="T168" s="3"/>
      <c r="U168" s="3"/>
    </row>
    <row r="169" spans="1:21" ht="15.75" customHeight="1" x14ac:dyDescent="0.25">
      <c r="A169" s="93"/>
      <c r="N169" s="93"/>
    </row>
    <row r="170" spans="1:21" ht="15.75" customHeight="1" x14ac:dyDescent="0.25">
      <c r="A170" s="93"/>
      <c r="N170" s="93"/>
    </row>
    <row r="171" spans="1:21" ht="15.75" customHeight="1" x14ac:dyDescent="0.25">
      <c r="A171" s="93"/>
      <c r="B171" s="183"/>
      <c r="C171" s="183"/>
      <c r="D171" s="183"/>
      <c r="E171" s="183"/>
      <c r="F171" s="183"/>
      <c r="G171" s="183"/>
      <c r="H171" s="183"/>
      <c r="I171" s="183"/>
      <c r="N171" s="93"/>
    </row>
    <row r="172" spans="1:21" ht="15.75" customHeight="1" x14ac:dyDescent="0.25">
      <c r="A172" s="93"/>
      <c r="N172" s="93"/>
    </row>
    <row r="173" spans="1:21" ht="15.75" customHeight="1" x14ac:dyDescent="0.25">
      <c r="A173" s="93"/>
      <c r="N173" s="93"/>
    </row>
    <row r="174" spans="1:21" ht="15.75" customHeight="1" x14ac:dyDescent="0.25">
      <c r="A174" s="93"/>
      <c r="N174" s="93"/>
    </row>
    <row r="175" spans="1:21" ht="15.75" customHeight="1" x14ac:dyDescent="0.25">
      <c r="A175" s="93"/>
      <c r="N175" s="93"/>
    </row>
    <row r="176" spans="1:21" ht="15.75" customHeight="1" x14ac:dyDescent="0.25">
      <c r="A176" s="93"/>
      <c r="N176" s="93"/>
    </row>
    <row r="177" spans="1:14" ht="15.75" customHeight="1" x14ac:dyDescent="0.25">
      <c r="A177" s="93"/>
      <c r="N177" s="93"/>
    </row>
    <row r="178" spans="1:14" ht="15.75" customHeight="1" x14ac:dyDescent="0.25">
      <c r="A178" s="93"/>
      <c r="N178" s="93"/>
    </row>
    <row r="179" spans="1:14" ht="15.75" customHeight="1" x14ac:dyDescent="0.25">
      <c r="A179" s="93"/>
      <c r="N179" s="93"/>
    </row>
    <row r="180" spans="1:14" ht="15.75" customHeight="1" x14ac:dyDescent="0.25">
      <c r="A180" s="93"/>
      <c r="N180" s="93"/>
    </row>
    <row r="181" spans="1:14" ht="15.75" customHeight="1" x14ac:dyDescent="0.25">
      <c r="A181" s="93"/>
      <c r="N181" s="93"/>
    </row>
    <row r="182" spans="1:14" ht="15.75" customHeight="1" x14ac:dyDescent="0.25">
      <c r="A182" s="93"/>
      <c r="N182" s="93"/>
    </row>
    <row r="183" spans="1:14" ht="15.75" customHeight="1" x14ac:dyDescent="0.25">
      <c r="A183" s="93"/>
      <c r="N183" s="93"/>
    </row>
    <row r="184" spans="1:14" ht="15.75" customHeight="1" x14ac:dyDescent="0.25">
      <c r="A184" s="93"/>
      <c r="N184" s="93"/>
    </row>
    <row r="185" spans="1:14" ht="15.75" customHeight="1" x14ac:dyDescent="0.25">
      <c r="A185" s="93"/>
      <c r="N185" s="93"/>
    </row>
    <row r="186" spans="1:14" x14ac:dyDescent="0.25">
      <c r="A186" s="93"/>
      <c r="N186" s="93"/>
    </row>
    <row r="187" spans="1:14" x14ac:dyDescent="0.25">
      <c r="A187" s="93"/>
      <c r="N187" s="93"/>
    </row>
    <row r="188" spans="1:14" x14ac:dyDescent="0.25">
      <c r="A188" s="93"/>
      <c r="N188" s="93"/>
    </row>
    <row r="189" spans="1:14" x14ac:dyDescent="0.25">
      <c r="A189" s="93"/>
      <c r="N189" s="93"/>
    </row>
    <row r="190" spans="1:14" x14ac:dyDescent="0.25">
      <c r="A190" s="93"/>
      <c r="N190" s="93"/>
    </row>
    <row r="191" spans="1:14" x14ac:dyDescent="0.25">
      <c r="A191" s="93"/>
      <c r="N191" s="93"/>
    </row>
    <row r="192" spans="1:14" x14ac:dyDescent="0.25">
      <c r="A192" s="93"/>
      <c r="N192" s="93"/>
    </row>
    <row r="193" spans="1:14" x14ac:dyDescent="0.25">
      <c r="A193" s="93"/>
      <c r="N193" s="93"/>
    </row>
    <row r="194" spans="1:14" x14ac:dyDescent="0.25">
      <c r="A194" s="93"/>
      <c r="N194" s="93"/>
    </row>
    <row r="195" spans="1:14" x14ac:dyDescent="0.25">
      <c r="A195" s="93"/>
      <c r="N195" s="93"/>
    </row>
    <row r="196" spans="1:14" x14ac:dyDescent="0.25">
      <c r="A196" s="93"/>
      <c r="N196" s="93"/>
    </row>
    <row r="197" spans="1:14" x14ac:dyDescent="0.25">
      <c r="A197" s="93"/>
      <c r="N197" s="93"/>
    </row>
    <row r="198" spans="1:14" x14ac:dyDescent="0.25">
      <c r="A198" s="93"/>
      <c r="N198" s="93"/>
    </row>
    <row r="199" spans="1:14" x14ac:dyDescent="0.25">
      <c r="A199" s="93"/>
      <c r="N199" s="93"/>
    </row>
    <row r="200" spans="1:14" x14ac:dyDescent="0.25">
      <c r="A200" s="93"/>
      <c r="N200" s="93"/>
    </row>
    <row r="201" spans="1:14" x14ac:dyDescent="0.25">
      <c r="A201" s="93"/>
      <c r="N201" s="93"/>
    </row>
    <row r="202" spans="1:14" x14ac:dyDescent="0.25">
      <c r="A202" s="93"/>
      <c r="N202" s="93"/>
    </row>
    <row r="203" spans="1:14" x14ac:dyDescent="0.25">
      <c r="A203" s="93"/>
      <c r="N203" s="93"/>
    </row>
    <row r="204" spans="1:14" x14ac:dyDescent="0.25">
      <c r="A204" s="93"/>
      <c r="N204" s="93"/>
    </row>
    <row r="205" spans="1:14" x14ac:dyDescent="0.25">
      <c r="A205" s="93"/>
      <c r="N205" s="93"/>
    </row>
    <row r="206" spans="1:14" x14ac:dyDescent="0.25">
      <c r="A206" s="93"/>
      <c r="N206" s="93"/>
    </row>
    <row r="207" spans="1:14" x14ac:dyDescent="0.25">
      <c r="A207" s="93"/>
      <c r="N207" s="93"/>
    </row>
    <row r="208" spans="1:14" x14ac:dyDescent="0.25">
      <c r="A208" s="93"/>
      <c r="N208" s="93"/>
    </row>
    <row r="209" spans="1:1" x14ac:dyDescent="0.25">
      <c r="A209" s="93"/>
    </row>
    <row r="210" spans="1:1" x14ac:dyDescent="0.25">
      <c r="A210" s="93"/>
    </row>
    <row r="211" spans="1:1" x14ac:dyDescent="0.25">
      <c r="A211" s="93"/>
    </row>
    <row r="212" spans="1:1" x14ac:dyDescent="0.25">
      <c r="A212" s="93"/>
    </row>
    <row r="213" spans="1:1" x14ac:dyDescent="0.25">
      <c r="A213" s="93"/>
    </row>
    <row r="214" spans="1:1" x14ac:dyDescent="0.25">
      <c r="A214" s="93"/>
    </row>
    <row r="215" spans="1:1" x14ac:dyDescent="0.25">
      <c r="A215" s="93"/>
    </row>
    <row r="216" spans="1:1" x14ac:dyDescent="0.25">
      <c r="A216" s="93"/>
    </row>
    <row r="217" spans="1:1" x14ac:dyDescent="0.25">
      <c r="A217" s="93"/>
    </row>
    <row r="218" spans="1:1" x14ac:dyDescent="0.25">
      <c r="A218" s="93"/>
    </row>
    <row r="219" spans="1:1" x14ac:dyDescent="0.25">
      <c r="A219" s="93"/>
    </row>
    <row r="220" spans="1:1" x14ac:dyDescent="0.25">
      <c r="A220" s="93"/>
    </row>
    <row r="221" spans="1:1" x14ac:dyDescent="0.25">
      <c r="A221" s="93"/>
    </row>
    <row r="222" spans="1:1" x14ac:dyDescent="0.25">
      <c r="A222" s="93"/>
    </row>
    <row r="223" spans="1:1" x14ac:dyDescent="0.25">
      <c r="A223" s="93"/>
    </row>
    <row r="224" spans="1:1" x14ac:dyDescent="0.25">
      <c r="A224" s="93"/>
    </row>
    <row r="225" spans="1:1" x14ac:dyDescent="0.25">
      <c r="A225" s="93"/>
    </row>
    <row r="226" spans="1:1" x14ac:dyDescent="0.25">
      <c r="A226" s="93"/>
    </row>
    <row r="227" spans="1:1" x14ac:dyDescent="0.25">
      <c r="A227" s="93"/>
    </row>
  </sheetData>
  <mergeCells count="269">
    <mergeCell ref="N116:U116"/>
    <mergeCell ref="N135:U135"/>
    <mergeCell ref="D62:G62"/>
    <mergeCell ref="D65:G65"/>
    <mergeCell ref="C87:D87"/>
    <mergeCell ref="C88:D88"/>
    <mergeCell ref="F104:G104"/>
    <mergeCell ref="C103:E103"/>
    <mergeCell ref="N112:P112"/>
    <mergeCell ref="N113:T113"/>
    <mergeCell ref="N115:U115"/>
    <mergeCell ref="N108:O108"/>
    <mergeCell ref="P108:Q108"/>
    <mergeCell ref="R108:S108"/>
    <mergeCell ref="N109:O109"/>
    <mergeCell ref="N111:P111"/>
    <mergeCell ref="N106:O106"/>
    <mergeCell ref="P106:Q106"/>
    <mergeCell ref="R106:S106"/>
    <mergeCell ref="N107:O107"/>
    <mergeCell ref="P107:Q107"/>
    <mergeCell ref="R107:S107"/>
    <mergeCell ref="N98:O98"/>
    <mergeCell ref="P98:R98"/>
    <mergeCell ref="N99:O99"/>
    <mergeCell ref="P99:R99"/>
    <mergeCell ref="N102:U102"/>
    <mergeCell ref="N105:O105"/>
    <mergeCell ref="P105:Q105"/>
    <mergeCell ref="R105:S105"/>
    <mergeCell ref="P89:Q89"/>
    <mergeCell ref="P90:Q90"/>
    <mergeCell ref="P91:Q91"/>
    <mergeCell ref="P92:T92"/>
    <mergeCell ref="N93:U93"/>
    <mergeCell ref="N95:P95"/>
    <mergeCell ref="Q95:T95"/>
    <mergeCell ref="N82:P82"/>
    <mergeCell ref="N77:P77"/>
    <mergeCell ref="N78:P78"/>
    <mergeCell ref="N86:U86"/>
    <mergeCell ref="N88:O88"/>
    <mergeCell ref="P88:Q88"/>
    <mergeCell ref="R88:U88"/>
    <mergeCell ref="N73:P73"/>
    <mergeCell ref="N74:T74"/>
    <mergeCell ref="N75:T75"/>
    <mergeCell ref="N79:P79"/>
    <mergeCell ref="N80:P80"/>
    <mergeCell ref="N81:P81"/>
    <mergeCell ref="N84:P84"/>
    <mergeCell ref="N66:S66"/>
    <mergeCell ref="T66:U66"/>
    <mergeCell ref="N68:P68"/>
    <mergeCell ref="N69:P69"/>
    <mergeCell ref="N71:P71"/>
    <mergeCell ref="N72:P72"/>
    <mergeCell ref="N63:S63"/>
    <mergeCell ref="T63:U63"/>
    <mergeCell ref="N64:U64"/>
    <mergeCell ref="N65:O65"/>
    <mergeCell ref="Q65:S65"/>
    <mergeCell ref="T65:U65"/>
    <mergeCell ref="N59:O59"/>
    <mergeCell ref="P59:Q59"/>
    <mergeCell ref="R59:T59"/>
    <mergeCell ref="N60:U60"/>
    <mergeCell ref="N61:U61"/>
    <mergeCell ref="N62:O62"/>
    <mergeCell ref="Q62:S62"/>
    <mergeCell ref="T62:U62"/>
    <mergeCell ref="N50:O58"/>
    <mergeCell ref="P50:Q50"/>
    <mergeCell ref="P51:Q51"/>
    <mergeCell ref="P52:Q52"/>
    <mergeCell ref="P53:Q53"/>
    <mergeCell ref="P54:Q54"/>
    <mergeCell ref="P55:Q55"/>
    <mergeCell ref="P56:Q56"/>
    <mergeCell ref="P57:Q57"/>
    <mergeCell ref="P58:Q58"/>
    <mergeCell ref="N43:Q43"/>
    <mergeCell ref="S43:T43"/>
    <mergeCell ref="N45:Q45"/>
    <mergeCell ref="S45:T45"/>
    <mergeCell ref="N49:O49"/>
    <mergeCell ref="P49:Q49"/>
    <mergeCell ref="N40:O40"/>
    <mergeCell ref="P40:T40"/>
    <mergeCell ref="N41:O41"/>
    <mergeCell ref="P41:T41"/>
    <mergeCell ref="N42:O42"/>
    <mergeCell ref="P42:T42"/>
    <mergeCell ref="N37:O37"/>
    <mergeCell ref="P37:T37"/>
    <mergeCell ref="N38:O38"/>
    <mergeCell ref="P38:T38"/>
    <mergeCell ref="N39:O39"/>
    <mergeCell ref="P39:T39"/>
    <mergeCell ref="N29:O29"/>
    <mergeCell ref="P29:Q29"/>
    <mergeCell ref="R29:S29"/>
    <mergeCell ref="N34:T34"/>
    <mergeCell ref="N36:O36"/>
    <mergeCell ref="P36:T36"/>
    <mergeCell ref="N27:O27"/>
    <mergeCell ref="P27:Q27"/>
    <mergeCell ref="R27:S27"/>
    <mergeCell ref="N28:O28"/>
    <mergeCell ref="P28:Q28"/>
    <mergeCell ref="R28:S28"/>
    <mergeCell ref="N25:O25"/>
    <mergeCell ref="P25:Q25"/>
    <mergeCell ref="R25:S25"/>
    <mergeCell ref="N26:O26"/>
    <mergeCell ref="P26:Q26"/>
    <mergeCell ref="R26:S26"/>
    <mergeCell ref="N23:O23"/>
    <mergeCell ref="P23:Q23"/>
    <mergeCell ref="R23:S23"/>
    <mergeCell ref="N24:O24"/>
    <mergeCell ref="P24:Q24"/>
    <mergeCell ref="R24:S24"/>
    <mergeCell ref="N21:O21"/>
    <mergeCell ref="P21:Q21"/>
    <mergeCell ref="R21:S21"/>
    <mergeCell ref="N22:O22"/>
    <mergeCell ref="P22:Q22"/>
    <mergeCell ref="R22:S22"/>
    <mergeCell ref="N19:O19"/>
    <mergeCell ref="P19:Q19"/>
    <mergeCell ref="R19:S19"/>
    <mergeCell ref="N20:O20"/>
    <mergeCell ref="P20:Q20"/>
    <mergeCell ref="R20:S20"/>
    <mergeCell ref="N17:O17"/>
    <mergeCell ref="P17:Q17"/>
    <mergeCell ref="R17:S17"/>
    <mergeCell ref="N18:O18"/>
    <mergeCell ref="P18:Q18"/>
    <mergeCell ref="R18:S18"/>
    <mergeCell ref="N16:O16"/>
    <mergeCell ref="P16:Q16"/>
    <mergeCell ref="R16:S16"/>
    <mergeCell ref="N13:O13"/>
    <mergeCell ref="P13:Q13"/>
    <mergeCell ref="R13:S13"/>
    <mergeCell ref="N14:O14"/>
    <mergeCell ref="P14:Q14"/>
    <mergeCell ref="R14:S14"/>
    <mergeCell ref="R12:S12"/>
    <mergeCell ref="N7:U7"/>
    <mergeCell ref="N8:O8"/>
    <mergeCell ref="P8:Q8"/>
    <mergeCell ref="R8:S8"/>
    <mergeCell ref="T8:U8"/>
    <mergeCell ref="R10:S10"/>
    <mergeCell ref="N15:O15"/>
    <mergeCell ref="P15:Q15"/>
    <mergeCell ref="R15:S15"/>
    <mergeCell ref="O1:U1"/>
    <mergeCell ref="N2:U2"/>
    <mergeCell ref="N3:U3"/>
    <mergeCell ref="N4:O4"/>
    <mergeCell ref="P4:Q4"/>
    <mergeCell ref="A42:B42"/>
    <mergeCell ref="A38:B38"/>
    <mergeCell ref="A29:B29"/>
    <mergeCell ref="A21:B21"/>
    <mergeCell ref="F21:G21"/>
    <mergeCell ref="F22:G22"/>
    <mergeCell ref="A16:B16"/>
    <mergeCell ref="F15:G15"/>
    <mergeCell ref="F17:G17"/>
    <mergeCell ref="F16:G16"/>
    <mergeCell ref="F19:G19"/>
    <mergeCell ref="F20:G20"/>
    <mergeCell ref="A20:B20"/>
    <mergeCell ref="B1:I1"/>
    <mergeCell ref="N11:O11"/>
    <mergeCell ref="P11:Q11"/>
    <mergeCell ref="R11:S11"/>
    <mergeCell ref="N12:O12"/>
    <mergeCell ref="P12:Q12"/>
    <mergeCell ref="F29:G29"/>
    <mergeCell ref="A62:B62"/>
    <mergeCell ref="A68:C68"/>
    <mergeCell ref="F24:G24"/>
    <mergeCell ref="A23:B23"/>
    <mergeCell ref="F25:G25"/>
    <mergeCell ref="A28:B28"/>
    <mergeCell ref="A26:B26"/>
    <mergeCell ref="A27:B27"/>
    <mergeCell ref="A7:I7"/>
    <mergeCell ref="A4:B4"/>
    <mergeCell ref="C4:E4"/>
    <mergeCell ref="F10:G10"/>
    <mergeCell ref="A14:B14"/>
    <mergeCell ref="F14:G14"/>
    <mergeCell ref="F11:G11"/>
    <mergeCell ref="F12:G12"/>
    <mergeCell ref="A12:B12"/>
    <mergeCell ref="F13:G13"/>
    <mergeCell ref="A19:B19"/>
    <mergeCell ref="A18:B18"/>
    <mergeCell ref="A13:B13"/>
    <mergeCell ref="A15:B15"/>
    <mergeCell ref="F18:G18"/>
    <mergeCell ref="A17:B17"/>
    <mergeCell ref="A112:C112"/>
    <mergeCell ref="A22:B22"/>
    <mergeCell ref="F23:G23"/>
    <mergeCell ref="F26:G26"/>
    <mergeCell ref="F27:G27"/>
    <mergeCell ref="F28:G28"/>
    <mergeCell ref="A24:B24"/>
    <mergeCell ref="A25:B25"/>
    <mergeCell ref="A37:B37"/>
    <mergeCell ref="F108:G108"/>
    <mergeCell ref="A60:I60"/>
    <mergeCell ref="A73:C73"/>
    <mergeCell ref="C91:D91"/>
    <mergeCell ref="A81:C81"/>
    <mergeCell ref="F74:H74"/>
    <mergeCell ref="A65:B65"/>
    <mergeCell ref="F33:H36"/>
    <mergeCell ref="A36:B36"/>
    <mergeCell ref="A116:G116"/>
    <mergeCell ref="A115:G115"/>
    <mergeCell ref="F111:H111"/>
    <mergeCell ref="F112:H112"/>
    <mergeCell ref="A39:B39"/>
    <mergeCell ref="A40:B40"/>
    <mergeCell ref="A111:C111"/>
    <mergeCell ref="A109:B109"/>
    <mergeCell ref="A108:B108"/>
    <mergeCell ref="A107:B107"/>
    <mergeCell ref="A80:C80"/>
    <mergeCell ref="A93:I93"/>
    <mergeCell ref="A61:I61"/>
    <mergeCell ref="F106:G106"/>
    <mergeCell ref="A70:C70"/>
    <mergeCell ref="A64:I64"/>
    <mergeCell ref="A72:C72"/>
    <mergeCell ref="C92:D92"/>
    <mergeCell ref="A79:C79"/>
    <mergeCell ref="A82:C82"/>
    <mergeCell ref="A105:B105"/>
    <mergeCell ref="F95:I95"/>
    <mergeCell ref="F105:G105"/>
    <mergeCell ref="A102:C102"/>
    <mergeCell ref="F107:G107"/>
    <mergeCell ref="A69:C69"/>
    <mergeCell ref="A106:B106"/>
    <mergeCell ref="F59:H59"/>
    <mergeCell ref="A59:B59"/>
    <mergeCell ref="A50:B58"/>
    <mergeCell ref="A41:B41"/>
    <mergeCell ref="A86:I86"/>
    <mergeCell ref="A114:H114"/>
    <mergeCell ref="F102:I102"/>
    <mergeCell ref="A98:B98"/>
    <mergeCell ref="A99:B99"/>
    <mergeCell ref="C90:D90"/>
    <mergeCell ref="A77:C77"/>
    <mergeCell ref="A78:C78"/>
    <mergeCell ref="A71:C71"/>
    <mergeCell ref="C89:D89"/>
    <mergeCell ref="A84:C84"/>
  </mergeCells>
  <phoneticPr fontId="2" type="noConversion"/>
  <printOptions headings="1"/>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FFFF00"/>
  </sheetPr>
  <dimension ref="A1:U202"/>
  <sheetViews>
    <sheetView showGridLines="0" zoomScale="90" zoomScaleNormal="90" workbookViewId="0">
      <pane ySplit="1" topLeftCell="A95" activePane="bottomLeft" state="frozen"/>
      <selection activeCell="A46" sqref="A46:IV46"/>
      <selection pane="bottomLeft" activeCell="I122" sqref="I122"/>
    </sheetView>
  </sheetViews>
  <sheetFormatPr defaultRowHeight="15.75" x14ac:dyDescent="0.25"/>
  <cols>
    <col min="1" max="1" width="10.28515625" style="62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2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418</v>
      </c>
      <c r="B2" s="2"/>
      <c r="C2" s="2"/>
      <c r="D2" s="2"/>
      <c r="E2" s="2"/>
      <c r="F2" s="2"/>
      <c r="G2" s="2"/>
      <c r="H2" s="2"/>
      <c r="I2" s="2"/>
      <c r="N2" s="824" t="s">
        <v>23</v>
      </c>
      <c r="O2" s="824"/>
      <c r="P2" s="824"/>
      <c r="Q2" s="824"/>
      <c r="R2" s="824"/>
      <c r="S2" s="824"/>
      <c r="T2" s="824"/>
      <c r="U2" s="824"/>
    </row>
    <row r="3" spans="1:21" x14ac:dyDescent="0.25">
      <c r="A3" s="625"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651"/>
      <c r="O5" s="651"/>
      <c r="P5" s="656"/>
      <c r="Q5" s="656"/>
      <c r="R5" s="5"/>
      <c r="S5" s="5"/>
      <c r="T5" s="5"/>
      <c r="U5" s="5"/>
    </row>
    <row r="6" spans="1:21" ht="12" customHeight="1" x14ac:dyDescent="0.25">
      <c r="A6" s="657"/>
      <c r="B6" s="657"/>
      <c r="C6" s="655"/>
      <c r="D6" s="655"/>
      <c r="E6" s="655"/>
      <c r="F6" s="4"/>
      <c r="G6" s="4"/>
      <c r="H6" s="4"/>
      <c r="I6" s="4"/>
      <c r="N6" s="651"/>
      <c r="O6" s="651"/>
      <c r="P6" s="656"/>
      <c r="Q6" s="656"/>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J9" s="393"/>
      <c r="K9" s="399"/>
      <c r="L9" s="399"/>
      <c r="N9" s="652"/>
      <c r="O9" s="652"/>
      <c r="P9" s="653"/>
      <c r="Q9" s="653"/>
      <c r="R9" s="14"/>
      <c r="S9" s="14"/>
      <c r="T9" s="15"/>
      <c r="U9" s="721" t="s">
        <v>428</v>
      </c>
    </row>
    <row r="10" spans="1:21" x14ac:dyDescent="0.25">
      <c r="A10" s="7"/>
      <c r="B10" s="7"/>
      <c r="C10" s="600" t="s">
        <v>435</v>
      </c>
      <c r="D10" s="669" t="s">
        <v>436</v>
      </c>
      <c r="E10" s="108" t="s">
        <v>8</v>
      </c>
      <c r="F10" s="806" t="s">
        <v>1</v>
      </c>
      <c r="G10" s="806"/>
      <c r="H10" s="10" t="s">
        <v>74</v>
      </c>
      <c r="I10" s="11" t="s">
        <v>36</v>
      </c>
      <c r="J10" s="395"/>
      <c r="K10" s="394"/>
      <c r="L10" s="394"/>
      <c r="N10" s="652"/>
      <c r="O10" s="652"/>
      <c r="P10" s="653"/>
      <c r="Q10" s="653"/>
      <c r="R10" s="839" t="s">
        <v>1</v>
      </c>
      <c r="S10" s="839"/>
      <c r="T10" s="15" t="s">
        <v>74</v>
      </c>
      <c r="U10" s="16" t="s">
        <v>36</v>
      </c>
    </row>
    <row r="11" spans="1:21" x14ac:dyDescent="0.25">
      <c r="A11" s="797" t="s">
        <v>1</v>
      </c>
      <c r="B11" s="797"/>
      <c r="C11" s="624" t="s">
        <v>2</v>
      </c>
      <c r="D11" s="622" t="s">
        <v>2</v>
      </c>
      <c r="E11" s="622" t="s">
        <v>2</v>
      </c>
      <c r="F11" s="807" t="s">
        <v>77</v>
      </c>
      <c r="G11" s="807"/>
      <c r="H11" s="17" t="s">
        <v>73</v>
      </c>
      <c r="I11" s="18" t="s">
        <v>76</v>
      </c>
      <c r="J11" s="393"/>
      <c r="K11" s="394"/>
      <c r="L11" s="394"/>
      <c r="N11" s="829" t="s">
        <v>1</v>
      </c>
      <c r="O11" s="829"/>
      <c r="P11" s="830" t="s">
        <v>24</v>
      </c>
      <c r="Q11" s="830"/>
      <c r="R11" s="831" t="s">
        <v>77</v>
      </c>
      <c r="S11" s="831"/>
      <c r="T11" s="19" t="s">
        <v>73</v>
      </c>
      <c r="U11" s="20" t="s">
        <v>76</v>
      </c>
    </row>
    <row r="12" spans="1:21" x14ac:dyDescent="0.25">
      <c r="A12" s="808" t="s">
        <v>48</v>
      </c>
      <c r="B12" s="808"/>
      <c r="C12" s="110"/>
      <c r="D12" s="110"/>
      <c r="E12" s="650" t="s">
        <v>49</v>
      </c>
      <c r="F12" s="809" t="s">
        <v>50</v>
      </c>
      <c r="G12" s="809"/>
      <c r="H12" s="21" t="s">
        <v>51</v>
      </c>
      <c r="I12" s="22" t="s">
        <v>52</v>
      </c>
      <c r="K12" s="394"/>
      <c r="L12" s="394"/>
      <c r="N12" s="832" t="s">
        <v>48</v>
      </c>
      <c r="O12" s="832"/>
      <c r="P12" s="833" t="s">
        <v>49</v>
      </c>
      <c r="Q12" s="833"/>
      <c r="R12" s="834" t="s">
        <v>50</v>
      </c>
      <c r="S12" s="834"/>
      <c r="T12" s="23" t="s">
        <v>51</v>
      </c>
      <c r="U12" s="24" t="s">
        <v>52</v>
      </c>
    </row>
    <row r="13" spans="1:21" x14ac:dyDescent="0.25">
      <c r="A13" s="798" t="s">
        <v>29</v>
      </c>
      <c r="B13" s="798"/>
      <c r="C13" s="192">
        <v>76.28</v>
      </c>
      <c r="D13" s="190">
        <v>63.29</v>
      </c>
      <c r="E13" s="245">
        <f>IF(D$29=0,C13*2,C13+D13)</f>
        <v>139.57</v>
      </c>
      <c r="F13" s="819">
        <f>'0664'!F13:G13</f>
        <v>1.1259999999999999</v>
      </c>
      <c r="G13" s="819"/>
      <c r="H13" s="194">
        <f>ROUND(E13*F13,4)</f>
        <v>157.1558</v>
      </c>
      <c r="I13" s="140">
        <f t="shared" ref="I13:I28" si="0">ROUND(ROUND(H13*$C$8,4)*($H$8),2)</f>
        <v>716366.64</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7.3</v>
      </c>
      <c r="D14" s="192">
        <v>7.22</v>
      </c>
      <c r="E14" s="147">
        <f t="shared" ref="E14:E28" si="3">IF(D$29=0,C14*2,C14+D14)</f>
        <v>14.52</v>
      </c>
      <c r="F14" s="814">
        <f>'0664'!F14:G14</f>
        <v>1.1259999999999999</v>
      </c>
      <c r="G14" s="814"/>
      <c r="H14" s="99">
        <f t="shared" ref="H14:H28" si="4">ROUND(E14*F14,4)</f>
        <v>16.349499999999999</v>
      </c>
      <c r="I14" s="120">
        <f t="shared" si="0"/>
        <v>74526.28</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73.760000000000005</v>
      </c>
      <c r="D15" s="192">
        <v>69.97</v>
      </c>
      <c r="E15" s="147">
        <f t="shared" si="3"/>
        <v>143.73000000000002</v>
      </c>
      <c r="F15" s="814">
        <f>'0664'!F15:G15</f>
        <v>1</v>
      </c>
      <c r="G15" s="814"/>
      <c r="H15" s="99">
        <f t="shared" si="4"/>
        <v>143.72999999999999</v>
      </c>
      <c r="I15" s="120">
        <f t="shared" si="0"/>
        <v>655167.53</v>
      </c>
      <c r="N15" s="840" t="s">
        <v>31</v>
      </c>
      <c r="O15" s="840"/>
      <c r="P15" s="841">
        <f t="shared" si="1"/>
        <v>0</v>
      </c>
      <c r="Q15" s="841"/>
      <c r="R15" s="842">
        <v>1</v>
      </c>
      <c r="S15" s="842"/>
      <c r="T15" s="114">
        <f t="shared" si="5"/>
        <v>0</v>
      </c>
      <c r="U15" s="115">
        <f t="shared" si="2"/>
        <v>0</v>
      </c>
    </row>
    <row r="16" spans="1:21" x14ac:dyDescent="0.25">
      <c r="A16" s="764" t="s">
        <v>32</v>
      </c>
      <c r="B16" s="764"/>
      <c r="C16" s="192">
        <v>11.54</v>
      </c>
      <c r="D16" s="192">
        <v>11.94</v>
      </c>
      <c r="E16" s="147">
        <f t="shared" si="3"/>
        <v>23.479999999999997</v>
      </c>
      <c r="F16" s="814">
        <f>'0664'!F16:G16</f>
        <v>1</v>
      </c>
      <c r="G16" s="814"/>
      <c r="H16" s="99">
        <f t="shared" si="4"/>
        <v>23.48</v>
      </c>
      <c r="I16" s="120">
        <f t="shared" si="0"/>
        <v>107029.39</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3.07</v>
      </c>
      <c r="D25" s="192">
        <v>6.56</v>
      </c>
      <c r="E25" s="147">
        <f t="shared" si="3"/>
        <v>9.629999999999999</v>
      </c>
      <c r="F25" s="814">
        <f>'0664'!F25:G25</f>
        <v>1.1990000000000001</v>
      </c>
      <c r="G25" s="814"/>
      <c r="H25" s="99">
        <f t="shared" si="4"/>
        <v>11.5464</v>
      </c>
      <c r="I25" s="120">
        <f t="shared" si="0"/>
        <v>52632.2</v>
      </c>
      <c r="N25" s="840" t="s">
        <v>116</v>
      </c>
      <c r="O25" s="840"/>
      <c r="P25" s="841">
        <f t="shared" si="1"/>
        <v>0</v>
      </c>
      <c r="Q25" s="841"/>
      <c r="R25" s="842">
        <v>1</v>
      </c>
      <c r="S25" s="842"/>
      <c r="T25" s="114">
        <f t="shared" si="5"/>
        <v>0</v>
      </c>
      <c r="U25" s="115">
        <f t="shared" si="2"/>
        <v>0</v>
      </c>
    </row>
    <row r="26" spans="1:21" x14ac:dyDescent="0.25">
      <c r="A26" s="764" t="s">
        <v>117</v>
      </c>
      <c r="B26" s="764"/>
      <c r="C26" s="192">
        <v>3.05</v>
      </c>
      <c r="D26" s="192">
        <v>6.01</v>
      </c>
      <c r="E26" s="147">
        <f t="shared" si="3"/>
        <v>9.0599999999999987</v>
      </c>
      <c r="F26" s="814">
        <f>'0664'!F26:G26</f>
        <v>1.1990000000000001</v>
      </c>
      <c r="G26" s="814"/>
      <c r="H26" s="99">
        <f t="shared" si="4"/>
        <v>10.8629</v>
      </c>
      <c r="I26" s="120">
        <f t="shared" si="0"/>
        <v>49516.59</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175</v>
      </c>
      <c r="D29" s="113">
        <f>SUM(D13:D28)</f>
        <v>164.99</v>
      </c>
      <c r="E29" s="113">
        <f>SUM(E13:E28)</f>
        <v>339.99000000000007</v>
      </c>
      <c r="F29" s="820"/>
      <c r="G29" s="820"/>
      <c r="H29" s="118">
        <f>SUM(H13:H28)</f>
        <v>363.12460000000004</v>
      </c>
      <c r="I29" s="113">
        <f>SUM(I13:I28)</f>
        <v>1655238.6300000001</v>
      </c>
      <c r="N29" s="850" t="s">
        <v>5</v>
      </c>
      <c r="O29" s="850"/>
      <c r="P29" s="851">
        <f>SUM(P13:P28)</f>
        <v>0</v>
      </c>
      <c r="Q29" s="851"/>
      <c r="R29" s="852"/>
      <c r="S29" s="852"/>
      <c r="T29" s="119">
        <f>SUM(T13:T28)</f>
        <v>0</v>
      </c>
      <c r="U29" s="115">
        <f>SUM(U13:U28)</f>
        <v>0</v>
      </c>
    </row>
    <row r="30" spans="1:21" x14ac:dyDescent="0.25">
      <c r="A30" s="658"/>
      <c r="B30" s="658"/>
      <c r="C30" s="120"/>
      <c r="D30" s="120"/>
      <c r="E30" s="120"/>
      <c r="F30" s="659"/>
      <c r="G30" s="659"/>
      <c r="H30" s="99"/>
      <c r="I30" s="120"/>
      <c r="N30" s="647"/>
      <c r="O30" s="647"/>
      <c r="P30" s="30"/>
      <c r="Q30" s="30"/>
      <c r="R30" s="648"/>
      <c r="S30" s="648"/>
      <c r="T30" s="121"/>
      <c r="U30" s="122"/>
    </row>
    <row r="31" spans="1:21" x14ac:dyDescent="0.25">
      <c r="A31" s="195" t="s">
        <v>99</v>
      </c>
      <c r="B31" s="658"/>
      <c r="C31" s="120"/>
      <c r="D31" s="120"/>
      <c r="E31" s="120"/>
      <c r="F31" s="659"/>
      <c r="G31" s="659"/>
      <c r="H31" s="99"/>
      <c r="I31" s="120"/>
      <c r="N31" s="647"/>
      <c r="O31" s="647"/>
      <c r="P31" s="30"/>
      <c r="Q31" s="30"/>
      <c r="R31" s="648"/>
      <c r="S31" s="648"/>
      <c r="T31" s="121"/>
      <c r="U31" s="122"/>
    </row>
    <row r="32" spans="1:21" hidden="1" x14ac:dyDescent="0.25">
      <c r="A32" s="195"/>
      <c r="B32" s="658"/>
      <c r="C32" s="120"/>
      <c r="D32" s="120"/>
      <c r="E32" s="120"/>
      <c r="F32" s="659"/>
      <c r="G32" s="659"/>
      <c r="H32" s="99"/>
      <c r="I32" s="120"/>
      <c r="N32" s="647"/>
      <c r="O32" s="647"/>
      <c r="P32" s="30"/>
      <c r="Q32" s="30"/>
      <c r="R32" s="648"/>
      <c r="S32" s="648"/>
      <c r="T32" s="121"/>
      <c r="U32" s="122"/>
    </row>
    <row r="33" spans="1:21" hidden="1" x14ac:dyDescent="0.25">
      <c r="A33" s="195"/>
      <c r="B33" s="658"/>
      <c r="C33" s="120"/>
      <c r="D33" s="120"/>
      <c r="E33" s="120"/>
      <c r="F33" s="887" t="s">
        <v>298</v>
      </c>
      <c r="G33" s="887"/>
      <c r="H33" s="887"/>
      <c r="I33" s="120"/>
      <c r="N33" s="647"/>
      <c r="O33" s="647"/>
      <c r="P33" s="30"/>
      <c r="Q33" s="30"/>
      <c r="R33" s="648"/>
      <c r="S33" s="648"/>
      <c r="T33" s="121"/>
      <c r="U33" s="122"/>
    </row>
    <row r="34" spans="1:21" hidden="1" x14ac:dyDescent="0.25">
      <c r="A34" s="3"/>
      <c r="B34" s="646"/>
      <c r="C34" s="646"/>
      <c r="D34" s="646"/>
      <c r="E34" s="646"/>
      <c r="F34" s="887"/>
      <c r="G34" s="887"/>
      <c r="H34" s="887"/>
      <c r="I34" s="25" t="s">
        <v>75</v>
      </c>
      <c r="N34" s="853" t="s">
        <v>35</v>
      </c>
      <c r="O34" s="853"/>
      <c r="P34" s="853"/>
      <c r="Q34" s="853"/>
      <c r="R34" s="853"/>
      <c r="S34" s="853"/>
      <c r="T34" s="853"/>
      <c r="U34" s="26" t="s">
        <v>75</v>
      </c>
    </row>
    <row r="35" spans="1:21" hidden="1" x14ac:dyDescent="0.25">
      <c r="A35" s="658"/>
      <c r="B35" s="658"/>
      <c r="C35" s="600" t="s">
        <v>126</v>
      </c>
      <c r="D35" s="600" t="s">
        <v>127</v>
      </c>
      <c r="E35" s="108" t="s">
        <v>8</v>
      </c>
      <c r="F35" s="887"/>
      <c r="G35" s="887"/>
      <c r="H35" s="887"/>
      <c r="I35" s="25" t="s">
        <v>36</v>
      </c>
      <c r="N35" s="647"/>
      <c r="O35" s="647"/>
      <c r="P35" s="30"/>
      <c r="Q35" s="30"/>
      <c r="R35" s="648"/>
      <c r="S35" s="648"/>
      <c r="T35" s="121"/>
      <c r="U35" s="26" t="s">
        <v>36</v>
      </c>
    </row>
    <row r="36" spans="1:21" hidden="1" x14ac:dyDescent="0.25">
      <c r="A36" s="797" t="s">
        <v>64</v>
      </c>
      <c r="B36" s="797"/>
      <c r="C36" s="601" t="s">
        <v>2</v>
      </c>
      <c r="D36" s="601" t="s">
        <v>2</v>
      </c>
      <c r="E36" s="601"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idden="1" x14ac:dyDescent="0.25">
      <c r="A44" s="61"/>
      <c r="B44" s="127"/>
      <c r="C44" s="120"/>
      <c r="D44" s="120"/>
      <c r="E44" s="140"/>
      <c r="F44" s="33"/>
      <c r="G44" s="128"/>
      <c r="H44" s="129"/>
      <c r="I44" s="120"/>
      <c r="N44" s="647"/>
      <c r="O44" s="647"/>
      <c r="P44" s="647"/>
      <c r="Q44" s="647"/>
      <c r="R44" s="35"/>
      <c r="S44" s="648"/>
      <c r="T44" s="648"/>
      <c r="U44" s="122"/>
    </row>
    <row r="45" spans="1:21" ht="16.5" hidden="1" thickBot="1" x14ac:dyDescent="0.3">
      <c r="A45" s="61"/>
      <c r="B45" s="127" t="s">
        <v>129</v>
      </c>
      <c r="C45" s="61"/>
      <c r="D45" s="61"/>
      <c r="E45" s="201">
        <f>H29+E43</f>
        <v>363.12460000000004</v>
      </c>
      <c r="F45" s="36"/>
      <c r="G45" s="128"/>
      <c r="H45" s="129" t="s">
        <v>131</v>
      </c>
      <c r="I45" s="113">
        <f>SUM(I43,I29)</f>
        <v>1655238.6300000001</v>
      </c>
      <c r="N45" s="855" t="s">
        <v>56</v>
      </c>
      <c r="O45" s="855"/>
      <c r="P45" s="855"/>
      <c r="Q45" s="855"/>
      <c r="R45" s="37">
        <f>R43+T29</f>
        <v>0</v>
      </c>
      <c r="S45" s="852" t="s">
        <v>54</v>
      </c>
      <c r="T45" s="852"/>
      <c r="U45" s="130">
        <f>SUM(U43,U29)</f>
        <v>0</v>
      </c>
    </row>
    <row r="46" spans="1:21" hidden="1" x14ac:dyDescent="0.25">
      <c r="A46" s="658"/>
      <c r="B46" s="658"/>
      <c r="C46" s="658"/>
      <c r="D46" s="658"/>
      <c r="E46" s="658"/>
      <c r="F46" s="36"/>
      <c r="G46" s="649"/>
      <c r="H46" s="649"/>
      <c r="I46" s="120"/>
      <c r="N46" s="647"/>
      <c r="O46" s="647"/>
      <c r="P46" s="647"/>
      <c r="Q46" s="647"/>
      <c r="R46" s="37"/>
      <c r="S46" s="648"/>
      <c r="T46" s="648"/>
      <c r="U46" s="122"/>
    </row>
    <row r="47" spans="1:21" x14ac:dyDescent="0.25">
      <c r="A47" s="658"/>
      <c r="B47" s="127" t="s">
        <v>391</v>
      </c>
      <c r="C47" s="666" t="s">
        <v>391</v>
      </c>
      <c r="D47" s="600" t="s">
        <v>391</v>
      </c>
      <c r="E47" s="658"/>
      <c r="F47" s="36"/>
      <c r="G47" s="649"/>
      <c r="H47" s="649"/>
      <c r="I47" s="120"/>
      <c r="N47" s="647"/>
      <c r="O47" s="647"/>
      <c r="P47" s="647"/>
      <c r="Q47" s="647"/>
      <c r="R47" s="37"/>
      <c r="S47" s="648"/>
      <c r="T47" s="648"/>
      <c r="U47" s="122"/>
    </row>
    <row r="48" spans="1:21" x14ac:dyDescent="0.25">
      <c r="A48" s="658"/>
      <c r="B48" s="658"/>
      <c r="C48" s="600" t="s">
        <v>435</v>
      </c>
      <c r="D48" s="669" t="s">
        <v>436</v>
      </c>
      <c r="E48" s="108" t="s">
        <v>8</v>
      </c>
      <c r="F48" s="132" t="s">
        <v>132</v>
      </c>
      <c r="G48" s="133" t="s">
        <v>134</v>
      </c>
      <c r="H48" s="134" t="s">
        <v>135</v>
      </c>
      <c r="I48" s="120"/>
      <c r="N48" s="647"/>
      <c r="O48" s="647"/>
      <c r="P48" s="647"/>
      <c r="Q48" s="647"/>
      <c r="R48" s="37"/>
      <c r="S48" s="648"/>
      <c r="T48" s="648"/>
      <c r="U48" s="122"/>
    </row>
    <row r="49" spans="1:21" x14ac:dyDescent="0.25">
      <c r="A49" s="38" t="s">
        <v>89</v>
      </c>
      <c r="B49" s="38"/>
      <c r="C49" s="624" t="s">
        <v>2</v>
      </c>
      <c r="D49" s="622" t="s">
        <v>2</v>
      </c>
      <c r="E49" s="622" t="s">
        <v>2</v>
      </c>
      <c r="F49" s="650" t="s">
        <v>133</v>
      </c>
      <c r="G49" s="637" t="s">
        <v>133</v>
      </c>
      <c r="H49" s="135" t="s">
        <v>136</v>
      </c>
      <c r="I49" s="38"/>
      <c r="N49" s="845" t="s">
        <v>89</v>
      </c>
      <c r="O49" s="845"/>
      <c r="P49" s="856" t="s">
        <v>2</v>
      </c>
      <c r="Q49" s="856"/>
      <c r="R49" s="39" t="s">
        <v>25</v>
      </c>
      <c r="S49" s="633" t="s">
        <v>26</v>
      </c>
      <c r="T49" s="136" t="s">
        <v>27</v>
      </c>
      <c r="U49" s="39"/>
    </row>
    <row r="50" spans="1:21" x14ac:dyDescent="0.25">
      <c r="A50" s="791" t="s">
        <v>100</v>
      </c>
      <c r="B50" s="791"/>
      <c r="C50" s="192">
        <v>4.17</v>
      </c>
      <c r="D50" s="192">
        <v>4.78</v>
      </c>
      <c r="E50" s="147">
        <f>IF(D$59=0,C50*2,C50+D50)</f>
        <v>8.9499999999999993</v>
      </c>
      <c r="F50" s="634" t="s">
        <v>21</v>
      </c>
      <c r="G50" s="644">
        <v>251</v>
      </c>
      <c r="H50" s="485">
        <f>'0664'!H50</f>
        <v>1047</v>
      </c>
      <c r="I50" s="120">
        <f>ROUND(E50*H50,2)</f>
        <v>9370.65</v>
      </c>
      <c r="N50" s="863" t="s">
        <v>28</v>
      </c>
      <c r="O50" s="863"/>
      <c r="P50" s="864"/>
      <c r="Q50" s="864"/>
      <c r="R50" s="635" t="s">
        <v>21</v>
      </c>
      <c r="S50" s="654">
        <v>251</v>
      </c>
      <c r="T50" s="138">
        <f>H50</f>
        <v>1047</v>
      </c>
      <c r="U50" s="139">
        <f>ROUND(P50*T50,0)</f>
        <v>0</v>
      </c>
    </row>
    <row r="51" spans="1:21" x14ac:dyDescent="0.25">
      <c r="A51" s="792"/>
      <c r="B51" s="792"/>
      <c r="C51" s="192">
        <v>2.61</v>
      </c>
      <c r="D51" s="192">
        <v>2.44</v>
      </c>
      <c r="E51" s="147">
        <f t="shared" ref="E51:E58" si="10">IF(D$59=0,C51*2,C51+D51)</f>
        <v>5.05</v>
      </c>
      <c r="F51" s="644" t="s">
        <v>21</v>
      </c>
      <c r="G51" s="644">
        <v>252</v>
      </c>
      <c r="H51" s="485">
        <f>'0664'!H51</f>
        <v>3380</v>
      </c>
      <c r="I51" s="120">
        <f t="shared" ref="I51:I58" si="11">ROUND(E51*H51,2)</f>
        <v>17069</v>
      </c>
      <c r="N51" s="863"/>
      <c r="O51" s="863"/>
      <c r="P51" s="865"/>
      <c r="Q51" s="865"/>
      <c r="R51" s="654" t="s">
        <v>21</v>
      </c>
      <c r="S51" s="654">
        <v>252</v>
      </c>
      <c r="T51" s="138">
        <f t="shared" ref="T51:T58" si="12">H51</f>
        <v>3380</v>
      </c>
      <c r="U51" s="139">
        <f t="shared" ref="U51:U58" si="13">ROUND(P51*T51,0)</f>
        <v>0</v>
      </c>
    </row>
    <row r="52" spans="1:21" x14ac:dyDescent="0.25">
      <c r="A52" s="792"/>
      <c r="B52" s="792"/>
      <c r="C52" s="192">
        <v>0.52</v>
      </c>
      <c r="D52" s="192">
        <v>0</v>
      </c>
      <c r="E52" s="147">
        <f t="shared" si="10"/>
        <v>0.52</v>
      </c>
      <c r="F52" s="644" t="s">
        <v>21</v>
      </c>
      <c r="G52" s="644">
        <v>253</v>
      </c>
      <c r="H52" s="485">
        <f>'0664'!H52</f>
        <v>6896</v>
      </c>
      <c r="I52" s="120">
        <f t="shared" si="11"/>
        <v>3585.92</v>
      </c>
      <c r="N52" s="863"/>
      <c r="O52" s="863"/>
      <c r="P52" s="865"/>
      <c r="Q52" s="865"/>
      <c r="R52" s="654" t="s">
        <v>21</v>
      </c>
      <c r="S52" s="654">
        <v>253</v>
      </c>
      <c r="T52" s="138">
        <f t="shared" si="12"/>
        <v>6896</v>
      </c>
      <c r="U52" s="139">
        <f t="shared" si="13"/>
        <v>0</v>
      </c>
    </row>
    <row r="53" spans="1:21" x14ac:dyDescent="0.25">
      <c r="A53" s="792"/>
      <c r="B53" s="792"/>
      <c r="C53" s="192">
        <v>10.029999999999999</v>
      </c>
      <c r="D53" s="192">
        <v>9.51</v>
      </c>
      <c r="E53" s="147">
        <f t="shared" si="10"/>
        <v>19.54</v>
      </c>
      <c r="F53" s="660" t="s">
        <v>14</v>
      </c>
      <c r="G53" s="644">
        <v>251</v>
      </c>
      <c r="H53" s="485">
        <f>'0664'!H53</f>
        <v>1173</v>
      </c>
      <c r="I53" s="120">
        <f t="shared" si="11"/>
        <v>22920.42</v>
      </c>
      <c r="N53" s="863"/>
      <c r="O53" s="863"/>
      <c r="P53" s="865"/>
      <c r="Q53" s="865"/>
      <c r="R53" s="45" t="s">
        <v>14</v>
      </c>
      <c r="S53" s="654">
        <v>251</v>
      </c>
      <c r="T53" s="138">
        <f t="shared" si="12"/>
        <v>1173</v>
      </c>
      <c r="U53" s="139">
        <f t="shared" si="13"/>
        <v>0</v>
      </c>
    </row>
    <row r="54" spans="1:21" x14ac:dyDescent="0.25">
      <c r="A54" s="792"/>
      <c r="B54" s="792"/>
      <c r="C54" s="192">
        <v>1.51</v>
      </c>
      <c r="D54" s="192">
        <v>2.4300000000000002</v>
      </c>
      <c r="E54" s="147">
        <f t="shared" si="10"/>
        <v>3.9400000000000004</v>
      </c>
      <c r="F54" s="660" t="s">
        <v>14</v>
      </c>
      <c r="G54" s="644">
        <v>252</v>
      </c>
      <c r="H54" s="485">
        <f>'0664'!H54</f>
        <v>3506</v>
      </c>
      <c r="I54" s="120">
        <f t="shared" si="11"/>
        <v>13813.64</v>
      </c>
      <c r="N54" s="863"/>
      <c r="O54" s="863"/>
      <c r="P54" s="865"/>
      <c r="Q54" s="865"/>
      <c r="R54" s="45" t="s">
        <v>14</v>
      </c>
      <c r="S54" s="654">
        <v>252</v>
      </c>
      <c r="T54" s="138">
        <f t="shared" si="12"/>
        <v>3506</v>
      </c>
      <c r="U54" s="139">
        <f t="shared" si="13"/>
        <v>0</v>
      </c>
    </row>
    <row r="55" spans="1:21" x14ac:dyDescent="0.25">
      <c r="A55" s="792"/>
      <c r="B55" s="792"/>
      <c r="C55" s="192">
        <v>0</v>
      </c>
      <c r="D55" s="192">
        <v>0</v>
      </c>
      <c r="E55" s="147">
        <f t="shared" si="10"/>
        <v>0</v>
      </c>
      <c r="F55" s="660" t="s">
        <v>14</v>
      </c>
      <c r="G55" s="644">
        <v>253</v>
      </c>
      <c r="H55" s="485">
        <f>'0664'!H55</f>
        <v>7023</v>
      </c>
      <c r="I55" s="120">
        <f t="shared" si="11"/>
        <v>0</v>
      </c>
      <c r="N55" s="863"/>
      <c r="O55" s="863"/>
      <c r="P55" s="865"/>
      <c r="Q55" s="865"/>
      <c r="R55" s="45" t="s">
        <v>14</v>
      </c>
      <c r="S55" s="654">
        <v>253</v>
      </c>
      <c r="T55" s="138">
        <f t="shared" si="12"/>
        <v>7023</v>
      </c>
      <c r="U55" s="139">
        <f t="shared" si="13"/>
        <v>0</v>
      </c>
    </row>
    <row r="56" spans="1:21" x14ac:dyDescent="0.25">
      <c r="A56" s="792"/>
      <c r="B56" s="792"/>
      <c r="C56" s="192">
        <v>0</v>
      </c>
      <c r="D56" s="192">
        <v>0</v>
      </c>
      <c r="E56" s="147">
        <f t="shared" si="10"/>
        <v>0</v>
      </c>
      <c r="F56" s="660" t="s">
        <v>15</v>
      </c>
      <c r="G56" s="644">
        <v>251</v>
      </c>
      <c r="H56" s="485">
        <f>'0664'!H56</f>
        <v>835</v>
      </c>
      <c r="I56" s="120">
        <f t="shared" si="11"/>
        <v>0</v>
      </c>
      <c r="N56" s="863"/>
      <c r="O56" s="863"/>
      <c r="P56" s="865"/>
      <c r="Q56" s="865"/>
      <c r="R56" s="45" t="s">
        <v>15</v>
      </c>
      <c r="S56" s="654">
        <v>251</v>
      </c>
      <c r="T56" s="138">
        <f t="shared" si="12"/>
        <v>835</v>
      </c>
      <c r="U56" s="139">
        <f t="shared" si="13"/>
        <v>0</v>
      </c>
    </row>
    <row r="57" spans="1:21" x14ac:dyDescent="0.25">
      <c r="A57" s="792"/>
      <c r="B57" s="792"/>
      <c r="C57" s="192">
        <v>0</v>
      </c>
      <c r="D57" s="192">
        <v>0</v>
      </c>
      <c r="E57" s="147">
        <f t="shared" si="10"/>
        <v>0</v>
      </c>
      <c r="F57" s="660" t="s">
        <v>15</v>
      </c>
      <c r="G57" s="644">
        <v>252</v>
      </c>
      <c r="H57" s="485">
        <f>'0664'!H57</f>
        <v>3168</v>
      </c>
      <c r="I57" s="120">
        <f t="shared" si="11"/>
        <v>0</v>
      </c>
      <c r="N57" s="863"/>
      <c r="O57" s="863"/>
      <c r="P57" s="865"/>
      <c r="Q57" s="865"/>
      <c r="R57" s="45" t="s">
        <v>15</v>
      </c>
      <c r="S57" s="654">
        <v>252</v>
      </c>
      <c r="T57" s="138">
        <f t="shared" si="12"/>
        <v>3168</v>
      </c>
      <c r="U57" s="139">
        <f t="shared" si="13"/>
        <v>0</v>
      </c>
    </row>
    <row r="58" spans="1:21" ht="16.5" thickBot="1" x14ac:dyDescent="0.3">
      <c r="A58" s="792"/>
      <c r="B58" s="792"/>
      <c r="C58" s="192">
        <v>0</v>
      </c>
      <c r="D58" s="192">
        <v>0</v>
      </c>
      <c r="E58" s="147">
        <f t="shared" si="10"/>
        <v>0</v>
      </c>
      <c r="F58" s="660" t="s">
        <v>15</v>
      </c>
      <c r="G58" s="644">
        <v>253</v>
      </c>
      <c r="H58" s="485">
        <f>'0664'!H58</f>
        <v>6685</v>
      </c>
      <c r="I58" s="120">
        <f t="shared" si="11"/>
        <v>0</v>
      </c>
      <c r="N58" s="863"/>
      <c r="O58" s="863"/>
      <c r="P58" s="866"/>
      <c r="Q58" s="866"/>
      <c r="R58" s="45" t="s">
        <v>15</v>
      </c>
      <c r="S58" s="654">
        <v>253</v>
      </c>
      <c r="T58" s="138">
        <f t="shared" si="12"/>
        <v>6685</v>
      </c>
      <c r="U58" s="141">
        <f t="shared" si="13"/>
        <v>0</v>
      </c>
    </row>
    <row r="59" spans="1:21" ht="16.5" thickBot="1" x14ac:dyDescent="0.3">
      <c r="A59" s="767" t="s">
        <v>16</v>
      </c>
      <c r="B59" s="767"/>
      <c r="C59" s="116">
        <f>SUM(C50:C58)</f>
        <v>18.84</v>
      </c>
      <c r="D59" s="116">
        <f>SUM(D50:D58)</f>
        <v>19.16</v>
      </c>
      <c r="E59" s="116">
        <f>SUM(E50:E58)</f>
        <v>38</v>
      </c>
      <c r="F59" s="767" t="s">
        <v>78</v>
      </c>
      <c r="G59" s="767"/>
      <c r="H59" s="767"/>
      <c r="I59" s="116">
        <f>SUM(I50:I58)</f>
        <v>66759.63</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339.99000000000007</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626"/>
      <c r="G63" s="47" t="s">
        <v>13</v>
      </c>
      <c r="H63" s="145">
        <f>ROUND(C62/H62,6)</f>
        <v>1.7819999999999999E-3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363.12460000000004</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594"/>
      <c r="G66" s="48" t="s">
        <v>13</v>
      </c>
      <c r="H66" s="149">
        <f>ROUND(C65/H65,6)</f>
        <v>1.6930000000000001E-3</v>
      </c>
      <c r="I66" s="149"/>
      <c r="N66" s="845" t="s">
        <v>20</v>
      </c>
      <c r="O66" s="845"/>
      <c r="P66" s="845"/>
      <c r="Q66" s="845"/>
      <c r="R66" s="845"/>
      <c r="S66" s="845"/>
      <c r="T66" s="867">
        <f>ROUND(P65/T65,6)</f>
        <v>0</v>
      </c>
      <c r="U66" s="867"/>
    </row>
    <row r="67" spans="1:21" s="61" customFormat="1" x14ac:dyDescent="0.25">
      <c r="A67" s="626"/>
      <c r="G67" s="47"/>
      <c r="H67" s="150"/>
      <c r="I67" s="150"/>
      <c r="N67" s="636"/>
      <c r="O67" s="636"/>
      <c r="P67" s="636"/>
      <c r="Q67" s="636"/>
      <c r="R67" s="632"/>
      <c r="S67" s="636"/>
      <c r="T67" s="153"/>
      <c r="U67" s="645"/>
    </row>
    <row r="68" spans="1:21" x14ac:dyDescent="0.25">
      <c r="A68" s="764" t="s">
        <v>87</v>
      </c>
      <c r="B68" s="764"/>
      <c r="C68" s="764"/>
      <c r="D68" s="626"/>
      <c r="E68" s="642" t="s">
        <v>3</v>
      </c>
      <c r="F68" s="544">
        <f>'0664'!F68</f>
        <v>42029577</v>
      </c>
      <c r="G68" s="634" t="s">
        <v>6</v>
      </c>
      <c r="H68" s="155">
        <f>H63</f>
        <v>1.7819999999999999E-3</v>
      </c>
      <c r="I68" s="120">
        <f>ROUND(F68*H68,2)</f>
        <v>74896.710000000006</v>
      </c>
      <c r="N68" s="840" t="s">
        <v>87</v>
      </c>
      <c r="O68" s="840"/>
      <c r="P68" s="840"/>
      <c r="Q68" s="50"/>
      <c r="R68" s="156">
        <f>F68</f>
        <v>42029577</v>
      </c>
      <c r="S68" s="635" t="s">
        <v>6</v>
      </c>
      <c r="T68" s="157">
        <f>T63</f>
        <v>0</v>
      </c>
      <c r="U68" s="115">
        <f>ROUND(R68*T68,0)</f>
        <v>0</v>
      </c>
    </row>
    <row r="69" spans="1:21" x14ac:dyDescent="0.25">
      <c r="A69" s="811" t="s">
        <v>98</v>
      </c>
      <c r="B69" s="764"/>
      <c r="C69" s="764"/>
      <c r="D69" s="626"/>
      <c r="E69" s="642"/>
      <c r="F69" s="161"/>
      <c r="G69" s="634"/>
      <c r="H69" s="155"/>
      <c r="I69" s="120"/>
      <c r="N69" s="840" t="s">
        <v>86</v>
      </c>
      <c r="O69" s="840"/>
      <c r="P69" s="840"/>
      <c r="Q69" s="158"/>
      <c r="R69" s="158"/>
      <c r="S69" s="158"/>
      <c r="T69" s="158"/>
      <c r="U69" s="158"/>
    </row>
    <row r="70" spans="1:21" x14ac:dyDescent="0.25">
      <c r="A70" s="813" t="s">
        <v>143</v>
      </c>
      <c r="B70" s="764"/>
      <c r="C70" s="764"/>
      <c r="D70" s="626"/>
      <c r="E70" s="642" t="s">
        <v>3</v>
      </c>
      <c r="F70" s="544">
        <f>'0664'!F70</f>
        <v>0</v>
      </c>
      <c r="G70" s="634" t="s">
        <v>6</v>
      </c>
      <c r="H70" s="155">
        <f>H63</f>
        <v>1.7819999999999999E-3</v>
      </c>
      <c r="I70" s="120">
        <f>ROUND(F70*H70,2)</f>
        <v>0</v>
      </c>
      <c r="N70" s="631"/>
      <c r="O70" s="631"/>
      <c r="P70" s="631"/>
      <c r="Q70" s="50"/>
      <c r="R70" s="156">
        <f>F70</f>
        <v>0</v>
      </c>
      <c r="S70" s="635" t="s">
        <v>6</v>
      </c>
      <c r="T70" s="157">
        <f>T63</f>
        <v>0</v>
      </c>
      <c r="U70" s="115">
        <f>ROUND(R70*T70,0)</f>
        <v>0</v>
      </c>
    </row>
    <row r="71" spans="1:21" x14ac:dyDescent="0.25">
      <c r="A71" s="764" t="s">
        <v>85</v>
      </c>
      <c r="B71" s="764"/>
      <c r="C71" s="764"/>
      <c r="D71" s="556" t="s">
        <v>358</v>
      </c>
      <c r="E71" s="642" t="s">
        <v>372</v>
      </c>
      <c r="F71" s="544">
        <f>'0664'!F71</f>
        <v>146607</v>
      </c>
      <c r="G71" s="634" t="s">
        <v>6</v>
      </c>
      <c r="H71" s="155">
        <f>H63</f>
        <v>1.7819999999999999E-3</v>
      </c>
      <c r="I71" s="120">
        <f>IF(D71="Y",ROUND(F71*H71,2),0)</f>
        <v>261.25</v>
      </c>
      <c r="N71" s="840" t="s">
        <v>85</v>
      </c>
      <c r="O71" s="840"/>
      <c r="P71" s="840"/>
      <c r="Q71" s="50"/>
      <c r="R71" s="156">
        <f>F71</f>
        <v>146607</v>
      </c>
      <c r="S71" s="635" t="s">
        <v>6</v>
      </c>
      <c r="T71" s="157">
        <f>T63</f>
        <v>0</v>
      </c>
      <c r="U71" s="115">
        <f>ROUND(R71*T71,0)</f>
        <v>0</v>
      </c>
    </row>
    <row r="72" spans="1:21" x14ac:dyDescent="0.25">
      <c r="A72" s="764" t="s">
        <v>84</v>
      </c>
      <c r="B72" s="764"/>
      <c r="C72" s="764"/>
      <c r="D72" s="626"/>
      <c r="E72" s="642" t="s">
        <v>3</v>
      </c>
      <c r="F72" s="544">
        <f>'0664'!F72</f>
        <v>11337910</v>
      </c>
      <c r="G72" s="634" t="s">
        <v>6</v>
      </c>
      <c r="H72" s="155">
        <f>H63</f>
        <v>1.7819999999999999E-3</v>
      </c>
      <c r="I72" s="120">
        <f>ROUND(F72*H72,2)</f>
        <v>20204.16</v>
      </c>
      <c r="N72" s="840" t="s">
        <v>84</v>
      </c>
      <c r="O72" s="840"/>
      <c r="P72" s="840"/>
      <c r="Q72" s="50"/>
      <c r="R72" s="156">
        <f>F72</f>
        <v>11337910</v>
      </c>
      <c r="S72" s="635" t="s">
        <v>6</v>
      </c>
      <c r="T72" s="157">
        <f>T63</f>
        <v>0</v>
      </c>
      <c r="U72" s="115">
        <f>ROUND(R72*T72,0)</f>
        <v>0</v>
      </c>
    </row>
    <row r="73" spans="1:21" x14ac:dyDescent="0.25">
      <c r="A73" s="764" t="s">
        <v>83</v>
      </c>
      <c r="B73" s="764"/>
      <c r="C73" s="764"/>
      <c r="D73" s="626"/>
      <c r="E73" s="642" t="s">
        <v>3</v>
      </c>
      <c r="F73" s="544">
        <f>'0664'!F73</f>
        <v>13882385</v>
      </c>
      <c r="G73" s="634" t="s">
        <v>6</v>
      </c>
      <c r="H73" s="155">
        <f>H63</f>
        <v>1.7819999999999999E-3</v>
      </c>
      <c r="I73" s="120">
        <f>ROUND(F73*H73,2)</f>
        <v>24738.41</v>
      </c>
      <c r="N73" s="840" t="s">
        <v>83</v>
      </c>
      <c r="O73" s="840"/>
      <c r="P73" s="840"/>
      <c r="Q73" s="50"/>
      <c r="R73" s="159">
        <f>F73</f>
        <v>13882385</v>
      </c>
      <c r="S73" s="635" t="s">
        <v>6</v>
      </c>
      <c r="T73" s="157">
        <f>T63</f>
        <v>0</v>
      </c>
      <c r="U73" s="115">
        <f>ROUND(R73*T73,0)</f>
        <v>0</v>
      </c>
    </row>
    <row r="74" spans="1:21" x14ac:dyDescent="0.25">
      <c r="A74" s="337" t="s">
        <v>101</v>
      </c>
      <c r="D74" s="626"/>
      <c r="E74" s="660"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626"/>
      <c r="C76" s="626"/>
      <c r="D76" s="626"/>
      <c r="E76" s="626"/>
      <c r="F76" s="626"/>
      <c r="G76" s="626"/>
      <c r="H76" s="626"/>
      <c r="I76" s="160"/>
      <c r="N76" s="687" t="s">
        <v>44</v>
      </c>
      <c r="O76" s="631"/>
      <c r="P76" s="631"/>
      <c r="Q76" s="631"/>
      <c r="R76" s="631"/>
      <c r="S76" s="631"/>
      <c r="T76" s="631"/>
      <c r="U76" s="122"/>
    </row>
    <row r="77" spans="1:21" x14ac:dyDescent="0.25">
      <c r="A77" s="765" t="s">
        <v>387</v>
      </c>
      <c r="B77" s="764"/>
      <c r="C77" s="764"/>
      <c r="D77" s="626"/>
      <c r="E77" s="642" t="s">
        <v>3</v>
      </c>
      <c r="F77" s="544">
        <f>'0664'!F77</f>
        <v>7462542</v>
      </c>
      <c r="G77" s="634" t="s">
        <v>6</v>
      </c>
      <c r="H77" s="155">
        <f>H63</f>
        <v>1.7819999999999999E-3</v>
      </c>
      <c r="I77" s="120">
        <f t="shared" ref="I77:I82" si="14">ROUND(F77*H77,2)</f>
        <v>13298.25</v>
      </c>
      <c r="N77" s="860" t="s">
        <v>387</v>
      </c>
      <c r="O77" s="840"/>
      <c r="P77" s="840"/>
      <c r="Q77" s="50"/>
      <c r="R77" s="159">
        <f t="shared" ref="R77:R83" si="15">F77</f>
        <v>7462542</v>
      </c>
      <c r="S77" s="635" t="s">
        <v>6</v>
      </c>
      <c r="T77" s="157">
        <f>T64</f>
        <v>0</v>
      </c>
      <c r="U77" s="115">
        <f t="shared" ref="U77:U82" si="16">ROUND(R77*T77,0)</f>
        <v>0</v>
      </c>
    </row>
    <row r="78" spans="1:21" x14ac:dyDescent="0.25">
      <c r="A78" s="765" t="s">
        <v>388</v>
      </c>
      <c r="B78" s="764"/>
      <c r="C78" s="764"/>
      <c r="D78" s="626"/>
      <c r="E78" s="642" t="s">
        <v>3</v>
      </c>
      <c r="F78" s="544">
        <f>'0664'!F78</f>
        <v>0</v>
      </c>
      <c r="G78" s="634" t="s">
        <v>6</v>
      </c>
      <c r="H78" s="155">
        <f>H63</f>
        <v>1.7819999999999999E-3</v>
      </c>
      <c r="I78" s="120">
        <f t="shared" si="14"/>
        <v>0</v>
      </c>
      <c r="N78" s="840" t="s">
        <v>388</v>
      </c>
      <c r="O78" s="840"/>
      <c r="P78" s="840"/>
      <c r="Q78" s="50"/>
      <c r="R78" s="159">
        <f t="shared" si="15"/>
        <v>0</v>
      </c>
      <c r="S78" s="635" t="s">
        <v>6</v>
      </c>
      <c r="T78" s="157">
        <f>T64</f>
        <v>0</v>
      </c>
      <c r="U78" s="115">
        <f t="shared" si="16"/>
        <v>0</v>
      </c>
    </row>
    <row r="79" spans="1:21" x14ac:dyDescent="0.25">
      <c r="A79" s="765" t="s">
        <v>414</v>
      </c>
      <c r="B79" s="764"/>
      <c r="C79" s="764"/>
      <c r="D79" s="626"/>
      <c r="E79" s="642" t="s">
        <v>4</v>
      </c>
      <c r="F79" s="544">
        <f>'0664'!F79</f>
        <v>0</v>
      </c>
      <c r="G79" s="634" t="s">
        <v>6</v>
      </c>
      <c r="H79" s="155">
        <f>H66</f>
        <v>1.6930000000000001E-3</v>
      </c>
      <c r="I79" s="120">
        <f t="shared" si="14"/>
        <v>0</v>
      </c>
      <c r="N79" s="860" t="s">
        <v>414</v>
      </c>
      <c r="O79" s="840"/>
      <c r="P79" s="840"/>
      <c r="Q79" s="50"/>
      <c r="R79" s="159">
        <f t="shared" si="15"/>
        <v>0</v>
      </c>
      <c r="S79" s="635" t="s">
        <v>6</v>
      </c>
      <c r="T79" s="157">
        <f>T66</f>
        <v>0</v>
      </c>
      <c r="U79" s="115">
        <f t="shared" si="16"/>
        <v>0</v>
      </c>
    </row>
    <row r="80" spans="1:21" x14ac:dyDescent="0.25">
      <c r="A80" s="765" t="s">
        <v>415</v>
      </c>
      <c r="B80" s="764"/>
      <c r="C80" s="764"/>
      <c r="D80" s="626"/>
      <c r="E80" s="642" t="s">
        <v>4</v>
      </c>
      <c r="F80" s="544">
        <f>'0664'!F80</f>
        <v>8562788</v>
      </c>
      <c r="G80" s="634" t="s">
        <v>6</v>
      </c>
      <c r="H80" s="155">
        <f>H66</f>
        <v>1.6930000000000001E-3</v>
      </c>
      <c r="I80" s="120">
        <f t="shared" si="14"/>
        <v>14496.8</v>
      </c>
      <c r="N80" s="860" t="s">
        <v>415</v>
      </c>
      <c r="O80" s="840"/>
      <c r="P80" s="840"/>
      <c r="Q80" s="50"/>
      <c r="R80" s="159">
        <f t="shared" si="15"/>
        <v>8562788</v>
      </c>
      <c r="S80" s="635" t="s">
        <v>6</v>
      </c>
      <c r="T80" s="157">
        <f>T66</f>
        <v>0</v>
      </c>
      <c r="U80" s="115">
        <f t="shared" si="16"/>
        <v>0</v>
      </c>
    </row>
    <row r="81" spans="1:21" x14ac:dyDescent="0.25">
      <c r="A81" s="765" t="s">
        <v>419</v>
      </c>
      <c r="B81" s="764"/>
      <c r="C81" s="764"/>
      <c r="D81" s="626"/>
      <c r="E81" s="642" t="s">
        <v>4</v>
      </c>
      <c r="F81" s="544">
        <f>'0664'!F81</f>
        <v>168663228</v>
      </c>
      <c r="G81" s="634" t="s">
        <v>6</v>
      </c>
      <c r="H81" s="155">
        <f>H66</f>
        <v>1.6930000000000001E-3</v>
      </c>
      <c r="I81" s="120">
        <f t="shared" si="14"/>
        <v>285546.84999999998</v>
      </c>
      <c r="N81" s="860" t="s">
        <v>419</v>
      </c>
      <c r="O81" s="840"/>
      <c r="P81" s="840"/>
      <c r="Q81" s="50"/>
      <c r="R81" s="159">
        <f t="shared" si="15"/>
        <v>168663228</v>
      </c>
      <c r="S81" s="635" t="s">
        <v>6</v>
      </c>
      <c r="T81" s="157">
        <f>T66</f>
        <v>0</v>
      </c>
      <c r="U81" s="115">
        <f t="shared" si="16"/>
        <v>0</v>
      </c>
    </row>
    <row r="82" spans="1:21" x14ac:dyDescent="0.25">
      <c r="A82" s="765" t="s">
        <v>420</v>
      </c>
      <c r="B82" s="764"/>
      <c r="C82" s="764"/>
      <c r="D82" s="626"/>
      <c r="E82" s="642" t="s">
        <v>4</v>
      </c>
      <c r="F82" s="544">
        <f>'0664'!F82</f>
        <v>0</v>
      </c>
      <c r="G82" s="634" t="s">
        <v>6</v>
      </c>
      <c r="H82" s="155">
        <f>H66</f>
        <v>1.6930000000000001E-3</v>
      </c>
      <c r="I82" s="120">
        <f t="shared" si="14"/>
        <v>0</v>
      </c>
      <c r="N82" s="860" t="s">
        <v>420</v>
      </c>
      <c r="O82" s="840"/>
      <c r="P82" s="840"/>
      <c r="Q82" s="50"/>
      <c r="R82" s="156">
        <f t="shared" si="15"/>
        <v>0</v>
      </c>
      <c r="S82" s="635" t="s">
        <v>6</v>
      </c>
      <c r="T82" s="157">
        <f>T66</f>
        <v>0</v>
      </c>
      <c r="U82" s="115">
        <f t="shared" si="16"/>
        <v>0</v>
      </c>
    </row>
    <row r="83" spans="1:21" x14ac:dyDescent="0.25">
      <c r="A83" s="717" t="s">
        <v>425</v>
      </c>
      <c r="B83" s="626"/>
      <c r="C83" s="626"/>
      <c r="D83" s="626"/>
      <c r="E83" s="683" t="s">
        <v>45</v>
      </c>
      <c r="F83" s="544"/>
      <c r="G83" s="634"/>
      <c r="H83" s="155"/>
      <c r="I83" s="120">
        <v>42800.27</v>
      </c>
      <c r="N83" s="719" t="s">
        <v>425</v>
      </c>
      <c r="O83" s="631"/>
      <c r="P83" s="631"/>
      <c r="Q83" s="50"/>
      <c r="R83" s="159">
        <f t="shared" si="15"/>
        <v>0</v>
      </c>
      <c r="S83" s="635" t="s">
        <v>6</v>
      </c>
      <c r="T83" s="157">
        <f>T66</f>
        <v>0</v>
      </c>
      <c r="U83" s="115">
        <f>IF($H$116=1,I83,0)</f>
        <v>0</v>
      </c>
    </row>
    <row r="84" spans="1:21" x14ac:dyDescent="0.25">
      <c r="A84" s="765" t="s">
        <v>457</v>
      </c>
      <c r="B84" s="764"/>
      <c r="C84" s="764"/>
      <c r="D84" s="744"/>
      <c r="E84" s="747" t="s">
        <v>3</v>
      </c>
      <c r="F84" s="544">
        <f>'0664'!F84</f>
        <v>21614343</v>
      </c>
      <c r="G84" s="749" t="s">
        <v>6</v>
      </c>
      <c r="H84" s="155">
        <f>H63</f>
        <v>1.7819999999999999E-3</v>
      </c>
      <c r="I84" s="120">
        <f>ROUND(F84*H84,2)</f>
        <v>38516.76</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626"/>
      <c r="C87" s="780" t="s">
        <v>74</v>
      </c>
      <c r="D87" s="780"/>
      <c r="E87" s="626"/>
      <c r="F87" s="660" t="s">
        <v>37</v>
      </c>
      <c r="G87" s="626"/>
      <c r="H87" s="626"/>
      <c r="I87" s="626"/>
      <c r="N87" s="631"/>
      <c r="O87" s="631"/>
      <c r="P87" s="631"/>
      <c r="Q87" s="631"/>
      <c r="R87" s="631"/>
      <c r="S87" s="631"/>
      <c r="T87" s="631"/>
      <c r="U87" s="63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630"/>
      <c r="B89" s="64" t="s">
        <v>150</v>
      </c>
      <c r="C89" s="781">
        <f>H13+H14+H19+H22+H25</f>
        <v>185.05170000000001</v>
      </c>
      <c r="D89" s="781"/>
      <c r="E89" s="54">
        <f>H8</f>
        <v>1.0424</v>
      </c>
      <c r="F89" s="545">
        <f>'0664'!F89</f>
        <v>966.9</v>
      </c>
      <c r="G89" s="661" t="s">
        <v>13</v>
      </c>
      <c r="H89" s="120">
        <f>ROUND(C89*E89*F89,2)</f>
        <v>186512.97</v>
      </c>
      <c r="I89" s="124"/>
      <c r="N89" s="629"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178.07289999999998</v>
      </c>
      <c r="D90" s="781"/>
      <c r="E90" s="54">
        <f>H8</f>
        <v>1.0424</v>
      </c>
      <c r="F90" s="545">
        <f>'0664'!F90</f>
        <v>923.19</v>
      </c>
      <c r="G90" s="661" t="s">
        <v>13</v>
      </c>
      <c r="H90" s="120">
        <f>ROUND(C90*E90*F90,2)</f>
        <v>171365.47</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661"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363.12459999999999</v>
      </c>
      <c r="D92" s="782"/>
      <c r="E92" s="168"/>
      <c r="F92" s="168"/>
      <c r="G92" s="168"/>
      <c r="H92" s="169" t="s">
        <v>145</v>
      </c>
      <c r="I92" s="120">
        <f>IF(A1=75,0,H91+H90+H89)</f>
        <v>357878.44</v>
      </c>
      <c r="N92" s="639"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640"/>
      <c r="B94" s="640"/>
      <c r="C94" s="640"/>
      <c r="D94" s="640"/>
      <c r="E94" s="640"/>
      <c r="F94" s="640"/>
      <c r="G94" s="640"/>
      <c r="H94" s="640"/>
      <c r="I94" s="640"/>
      <c r="N94" s="641"/>
      <c r="O94" s="641"/>
      <c r="P94" s="641"/>
      <c r="Q94" s="641"/>
      <c r="R94" s="641"/>
      <c r="S94" s="641"/>
      <c r="T94" s="641"/>
      <c r="U94" s="641"/>
    </row>
    <row r="95" spans="1:21" x14ac:dyDescent="0.25">
      <c r="A95" s="745" t="s">
        <v>459</v>
      </c>
      <c r="C95" s="642"/>
      <c r="D95" s="626"/>
      <c r="E95" s="683" t="s">
        <v>102</v>
      </c>
      <c r="F95" s="774"/>
      <c r="G95" s="774"/>
      <c r="H95" s="774"/>
      <c r="I95" s="774"/>
      <c r="N95" s="860" t="s">
        <v>459</v>
      </c>
      <c r="O95" s="840"/>
      <c r="P95" s="840"/>
      <c r="Q95" s="879"/>
      <c r="R95" s="879"/>
      <c r="S95" s="879"/>
      <c r="T95" s="879"/>
      <c r="U95" s="122"/>
    </row>
    <row r="96" spans="1:21" x14ac:dyDescent="0.25">
      <c r="B96" s="626"/>
      <c r="C96" s="600" t="s">
        <v>435</v>
      </c>
      <c r="D96" s="669" t="s">
        <v>436</v>
      </c>
      <c r="E96" s="108" t="s">
        <v>153</v>
      </c>
      <c r="F96" s="642"/>
      <c r="G96" s="642"/>
      <c r="H96" s="642"/>
      <c r="I96" s="642"/>
      <c r="N96" s="631"/>
      <c r="O96" s="631"/>
      <c r="P96" s="631"/>
      <c r="Q96" s="643"/>
      <c r="R96" s="643"/>
      <c r="S96" s="643"/>
      <c r="T96" s="643"/>
      <c r="U96" s="122"/>
    </row>
    <row r="97" spans="1:21" x14ac:dyDescent="0.25">
      <c r="B97" s="626"/>
      <c r="C97" s="624" t="s">
        <v>2</v>
      </c>
      <c r="D97" s="622" t="s">
        <v>2</v>
      </c>
      <c r="E97" s="622" t="s">
        <v>2</v>
      </c>
      <c r="F97" s="642"/>
      <c r="G97" s="642"/>
      <c r="H97" s="642"/>
      <c r="I97" s="642"/>
      <c r="N97" s="631"/>
      <c r="O97" s="631"/>
      <c r="P97" s="631"/>
      <c r="Q97" s="643"/>
      <c r="R97" s="643"/>
      <c r="S97" s="643"/>
      <c r="T97" s="643"/>
      <c r="U97" s="122"/>
    </row>
    <row r="98" spans="1:21" x14ac:dyDescent="0.25">
      <c r="A98" s="767" t="s">
        <v>66</v>
      </c>
      <c r="B98" s="767"/>
      <c r="C98" s="192">
        <v>2</v>
      </c>
      <c r="D98" s="192">
        <v>0</v>
      </c>
      <c r="E98" s="147">
        <f>(C98+D98)/2</f>
        <v>1</v>
      </c>
      <c r="F98" s="173" t="s">
        <v>39</v>
      </c>
      <c r="G98" s="546">
        <f>'0664'!G98</f>
        <v>486</v>
      </c>
      <c r="I98" s="120">
        <f>ROUND(G98*E98,2)</f>
        <v>486</v>
      </c>
      <c r="N98" s="873" t="s">
        <v>66</v>
      </c>
      <c r="O98" s="873"/>
      <c r="P98" s="874">
        <f>IF(H116=1,E98,0)</f>
        <v>0</v>
      </c>
      <c r="Q98" s="874"/>
      <c r="R98" s="874"/>
      <c r="S98" s="651"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651" t="s">
        <v>39</v>
      </c>
      <c r="T99" s="72">
        <f>G99</f>
        <v>1498</v>
      </c>
      <c r="U99" s="115">
        <f>ROUND(T99*P99,0)</f>
        <v>0</v>
      </c>
    </row>
    <row r="100" spans="1:21" x14ac:dyDescent="0.25">
      <c r="A100" s="174"/>
      <c r="B100" s="174"/>
      <c r="C100" s="89"/>
      <c r="D100" s="89"/>
      <c r="E100" s="89"/>
      <c r="F100" s="89"/>
      <c r="G100" s="175"/>
      <c r="H100" s="176"/>
      <c r="I100" s="120"/>
      <c r="N100" s="638"/>
      <c r="O100" s="638"/>
      <c r="P100" s="178"/>
      <c r="Q100" s="178"/>
      <c r="R100" s="178"/>
      <c r="S100" s="651"/>
      <c r="T100" s="72"/>
      <c r="U100" s="122"/>
    </row>
    <row r="101" spans="1:21" x14ac:dyDescent="0.25">
      <c r="A101" s="174"/>
      <c r="B101" s="174"/>
      <c r="C101" s="89"/>
      <c r="D101" s="89"/>
      <c r="E101" s="89"/>
      <c r="F101" s="89"/>
      <c r="G101" s="175"/>
      <c r="H101" s="176"/>
      <c r="I101" s="120"/>
      <c r="N101" s="638"/>
      <c r="O101" s="638"/>
      <c r="P101" s="178"/>
      <c r="Q101" s="178"/>
      <c r="R101" s="178"/>
      <c r="S101" s="651"/>
      <c r="T101" s="72"/>
      <c r="U101" s="122"/>
    </row>
    <row r="102" spans="1:21" hidden="1" x14ac:dyDescent="0.25">
      <c r="A102" s="765" t="s">
        <v>374</v>
      </c>
      <c r="B102" s="764"/>
      <c r="C102" s="764"/>
      <c r="D102" s="626"/>
      <c r="E102" s="686" t="s">
        <v>41</v>
      </c>
      <c r="F102" s="780"/>
      <c r="G102" s="780"/>
      <c r="H102" s="780"/>
      <c r="I102" s="780"/>
      <c r="N102" s="860" t="s">
        <v>383</v>
      </c>
      <c r="O102" s="840"/>
      <c r="P102" s="840"/>
      <c r="Q102" s="840"/>
      <c r="R102" s="840"/>
      <c r="S102" s="840"/>
      <c r="T102" s="840"/>
      <c r="U102" s="840"/>
    </row>
    <row r="103" spans="1:21" hidden="1" x14ac:dyDescent="0.25">
      <c r="B103" s="626"/>
      <c r="C103" s="776" t="s">
        <v>93</v>
      </c>
      <c r="D103" s="776"/>
      <c r="E103" s="776"/>
      <c r="F103" s="644"/>
      <c r="G103" s="644"/>
      <c r="H103" s="661" t="s">
        <v>154</v>
      </c>
      <c r="I103" s="644"/>
      <c r="N103" s="631"/>
      <c r="O103" s="631"/>
      <c r="P103" s="631"/>
      <c r="Q103" s="631"/>
      <c r="R103" s="631"/>
      <c r="S103" s="631"/>
      <c r="T103" s="631"/>
      <c r="U103" s="631"/>
    </row>
    <row r="104" spans="1:21" hidden="1" x14ac:dyDescent="0.25">
      <c r="B104" s="626"/>
      <c r="C104" s="600" t="s">
        <v>392</v>
      </c>
      <c r="D104" s="600" t="s">
        <v>370</v>
      </c>
      <c r="E104" s="185" t="s">
        <v>8</v>
      </c>
      <c r="F104" s="883" t="s">
        <v>155</v>
      </c>
      <c r="G104" s="770"/>
      <c r="H104" s="634" t="s">
        <v>38</v>
      </c>
      <c r="I104" s="644"/>
      <c r="N104" s="631"/>
      <c r="O104" s="631"/>
      <c r="P104" s="631"/>
      <c r="Q104" s="631"/>
      <c r="R104" s="631"/>
      <c r="S104" s="631"/>
      <c r="T104" s="631"/>
      <c r="U104" s="631"/>
    </row>
    <row r="105" spans="1:21" hidden="1" x14ac:dyDescent="0.25">
      <c r="A105" s="776" t="s">
        <v>96</v>
      </c>
      <c r="B105" s="776"/>
      <c r="C105" s="601" t="s">
        <v>2</v>
      </c>
      <c r="D105" s="601" t="s">
        <v>2</v>
      </c>
      <c r="E105" s="637" t="s">
        <v>2</v>
      </c>
      <c r="F105" s="776" t="s">
        <v>37</v>
      </c>
      <c r="G105" s="776"/>
      <c r="H105" s="637" t="s">
        <v>37</v>
      </c>
      <c r="I105" s="637" t="s">
        <v>8</v>
      </c>
      <c r="N105" s="859" t="s">
        <v>67</v>
      </c>
      <c r="O105" s="859"/>
      <c r="P105" s="874" t="s">
        <v>93</v>
      </c>
      <c r="Q105" s="874"/>
      <c r="R105" s="859" t="s">
        <v>68</v>
      </c>
      <c r="S105" s="859"/>
      <c r="T105" s="633" t="s">
        <v>69</v>
      </c>
      <c r="U105" s="633"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idden="1" x14ac:dyDescent="0.25">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634"/>
      <c r="B110" s="634"/>
      <c r="C110" s="81"/>
      <c r="D110" s="81"/>
      <c r="E110" s="81"/>
      <c r="F110" s="81"/>
      <c r="G110" s="81"/>
      <c r="H110" s="81"/>
      <c r="I110" s="120"/>
      <c r="N110" s="635"/>
      <c r="O110" s="635"/>
      <c r="P110" s="82"/>
      <c r="Q110" s="82"/>
      <c r="R110" s="82"/>
      <c r="S110" s="82"/>
      <c r="T110" s="82"/>
      <c r="U110" s="187"/>
    </row>
    <row r="111" spans="1:21" x14ac:dyDescent="0.25">
      <c r="A111" s="765" t="s">
        <v>460</v>
      </c>
      <c r="B111" s="764"/>
      <c r="C111" s="764"/>
      <c r="D111" s="62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62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626"/>
      <c r="C113" s="626"/>
      <c r="D113" s="626"/>
      <c r="E113" s="628"/>
      <c r="F113" s="628"/>
      <c r="G113" s="628"/>
      <c r="H113" s="628"/>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2595122.16</v>
      </c>
      <c r="N114" s="629"/>
      <c r="O114" s="629"/>
      <c r="P114" s="629"/>
      <c r="Q114" s="629"/>
      <c r="R114" s="629"/>
      <c r="S114" s="629"/>
      <c r="T114" s="629"/>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626"/>
      <c r="C117" s="626"/>
      <c r="D117" s="626"/>
      <c r="E117" s="626"/>
      <c r="F117" s="626"/>
      <c r="G117" s="626"/>
      <c r="H117" s="89"/>
      <c r="I117" s="120"/>
      <c r="N117" s="88" t="s">
        <v>108</v>
      </c>
      <c r="O117" s="88"/>
      <c r="P117" s="88"/>
      <c r="Q117" s="88"/>
      <c r="R117" s="88"/>
      <c r="S117" s="88"/>
      <c r="T117" s="88"/>
      <c r="U117" s="88"/>
    </row>
    <row r="118" spans="1:21" x14ac:dyDescent="0.25">
      <c r="A118" s="3" t="s">
        <v>104</v>
      </c>
      <c r="B118" s="626"/>
      <c r="C118" s="626"/>
      <c r="D118" s="626"/>
      <c r="E118" s="626"/>
      <c r="F118" s="626"/>
      <c r="G118" s="396"/>
      <c r="H118" s="188">
        <f>IF(H116=1,I116,I114)</f>
        <v>2595122.16</v>
      </c>
      <c r="I118" s="113">
        <f>ROUND(IF(E29=0,0,IF(E29&gt;250,-(((250/E29)*H118)*IF(G118="H",0.02,0.05)),IF(G118="H",-0.02*H118,-0.05*H118))),2)</f>
        <v>-95411.71</v>
      </c>
      <c r="N118" s="90" t="s">
        <v>109</v>
      </c>
      <c r="O118" s="88"/>
      <c r="P118" s="88"/>
      <c r="Q118" s="88"/>
      <c r="R118" s="88"/>
      <c r="S118" s="88"/>
      <c r="T118" s="88"/>
      <c r="U118" s="88"/>
    </row>
    <row r="119" spans="1:21" x14ac:dyDescent="0.25">
      <c r="B119" s="626"/>
      <c r="C119" s="626"/>
      <c r="D119" s="626"/>
      <c r="E119" s="626"/>
      <c r="F119" s="626"/>
      <c r="G119" s="626"/>
      <c r="H119" s="89"/>
      <c r="I119" s="120"/>
      <c r="N119" s="627"/>
      <c r="O119" s="627"/>
      <c r="P119" s="627"/>
      <c r="Q119" s="627"/>
      <c r="R119" s="627"/>
      <c r="S119" s="627"/>
      <c r="T119" s="627"/>
      <c r="U119" s="627"/>
    </row>
    <row r="120" spans="1:21" x14ac:dyDescent="0.25">
      <c r="A120" s="552" t="s">
        <v>105</v>
      </c>
      <c r="B120" s="553"/>
      <c r="C120" s="553"/>
      <c r="D120" s="553"/>
      <c r="E120" s="553"/>
      <c r="F120" s="553"/>
      <c r="G120" s="553"/>
      <c r="H120" s="554"/>
      <c r="I120" s="555">
        <f>I114+I118</f>
        <v>2499710.4500000002</v>
      </c>
      <c r="N120" s="627"/>
      <c r="O120" s="627"/>
      <c r="P120" s="627"/>
      <c r="Q120" s="627"/>
      <c r="R120" s="627"/>
      <c r="S120" s="627"/>
      <c r="T120" s="627"/>
      <c r="U120" s="627"/>
    </row>
    <row r="121" spans="1:21" x14ac:dyDescent="0.25">
      <c r="B121" s="626"/>
      <c r="C121" s="626"/>
      <c r="D121" s="626"/>
      <c r="E121" s="626"/>
      <c r="F121" s="626"/>
      <c r="G121" s="626"/>
      <c r="H121" s="89"/>
      <c r="I121" s="120"/>
      <c r="N121" s="627"/>
      <c r="O121" s="627"/>
      <c r="P121" s="627"/>
      <c r="Q121" s="627"/>
      <c r="R121" s="627"/>
      <c r="S121" s="627"/>
      <c r="T121" s="627"/>
      <c r="U121" s="627"/>
    </row>
    <row r="122" spans="1:21" x14ac:dyDescent="0.25">
      <c r="A122" s="625" t="s">
        <v>308</v>
      </c>
      <c r="B122" s="626"/>
      <c r="C122" s="189"/>
      <c r="D122" s="626"/>
      <c r="F122" s="626"/>
      <c r="G122" s="626"/>
      <c r="H122" s="89"/>
      <c r="I122" s="427">
        <v>-2476270.27</v>
      </c>
      <c r="N122" s="627"/>
      <c r="O122" s="627"/>
      <c r="P122" s="627"/>
      <c r="Q122" s="627"/>
      <c r="R122" s="627"/>
      <c r="S122" s="627"/>
      <c r="T122" s="627"/>
      <c r="U122" s="627"/>
    </row>
    <row r="123" spans="1:21" x14ac:dyDescent="0.25">
      <c r="B123" s="626"/>
      <c r="C123" s="626"/>
      <c r="D123" s="626"/>
      <c r="E123" s="626"/>
      <c r="F123" s="626"/>
      <c r="G123" s="626"/>
      <c r="H123" s="89"/>
      <c r="I123" s="120"/>
      <c r="N123" s="627"/>
      <c r="O123" s="627"/>
      <c r="P123" s="627"/>
      <c r="Q123" s="627"/>
      <c r="R123" s="627"/>
      <c r="S123" s="627"/>
      <c r="T123" s="627"/>
      <c r="U123" s="627"/>
    </row>
    <row r="124" spans="1:21" x14ac:dyDescent="0.25">
      <c r="A124" s="625" t="s">
        <v>313</v>
      </c>
      <c r="B124" s="626"/>
      <c r="C124" s="626"/>
      <c r="D124" s="626"/>
      <c r="E124" s="626"/>
      <c r="F124" s="626"/>
      <c r="G124" s="626"/>
      <c r="H124" s="89"/>
      <c r="I124" s="414">
        <f>I120+I122</f>
        <v>23440.180000000168</v>
      </c>
      <c r="N124" s="627"/>
      <c r="O124" s="627"/>
      <c r="P124" s="627"/>
      <c r="Q124" s="627"/>
      <c r="R124" s="627"/>
      <c r="S124" s="627"/>
      <c r="T124" s="627"/>
      <c r="U124" s="627"/>
    </row>
    <row r="125" spans="1:21" x14ac:dyDescent="0.25">
      <c r="A125" s="625"/>
      <c r="B125" s="626"/>
      <c r="C125" s="626"/>
      <c r="D125" s="626"/>
      <c r="E125" s="626"/>
      <c r="F125" s="626"/>
      <c r="G125" s="626"/>
      <c r="H125" s="89"/>
      <c r="I125" s="414"/>
      <c r="N125" s="627"/>
      <c r="O125" s="627"/>
      <c r="P125" s="627"/>
      <c r="Q125" s="627"/>
      <c r="R125" s="627"/>
      <c r="S125" s="627"/>
      <c r="T125" s="627"/>
      <c r="U125" s="627"/>
    </row>
    <row r="126" spans="1:21" x14ac:dyDescent="0.25">
      <c r="A126" s="625" t="s">
        <v>314</v>
      </c>
      <c r="B126" s="626"/>
      <c r="C126" s="626"/>
      <c r="D126" s="626"/>
      <c r="E126" s="626"/>
      <c r="F126" s="626"/>
      <c r="G126" s="626"/>
      <c r="H126" s="89"/>
      <c r="I126" s="426">
        <f>'0664'!I126</f>
        <v>1</v>
      </c>
      <c r="N126" s="627"/>
      <c r="O126" s="627"/>
      <c r="P126" s="627"/>
      <c r="Q126" s="627"/>
      <c r="R126" s="627"/>
      <c r="S126" s="627"/>
      <c r="T126" s="627"/>
      <c r="U126" s="627"/>
    </row>
    <row r="127" spans="1:21" x14ac:dyDescent="0.25">
      <c r="B127" s="626"/>
      <c r="C127" s="626"/>
      <c r="D127" s="626"/>
      <c r="E127" s="626"/>
      <c r="F127" s="626"/>
      <c r="G127" s="626"/>
      <c r="H127" s="89"/>
      <c r="I127" s="120"/>
      <c r="N127" s="627"/>
      <c r="O127" s="627"/>
      <c r="P127" s="627"/>
      <c r="Q127" s="627"/>
      <c r="R127" s="627"/>
      <c r="S127" s="627"/>
      <c r="T127" s="627"/>
      <c r="U127" s="627"/>
    </row>
    <row r="128" spans="1:21" ht="16.5" thickBot="1" x14ac:dyDescent="0.3">
      <c r="A128" s="3" t="s">
        <v>107</v>
      </c>
      <c r="B128" s="626"/>
      <c r="C128" s="626"/>
      <c r="D128" s="626"/>
      <c r="E128" s="626"/>
      <c r="F128" s="626"/>
      <c r="G128" s="626"/>
      <c r="H128" s="89"/>
      <c r="I128" s="205">
        <f>ROUND(I124/I126,2)</f>
        <v>23440.18</v>
      </c>
      <c r="N128" s="627"/>
      <c r="O128" s="627"/>
      <c r="P128" s="627"/>
      <c r="Q128" s="627"/>
      <c r="R128" s="627"/>
      <c r="S128" s="627"/>
      <c r="T128" s="627"/>
      <c r="U128" s="627"/>
    </row>
    <row r="129" spans="1:21" ht="16.5" thickTop="1" x14ac:dyDescent="0.25">
      <c r="B129" s="626"/>
      <c r="C129" s="626"/>
      <c r="D129" s="626"/>
      <c r="E129" s="626"/>
      <c r="F129" s="626"/>
      <c r="G129" s="626"/>
      <c r="H129" s="89"/>
      <c r="I129" s="120"/>
      <c r="N129" s="627"/>
      <c r="O129" s="627"/>
      <c r="P129" s="627"/>
      <c r="Q129" s="627"/>
      <c r="R129" s="627"/>
      <c r="S129" s="627"/>
      <c r="T129" s="627"/>
      <c r="U129" s="627"/>
    </row>
    <row r="130" spans="1:21" ht="16.5" thickBot="1" x14ac:dyDescent="0.3">
      <c r="A130" s="3" t="s">
        <v>123</v>
      </c>
      <c r="B130" s="626"/>
      <c r="C130" s="626"/>
      <c r="D130" s="626"/>
      <c r="E130" s="626"/>
      <c r="F130" s="626"/>
      <c r="G130" s="626"/>
      <c r="H130" s="89"/>
      <c r="I130" s="180">
        <f>ROUND(IF(G118="H",(H118*0.02)+I118,(H118*0.05)+I118),2)</f>
        <v>34344.400000000001</v>
      </c>
      <c r="N130" s="627"/>
      <c r="O130" s="627"/>
      <c r="P130" s="627"/>
      <c r="Q130" s="627"/>
      <c r="R130" s="627"/>
      <c r="S130" s="627"/>
      <c r="T130" s="627"/>
      <c r="U130" s="627"/>
    </row>
    <row r="131" spans="1:21" ht="16.5" thickTop="1" x14ac:dyDescent="0.25">
      <c r="B131" s="626"/>
      <c r="C131" s="626"/>
      <c r="D131" s="626"/>
      <c r="E131" s="626"/>
      <c r="F131" s="626"/>
      <c r="G131" s="626"/>
      <c r="H131" s="89"/>
      <c r="I131" s="181"/>
      <c r="N131" s="627"/>
      <c r="O131" s="627"/>
      <c r="P131" s="627"/>
      <c r="Q131" s="627"/>
      <c r="R131" s="627"/>
      <c r="S131" s="627"/>
      <c r="T131" s="627"/>
      <c r="U131" s="627"/>
    </row>
    <row r="132" spans="1:21" x14ac:dyDescent="0.25">
      <c r="B132" s="626"/>
      <c r="C132" s="626"/>
      <c r="D132" s="626"/>
      <c r="E132" s="626"/>
      <c r="F132" s="626"/>
      <c r="G132" s="626"/>
      <c r="H132" s="89"/>
      <c r="I132" s="120"/>
      <c r="N132" s="627"/>
      <c r="O132" s="627"/>
      <c r="P132" s="627"/>
      <c r="Q132" s="627"/>
      <c r="R132" s="627"/>
      <c r="S132" s="627"/>
      <c r="T132" s="627"/>
      <c r="U132" s="627"/>
    </row>
    <row r="133" spans="1:21" x14ac:dyDescent="0.25">
      <c r="B133" s="626"/>
      <c r="C133" s="626"/>
      <c r="D133" s="626"/>
      <c r="E133" s="626"/>
      <c r="F133" s="626"/>
      <c r="G133" s="626"/>
      <c r="H133" s="89"/>
      <c r="I133" s="181"/>
      <c r="N133" s="627"/>
      <c r="O133" s="627"/>
      <c r="P133" s="627"/>
      <c r="Q133" s="627"/>
      <c r="R133" s="627"/>
      <c r="S133" s="627"/>
      <c r="T133" s="627"/>
      <c r="U133" s="627"/>
    </row>
    <row r="134" spans="1:21" x14ac:dyDescent="0.25">
      <c r="A134" s="492" t="s">
        <v>7</v>
      </c>
      <c r="B134" s="492"/>
      <c r="C134" s="492"/>
      <c r="D134" s="492"/>
      <c r="E134" s="492"/>
      <c r="F134" s="492"/>
      <c r="G134" s="492"/>
      <c r="H134" s="492"/>
      <c r="I134" s="492"/>
      <c r="J134" s="182"/>
      <c r="N134" s="627"/>
      <c r="O134" s="627"/>
      <c r="P134" s="627"/>
      <c r="Q134" s="627"/>
      <c r="R134" s="627"/>
      <c r="S134" s="627"/>
      <c r="T134" s="627"/>
      <c r="U134" s="627"/>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627"/>
      <c r="O136" s="627"/>
      <c r="P136" s="627"/>
      <c r="Q136" s="627"/>
      <c r="R136" s="627"/>
      <c r="S136" s="627"/>
      <c r="T136" s="627"/>
      <c r="U136" s="627"/>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 ref="F12:G12"/>
    <mergeCell ref="N12:O12"/>
    <mergeCell ref="P12:Q12"/>
    <mergeCell ref="R12:S12"/>
    <mergeCell ref="A13:B13"/>
    <mergeCell ref="F13:G13"/>
    <mergeCell ref="N13:O13"/>
    <mergeCell ref="P13:Q13"/>
    <mergeCell ref="R13:S13"/>
    <mergeCell ref="A12:B12"/>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82:C82"/>
    <mergeCell ref="N82:P82"/>
    <mergeCell ref="A86:I86"/>
    <mergeCell ref="N86:U86"/>
    <mergeCell ref="A79:C79"/>
    <mergeCell ref="N79:P79"/>
    <mergeCell ref="A80:C80"/>
    <mergeCell ref="N80:P80"/>
    <mergeCell ref="A81:C81"/>
    <mergeCell ref="N81:P81"/>
    <mergeCell ref="C87:D87"/>
    <mergeCell ref="A84:C84"/>
    <mergeCell ref="N84:P84"/>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A98:B98"/>
    <mergeCell ref="N98:O98"/>
    <mergeCell ref="P98:R98"/>
    <mergeCell ref="A99:B99"/>
    <mergeCell ref="N99:O99"/>
    <mergeCell ref="P99:R99"/>
    <mergeCell ref="A102:C102"/>
    <mergeCell ref="F102:I102"/>
    <mergeCell ref="N102:U102"/>
    <mergeCell ref="C103:E103"/>
    <mergeCell ref="F104:G104"/>
    <mergeCell ref="A105:B105"/>
    <mergeCell ref="F105:G105"/>
    <mergeCell ref="N105:O105"/>
    <mergeCell ref="P105:Q105"/>
    <mergeCell ref="R105:S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N109:O109"/>
    <mergeCell ref="A111:C111"/>
    <mergeCell ref="F111:H111"/>
    <mergeCell ref="N111:P111"/>
    <mergeCell ref="A112:C112"/>
    <mergeCell ref="F112:H112"/>
    <mergeCell ref="N112:P112"/>
    <mergeCell ref="N135:U135"/>
    <mergeCell ref="N113:T113"/>
    <mergeCell ref="A114:H114"/>
    <mergeCell ref="A115:G115"/>
    <mergeCell ref="N115:U115"/>
    <mergeCell ref="A116:G116"/>
    <mergeCell ref="N116:U11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FF00"/>
  </sheetPr>
  <dimension ref="A1:U202"/>
  <sheetViews>
    <sheetView showGridLines="0" zoomScale="90" zoomScaleNormal="90" workbookViewId="0">
      <pane ySplit="1" topLeftCell="A101"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184</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32.79</v>
      </c>
      <c r="D15" s="192">
        <v>36.64</v>
      </c>
      <c r="E15" s="147">
        <f t="shared" si="3"/>
        <v>69.430000000000007</v>
      </c>
      <c r="F15" s="814">
        <f>'0664'!F15:G15</f>
        <v>1</v>
      </c>
      <c r="G15" s="814"/>
      <c r="H15" s="99">
        <f t="shared" si="4"/>
        <v>69.430000000000007</v>
      </c>
      <c r="I15" s="120">
        <f t="shared" si="0"/>
        <v>316484.25</v>
      </c>
      <c r="N15" s="840" t="s">
        <v>31</v>
      </c>
      <c r="O15" s="840"/>
      <c r="P15" s="841">
        <f t="shared" si="1"/>
        <v>0</v>
      </c>
      <c r="Q15" s="841"/>
      <c r="R15" s="842">
        <v>1</v>
      </c>
      <c r="S15" s="842"/>
      <c r="T15" s="114">
        <f t="shared" si="5"/>
        <v>0</v>
      </c>
      <c r="U15" s="115">
        <f t="shared" si="2"/>
        <v>0</v>
      </c>
    </row>
    <row r="16" spans="1:21" x14ac:dyDescent="0.25">
      <c r="A16" s="764" t="s">
        <v>32</v>
      </c>
      <c r="B16" s="764"/>
      <c r="C16" s="192">
        <v>8.41</v>
      </c>
      <c r="D16" s="192">
        <v>7.67</v>
      </c>
      <c r="E16" s="147">
        <f t="shared" si="3"/>
        <v>16.079999999999998</v>
      </c>
      <c r="F16" s="814">
        <f>'0664'!F16:G16</f>
        <v>1</v>
      </c>
      <c r="G16" s="814"/>
      <c r="H16" s="99">
        <f t="shared" si="4"/>
        <v>16.079999999999998</v>
      </c>
      <c r="I16" s="120">
        <f t="shared" si="0"/>
        <v>73297.81</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0.4</v>
      </c>
      <c r="E26" s="147">
        <f t="shared" si="3"/>
        <v>0.4</v>
      </c>
      <c r="F26" s="814">
        <f>'0664'!F26:G26</f>
        <v>1.1990000000000001</v>
      </c>
      <c r="G26" s="814"/>
      <c r="H26" s="99">
        <f t="shared" si="4"/>
        <v>0.47960000000000003</v>
      </c>
      <c r="I26" s="120">
        <f t="shared" si="0"/>
        <v>2186.17</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41.2</v>
      </c>
      <c r="D29" s="113">
        <f>SUM(D13:D28)</f>
        <v>44.71</v>
      </c>
      <c r="E29" s="113">
        <f>SUM(E13:E28)</f>
        <v>85.910000000000011</v>
      </c>
      <c r="F29" s="820"/>
      <c r="G29" s="820"/>
      <c r="H29" s="118">
        <f>SUM(H13:H28)</f>
        <v>85.98960000000001</v>
      </c>
      <c r="I29" s="113">
        <f>SUM(I13:I28)</f>
        <v>391968.23</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85.98960000000001</v>
      </c>
      <c r="F45" s="36"/>
      <c r="G45" s="128"/>
      <c r="H45" s="129" t="s">
        <v>131</v>
      </c>
      <c r="I45" s="113">
        <f>SUM(I43,I29)</f>
        <v>391968.23</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7.94</v>
      </c>
      <c r="D53" s="192">
        <v>7.16</v>
      </c>
      <c r="E53" s="147">
        <f t="shared" si="10"/>
        <v>15.100000000000001</v>
      </c>
      <c r="F53" s="143" t="s">
        <v>14</v>
      </c>
      <c r="G53" s="52">
        <v>251</v>
      </c>
      <c r="H53" s="485">
        <f>'0664'!H53</f>
        <v>1173</v>
      </c>
      <c r="I53" s="120">
        <f t="shared" si="11"/>
        <v>17712.3</v>
      </c>
      <c r="N53" s="863"/>
      <c r="O53" s="863"/>
      <c r="P53" s="865"/>
      <c r="Q53" s="865"/>
      <c r="R53" s="45" t="s">
        <v>14</v>
      </c>
      <c r="S53" s="43">
        <v>251</v>
      </c>
      <c r="T53" s="138">
        <f t="shared" si="12"/>
        <v>1173</v>
      </c>
      <c r="U53" s="139">
        <f t="shared" si="13"/>
        <v>0</v>
      </c>
    </row>
    <row r="54" spans="1:21" x14ac:dyDescent="0.25">
      <c r="A54" s="792"/>
      <c r="B54" s="792"/>
      <c r="C54" s="192">
        <v>0.47</v>
      </c>
      <c r="D54" s="192">
        <v>0.51</v>
      </c>
      <c r="E54" s="147">
        <f t="shared" si="10"/>
        <v>0.98</v>
      </c>
      <c r="F54" s="143" t="s">
        <v>14</v>
      </c>
      <c r="G54" s="52">
        <v>252</v>
      </c>
      <c r="H54" s="485">
        <f>'0664'!H54</f>
        <v>3506</v>
      </c>
      <c r="I54" s="120">
        <f t="shared" si="11"/>
        <v>3435.88</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8.41</v>
      </c>
      <c r="D59" s="116">
        <f>SUM(D50:D58)</f>
        <v>7.67</v>
      </c>
      <c r="E59" s="116">
        <f>SUM(E50:E58)</f>
        <v>16.080000000000002</v>
      </c>
      <c r="F59" s="767" t="s">
        <v>78</v>
      </c>
      <c r="G59" s="767"/>
      <c r="H59" s="767"/>
      <c r="I59" s="116">
        <f>SUM(I50:I58)</f>
        <v>21148.18</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85.910000000000011</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4.4999999999999999E-4</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85.98960000000001</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4.0099999999999999E-4</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4.4999999999999999E-4</v>
      </c>
      <c r="I68" s="120">
        <f>ROUND(F68*H68,2)</f>
        <v>18913.310000000001</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4.4999999999999999E-4</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4.4999999999999999E-4</v>
      </c>
      <c r="I71" s="120">
        <f>IF(D71="Y",ROUND(F71*H71,2),0)</f>
        <v>65.97</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4.4999999999999999E-4</v>
      </c>
      <c r="I72" s="120">
        <f>ROUND(F72*H72,2)</f>
        <v>5102.0600000000004</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4.4999999999999999E-4</v>
      </c>
      <c r="I73" s="120">
        <f>ROUND(F73*H73,2)</f>
        <v>6247.07</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4.4999999999999999E-4</v>
      </c>
      <c r="I77" s="120">
        <f t="shared" ref="I77:I82" si="14">ROUND(F77*H77,2)</f>
        <v>3358.14</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4.4999999999999999E-4</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4.0099999999999999E-4</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4.0099999999999999E-4</v>
      </c>
      <c r="I80" s="120">
        <f t="shared" si="14"/>
        <v>3433.68</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4.0099999999999999E-4</v>
      </c>
      <c r="I81" s="120">
        <f t="shared" si="14"/>
        <v>67633.95</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4.0099999999999999E-4</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15758.28</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4.4999999999999999E-4</v>
      </c>
      <c r="I84" s="120">
        <f>ROUND(F84*H84,2)</f>
        <v>9726.4500000000007</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85.98960000000001</v>
      </c>
      <c r="D90" s="781"/>
      <c r="E90" s="54">
        <f>H8</f>
        <v>1.0424</v>
      </c>
      <c r="F90" s="545">
        <f>'0664'!F90</f>
        <v>923.19</v>
      </c>
      <c r="G90" s="186" t="s">
        <v>13</v>
      </c>
      <c r="H90" s="120">
        <f>ROUND(C90*E90*F90,2)</f>
        <v>82750.649999999994</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85.98960000000001</v>
      </c>
      <c r="D92" s="782"/>
      <c r="E92" s="168"/>
      <c r="F92" s="168"/>
      <c r="G92" s="168"/>
      <c r="H92" s="169" t="s">
        <v>145</v>
      </c>
      <c r="I92" s="120">
        <f>IF(A1=75,0,H91+H90+H89)</f>
        <v>82750.649999999994</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0</v>
      </c>
      <c r="D98" s="192">
        <v>0</v>
      </c>
      <c r="E98" s="147">
        <f>(C98+D98)/2</f>
        <v>0</v>
      </c>
      <c r="F98" s="173" t="s">
        <v>39</v>
      </c>
      <c r="G98" s="546">
        <f>'0664'!G98</f>
        <v>486</v>
      </c>
      <c r="I98" s="120">
        <f>ROUND(G98*E98,2)</f>
        <v>0</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626105.97</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7" t="s">
        <v>306</v>
      </c>
      <c r="H118" s="188">
        <f>IF(H116=1,I116,I114)</f>
        <v>626105.97</v>
      </c>
      <c r="I118" s="113">
        <f>ROUND(IF(E29=0,0,IF(E29&gt;250,-(((250/E29)*H118)*IF(G118="H",0.02,0.05)),IF(G118="H",-0.02*H118,-0.05*H118))),2)</f>
        <v>-12522.12</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613583.85</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-628543.03</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-14959.180000000051</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-14959.18</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0</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FFFF00"/>
  </sheetPr>
  <dimension ref="A1:U202"/>
  <sheetViews>
    <sheetView showGridLines="0" zoomScale="90" zoomScaleNormal="90" workbookViewId="0">
      <pane ySplit="1" topLeftCell="A89"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185</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134.44999999999999</v>
      </c>
      <c r="D13" s="190">
        <v>131.4</v>
      </c>
      <c r="E13" s="245">
        <f>IF(D$29=0,C13*2,C13+D13)</f>
        <v>265.85000000000002</v>
      </c>
      <c r="F13" s="819">
        <f>'0664'!F13:G13</f>
        <v>1.1259999999999999</v>
      </c>
      <c r="G13" s="819"/>
      <c r="H13" s="194">
        <f>ROUND(E13*F13,4)</f>
        <v>299.34710000000001</v>
      </c>
      <c r="I13" s="140">
        <f t="shared" ref="I13:I28" si="0">ROUND(ROUND(H13*$C$8,4)*($H$8),2)</f>
        <v>1364520.29</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6.96</v>
      </c>
      <c r="D14" s="192">
        <v>6.95</v>
      </c>
      <c r="E14" s="147">
        <f t="shared" ref="E14:E28" si="3">IF(D$29=0,C14*2,C14+D14)</f>
        <v>13.91</v>
      </c>
      <c r="F14" s="814">
        <f>'0664'!F14:G14</f>
        <v>1.1259999999999999</v>
      </c>
      <c r="G14" s="814"/>
      <c r="H14" s="99">
        <f t="shared" ref="H14:H28" si="4">ROUND(E14*F14,4)</f>
        <v>15.662699999999999</v>
      </c>
      <c r="I14" s="120">
        <f t="shared" si="0"/>
        <v>71395.62</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172.5</v>
      </c>
      <c r="D15" s="192">
        <v>180.41</v>
      </c>
      <c r="E15" s="147">
        <f t="shared" si="3"/>
        <v>352.90999999999997</v>
      </c>
      <c r="F15" s="814">
        <f>'0664'!F15:G15</f>
        <v>1</v>
      </c>
      <c r="G15" s="814"/>
      <c r="H15" s="99">
        <f t="shared" si="4"/>
        <v>352.91</v>
      </c>
      <c r="I15" s="120">
        <f t="shared" si="0"/>
        <v>1608677.2</v>
      </c>
      <c r="N15" s="840" t="s">
        <v>31</v>
      </c>
      <c r="O15" s="840"/>
      <c r="P15" s="841">
        <f t="shared" si="1"/>
        <v>0</v>
      </c>
      <c r="Q15" s="841"/>
      <c r="R15" s="842">
        <v>1</v>
      </c>
      <c r="S15" s="842"/>
      <c r="T15" s="114">
        <f t="shared" si="5"/>
        <v>0</v>
      </c>
      <c r="U15" s="115">
        <f t="shared" si="2"/>
        <v>0</v>
      </c>
    </row>
    <row r="16" spans="1:21" x14ac:dyDescent="0.25">
      <c r="A16" s="764" t="s">
        <v>32</v>
      </c>
      <c r="B16" s="764"/>
      <c r="C16" s="192">
        <v>21.45</v>
      </c>
      <c r="D16" s="192">
        <v>22.08</v>
      </c>
      <c r="E16" s="147">
        <f t="shared" si="3"/>
        <v>43.53</v>
      </c>
      <c r="F16" s="814">
        <f>'0664'!F16:G16</f>
        <v>1</v>
      </c>
      <c r="G16" s="814"/>
      <c r="H16" s="99">
        <f t="shared" si="4"/>
        <v>43.53</v>
      </c>
      <c r="I16" s="120">
        <f t="shared" si="0"/>
        <v>198423.73</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27.29</v>
      </c>
      <c r="D25" s="192">
        <v>23.27</v>
      </c>
      <c r="E25" s="147">
        <f t="shared" si="3"/>
        <v>50.56</v>
      </c>
      <c r="F25" s="814">
        <f>'0664'!F25:G25</f>
        <v>1.1990000000000001</v>
      </c>
      <c r="G25" s="814"/>
      <c r="H25" s="99">
        <f t="shared" si="4"/>
        <v>60.621400000000001</v>
      </c>
      <c r="I25" s="120">
        <f t="shared" si="0"/>
        <v>276331.82</v>
      </c>
      <c r="N25" s="840" t="s">
        <v>116</v>
      </c>
      <c r="O25" s="840"/>
      <c r="P25" s="841">
        <f t="shared" si="1"/>
        <v>0</v>
      </c>
      <c r="Q25" s="841"/>
      <c r="R25" s="842">
        <v>1</v>
      </c>
      <c r="S25" s="842"/>
      <c r="T25" s="114">
        <f t="shared" si="5"/>
        <v>0</v>
      </c>
      <c r="U25" s="115">
        <f t="shared" si="2"/>
        <v>0</v>
      </c>
    </row>
    <row r="26" spans="1:21" x14ac:dyDescent="0.25">
      <c r="A26" s="764" t="s">
        <v>117</v>
      </c>
      <c r="B26" s="764"/>
      <c r="C26" s="192">
        <v>14.71</v>
      </c>
      <c r="D26" s="192">
        <v>4.9800000000000004</v>
      </c>
      <c r="E26" s="147">
        <f t="shared" si="3"/>
        <v>19.690000000000001</v>
      </c>
      <c r="F26" s="814">
        <f>'0664'!F26:G26</f>
        <v>1.1990000000000001</v>
      </c>
      <c r="G26" s="814"/>
      <c r="H26" s="99">
        <f t="shared" si="4"/>
        <v>23.6083</v>
      </c>
      <c r="I26" s="120">
        <f t="shared" si="0"/>
        <v>107614.22</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377.35999999999996</v>
      </c>
      <c r="D29" s="113">
        <f>SUM(D13:D28)</f>
        <v>369.09</v>
      </c>
      <c r="E29" s="113">
        <f>SUM(E13:E28)</f>
        <v>746.45</v>
      </c>
      <c r="F29" s="820"/>
      <c r="G29" s="820"/>
      <c r="H29" s="118">
        <f>SUM(H13:H28)</f>
        <v>795.67949999999996</v>
      </c>
      <c r="I29" s="113">
        <f>SUM(I13:I28)</f>
        <v>3626962.8800000004</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795.67949999999996</v>
      </c>
      <c r="F45" s="36"/>
      <c r="G45" s="128"/>
      <c r="H45" s="129" t="s">
        <v>131</v>
      </c>
      <c r="I45" s="113">
        <f>SUM(I43,I29)</f>
        <v>3626962.8800000004</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5.47</v>
      </c>
      <c r="D50" s="192">
        <v>6.95</v>
      </c>
      <c r="E50" s="147">
        <f>IF(D$59=0,C50*2,C50+D50)</f>
        <v>12.42</v>
      </c>
      <c r="F50" s="40" t="s">
        <v>21</v>
      </c>
      <c r="G50" s="52">
        <v>251</v>
      </c>
      <c r="H50" s="485">
        <f>'0664'!H50</f>
        <v>1047</v>
      </c>
      <c r="I50" s="120">
        <f>ROUND(E50*H50,2)</f>
        <v>13003.74</v>
      </c>
      <c r="N50" s="863" t="s">
        <v>28</v>
      </c>
      <c r="O50" s="863"/>
      <c r="P50" s="864"/>
      <c r="Q50" s="864"/>
      <c r="R50" s="42" t="s">
        <v>21</v>
      </c>
      <c r="S50" s="43">
        <v>251</v>
      </c>
      <c r="T50" s="138">
        <f>H50</f>
        <v>1047</v>
      </c>
      <c r="U50" s="139">
        <f>ROUND(P50*T50,0)</f>
        <v>0</v>
      </c>
    </row>
    <row r="51" spans="1:21" x14ac:dyDescent="0.25">
      <c r="A51" s="792"/>
      <c r="B51" s="792"/>
      <c r="C51" s="192">
        <v>0.99</v>
      </c>
      <c r="D51" s="192">
        <v>0</v>
      </c>
      <c r="E51" s="147">
        <f t="shared" ref="E51:E58" si="10">IF(D$59=0,C51*2,C51+D51)</f>
        <v>0.99</v>
      </c>
      <c r="F51" s="52" t="s">
        <v>21</v>
      </c>
      <c r="G51" s="52">
        <v>252</v>
      </c>
      <c r="H51" s="485">
        <f>'0664'!H51</f>
        <v>3380</v>
      </c>
      <c r="I51" s="120">
        <f t="shared" ref="I51:I58" si="11">ROUND(E51*H51,2)</f>
        <v>3346.2</v>
      </c>
      <c r="N51" s="863"/>
      <c r="O51" s="863"/>
      <c r="P51" s="865"/>
      <c r="Q51" s="865"/>
      <c r="R51" s="43" t="s">
        <v>21</v>
      </c>
      <c r="S51" s="43">
        <v>252</v>
      </c>
      <c r="T51" s="138">
        <f t="shared" ref="T51:T58" si="12">H51</f>
        <v>3380</v>
      </c>
      <c r="U51" s="139">
        <f t="shared" ref="U51:U58" si="13">ROUND(P51*T51,0)</f>
        <v>0</v>
      </c>
    </row>
    <row r="52" spans="1:21" x14ac:dyDescent="0.25">
      <c r="A52" s="792"/>
      <c r="B52" s="792"/>
      <c r="C52" s="192">
        <v>0.5</v>
      </c>
      <c r="D52" s="192">
        <v>0</v>
      </c>
      <c r="E52" s="147">
        <f t="shared" si="10"/>
        <v>0.5</v>
      </c>
      <c r="F52" s="52" t="s">
        <v>21</v>
      </c>
      <c r="G52" s="52">
        <v>253</v>
      </c>
      <c r="H52" s="485">
        <f>'0664'!H52</f>
        <v>6896</v>
      </c>
      <c r="I52" s="120">
        <f t="shared" si="11"/>
        <v>3448</v>
      </c>
      <c r="N52" s="863"/>
      <c r="O52" s="863"/>
      <c r="P52" s="865"/>
      <c r="Q52" s="865"/>
      <c r="R52" s="43" t="s">
        <v>21</v>
      </c>
      <c r="S52" s="43">
        <v>253</v>
      </c>
      <c r="T52" s="138">
        <f t="shared" si="12"/>
        <v>6896</v>
      </c>
      <c r="U52" s="139">
        <f t="shared" si="13"/>
        <v>0</v>
      </c>
    </row>
    <row r="53" spans="1:21" x14ac:dyDescent="0.25">
      <c r="A53" s="792"/>
      <c r="B53" s="792"/>
      <c r="C53" s="192">
        <v>20.95</v>
      </c>
      <c r="D53" s="192">
        <v>21.68</v>
      </c>
      <c r="E53" s="147">
        <f t="shared" si="10"/>
        <v>42.629999999999995</v>
      </c>
      <c r="F53" s="143" t="s">
        <v>14</v>
      </c>
      <c r="G53" s="52">
        <v>251</v>
      </c>
      <c r="H53" s="485">
        <f>'0664'!H53</f>
        <v>1173</v>
      </c>
      <c r="I53" s="120">
        <f t="shared" si="11"/>
        <v>50004.99</v>
      </c>
      <c r="N53" s="863"/>
      <c r="O53" s="863"/>
      <c r="P53" s="865"/>
      <c r="Q53" s="865"/>
      <c r="R53" s="45" t="s">
        <v>14</v>
      </c>
      <c r="S53" s="43">
        <v>251</v>
      </c>
      <c r="T53" s="138">
        <f t="shared" si="12"/>
        <v>1173</v>
      </c>
      <c r="U53" s="139">
        <f t="shared" si="13"/>
        <v>0</v>
      </c>
    </row>
    <row r="54" spans="1:21" x14ac:dyDescent="0.25">
      <c r="A54" s="792"/>
      <c r="B54" s="792"/>
      <c r="C54" s="192">
        <v>0.5</v>
      </c>
      <c r="D54" s="192">
        <v>0.4</v>
      </c>
      <c r="E54" s="147">
        <f t="shared" si="10"/>
        <v>0.9</v>
      </c>
      <c r="F54" s="143" t="s">
        <v>14</v>
      </c>
      <c r="G54" s="52">
        <v>252</v>
      </c>
      <c r="H54" s="485">
        <f>'0664'!H54</f>
        <v>3506</v>
      </c>
      <c r="I54" s="120">
        <f t="shared" si="11"/>
        <v>3155.4</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28.41</v>
      </c>
      <c r="D59" s="116">
        <f>SUM(D50:D58)</f>
        <v>29.029999999999998</v>
      </c>
      <c r="E59" s="116">
        <f>SUM(E50:E58)</f>
        <v>57.439999999999991</v>
      </c>
      <c r="F59" s="767" t="s">
        <v>78</v>
      </c>
      <c r="G59" s="767"/>
      <c r="H59" s="767"/>
      <c r="I59" s="116">
        <f>SUM(I50:I58)</f>
        <v>72958.329999999987</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746.45</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3.9129999999999998E-3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795.67949999999996</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3.7100000000000002E-3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3.9129999999999998E-3</v>
      </c>
      <c r="I68" s="120">
        <f>ROUND(F68*H68,2)</f>
        <v>164461.73000000001</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3.9129999999999998E-3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3.9129999999999998E-3</v>
      </c>
      <c r="I71" s="120">
        <f>IF(D71="Y",ROUND(F71*H71,2),0)</f>
        <v>573.66999999999996</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3.9129999999999998E-3</v>
      </c>
      <c r="I72" s="120">
        <f>ROUND(F72*H72,2)</f>
        <v>44365.24</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3.9129999999999998E-3</v>
      </c>
      <c r="I73" s="120">
        <f>ROUND(F73*H73,2)</f>
        <v>54321.77</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3.9129999999999998E-3</v>
      </c>
      <c r="I77" s="120">
        <f t="shared" ref="I77:I82" si="14">ROUND(F77*H77,2)</f>
        <v>29200.93</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3.9129999999999998E-3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3.7100000000000002E-3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3.7100000000000002E-3</v>
      </c>
      <c r="I80" s="120">
        <f t="shared" si="14"/>
        <v>31767.94</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3.7100000000000002E-3</v>
      </c>
      <c r="I81" s="120">
        <f t="shared" si="14"/>
        <v>625740.57999999996</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3.7100000000000002E-3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142641.62</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3.9129999999999998E-3</v>
      </c>
      <c r="I84" s="120">
        <f>ROUND(F84*H84,2)</f>
        <v>84576.92</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375.63119999999998</v>
      </c>
      <c r="D89" s="781"/>
      <c r="E89" s="54">
        <f>H8</f>
        <v>1.0424</v>
      </c>
      <c r="F89" s="545">
        <f>'0664'!F89</f>
        <v>966.9</v>
      </c>
      <c r="G89" s="186" t="s">
        <v>13</v>
      </c>
      <c r="H89" s="120">
        <f>ROUND(C89*E89*F89,2)</f>
        <v>378597.39</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420.04830000000004</v>
      </c>
      <c r="D90" s="781"/>
      <c r="E90" s="54">
        <f>H8</f>
        <v>1.0424</v>
      </c>
      <c r="F90" s="545">
        <f>'0664'!F90</f>
        <v>923.19</v>
      </c>
      <c r="G90" s="186" t="s">
        <v>13</v>
      </c>
      <c r="H90" s="120">
        <f>ROUND(C90*E90*F90,2)</f>
        <v>404226.45</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795.67949999999996</v>
      </c>
      <c r="D92" s="782"/>
      <c r="E92" s="168"/>
      <c r="F92" s="168"/>
      <c r="G92" s="168"/>
      <c r="H92" s="169" t="s">
        <v>145</v>
      </c>
      <c r="I92" s="120">
        <f>IF(A1=75,0,H91+H90+H89)</f>
        <v>782823.84000000008</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3</v>
      </c>
      <c r="D98" s="192">
        <v>3</v>
      </c>
      <c r="E98" s="147">
        <f>(C98+D98)/2</f>
        <v>3</v>
      </c>
      <c r="F98" s="173" t="s">
        <v>39</v>
      </c>
      <c r="G98" s="546">
        <f>'0664'!G98</f>
        <v>486</v>
      </c>
      <c r="I98" s="120">
        <f>ROUND(G98*E98,2)</f>
        <v>1458</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5661853.4500000002</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5661853.4500000002</v>
      </c>
      <c r="I118" s="113">
        <f>ROUND(IF(E29=0,0,IF(E29&gt;250,-(((250/E29)*H118)*IF(G118="H",0.02,0.05)),IF(G118="H",-0.02*H118,-0.05*H118))),2)</f>
        <v>-94813.01</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5567040.4400000004</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-5567501.5499999998</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-461.10999999940395</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-461.11</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188279.66</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FF00"/>
  </sheetPr>
  <dimension ref="A1:U202"/>
  <sheetViews>
    <sheetView showGridLines="0" zoomScale="90" zoomScaleNormal="90" workbookViewId="0">
      <pane ySplit="1" topLeftCell="A95"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186</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142.53</v>
      </c>
      <c r="D13" s="190">
        <v>140.86000000000001</v>
      </c>
      <c r="E13" s="245">
        <f>IF(D$29=0,C13*2,C13+D13)</f>
        <v>283.39</v>
      </c>
      <c r="F13" s="819">
        <f>'0664'!F13:G13</f>
        <v>1.1259999999999999</v>
      </c>
      <c r="G13" s="819"/>
      <c r="H13" s="194">
        <f>ROUND(E13*F13,4)</f>
        <v>319.09710000000001</v>
      </c>
      <c r="I13" s="140">
        <f t="shared" ref="I13:I28" si="0">ROUND(ROUND(H13*$C$8,4)*($H$8),2)</f>
        <v>1454547.13</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14.58</v>
      </c>
      <c r="D14" s="192">
        <v>14.5</v>
      </c>
      <c r="E14" s="147">
        <f t="shared" ref="E14:E28" si="3">IF(D$29=0,C14*2,C14+D14)</f>
        <v>29.08</v>
      </c>
      <c r="F14" s="814">
        <f>'0664'!F14:G14</f>
        <v>1.1259999999999999</v>
      </c>
      <c r="G14" s="814"/>
      <c r="H14" s="99">
        <f t="shared" ref="H14:H28" si="4">ROUND(E14*F14,4)</f>
        <v>32.744100000000003</v>
      </c>
      <c r="I14" s="120">
        <f t="shared" si="0"/>
        <v>149258.13</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150.88999999999999</v>
      </c>
      <c r="D15" s="192">
        <v>157.21</v>
      </c>
      <c r="E15" s="147">
        <f t="shared" si="3"/>
        <v>308.10000000000002</v>
      </c>
      <c r="F15" s="814">
        <f>'0664'!F15:G15</f>
        <v>1</v>
      </c>
      <c r="G15" s="814"/>
      <c r="H15" s="99">
        <f t="shared" si="4"/>
        <v>308.10000000000002</v>
      </c>
      <c r="I15" s="120">
        <f t="shared" si="0"/>
        <v>1404418.82</v>
      </c>
      <c r="N15" s="840" t="s">
        <v>31</v>
      </c>
      <c r="O15" s="840"/>
      <c r="P15" s="841">
        <f t="shared" si="1"/>
        <v>0</v>
      </c>
      <c r="Q15" s="841"/>
      <c r="R15" s="842">
        <v>1</v>
      </c>
      <c r="S15" s="842"/>
      <c r="T15" s="114">
        <f t="shared" si="5"/>
        <v>0</v>
      </c>
      <c r="U15" s="115">
        <f t="shared" si="2"/>
        <v>0</v>
      </c>
    </row>
    <row r="16" spans="1:21" x14ac:dyDescent="0.25">
      <c r="A16" s="764" t="s">
        <v>32</v>
      </c>
      <c r="B16" s="764"/>
      <c r="C16" s="192">
        <v>22.12</v>
      </c>
      <c r="D16" s="192">
        <v>21</v>
      </c>
      <c r="E16" s="147">
        <f t="shared" si="3"/>
        <v>43.120000000000005</v>
      </c>
      <c r="F16" s="814">
        <f>'0664'!F16:G16</f>
        <v>1</v>
      </c>
      <c r="G16" s="814"/>
      <c r="H16" s="99">
        <f t="shared" si="4"/>
        <v>43.12</v>
      </c>
      <c r="I16" s="120">
        <f t="shared" si="0"/>
        <v>196554.82</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25.28</v>
      </c>
      <c r="D25" s="192">
        <v>27.5</v>
      </c>
      <c r="E25" s="147">
        <f t="shared" si="3"/>
        <v>52.78</v>
      </c>
      <c r="F25" s="814">
        <f>'0664'!F25:G25</f>
        <v>1.1990000000000001</v>
      </c>
      <c r="G25" s="814"/>
      <c r="H25" s="99">
        <f t="shared" si="4"/>
        <v>63.283200000000001</v>
      </c>
      <c r="I25" s="120">
        <f t="shared" si="0"/>
        <v>288465.15999999997</v>
      </c>
      <c r="N25" s="840" t="s">
        <v>116</v>
      </c>
      <c r="O25" s="840"/>
      <c r="P25" s="841">
        <f t="shared" si="1"/>
        <v>0</v>
      </c>
      <c r="Q25" s="841"/>
      <c r="R25" s="842">
        <v>1</v>
      </c>
      <c r="S25" s="842"/>
      <c r="T25" s="114">
        <f t="shared" si="5"/>
        <v>0</v>
      </c>
      <c r="U25" s="115">
        <f t="shared" si="2"/>
        <v>0</v>
      </c>
    </row>
    <row r="26" spans="1:21" x14ac:dyDescent="0.25">
      <c r="A26" s="764" t="s">
        <v>117</v>
      </c>
      <c r="B26" s="764"/>
      <c r="C26" s="192">
        <v>21.46</v>
      </c>
      <c r="D26" s="192">
        <v>18.2</v>
      </c>
      <c r="E26" s="147">
        <f t="shared" si="3"/>
        <v>39.659999999999997</v>
      </c>
      <c r="F26" s="814">
        <f>'0664'!F26:G26</f>
        <v>1.1990000000000001</v>
      </c>
      <c r="G26" s="814"/>
      <c r="H26" s="99">
        <f t="shared" si="4"/>
        <v>47.552300000000002</v>
      </c>
      <c r="I26" s="120">
        <f t="shared" si="0"/>
        <v>216758.67</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376.85999999999996</v>
      </c>
      <c r="D29" s="113">
        <f>SUM(D13:D28)</f>
        <v>379.27000000000004</v>
      </c>
      <c r="E29" s="113">
        <f>SUM(E13:E28)</f>
        <v>756.12999999999988</v>
      </c>
      <c r="F29" s="820"/>
      <c r="G29" s="820"/>
      <c r="H29" s="118">
        <f>SUM(H13:H28)</f>
        <v>813.89670000000001</v>
      </c>
      <c r="I29" s="113">
        <f>SUM(I13:I28)</f>
        <v>3710002.73</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813.89670000000001</v>
      </c>
      <c r="F45" s="36"/>
      <c r="G45" s="128"/>
      <c r="H45" s="129" t="s">
        <v>131</v>
      </c>
      <c r="I45" s="113">
        <f>SUM(I43,I29)</f>
        <v>3710002.73</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14.08</v>
      </c>
      <c r="D50" s="192">
        <v>14</v>
      </c>
      <c r="E50" s="147">
        <f>IF(D$59=0,C50*2,C50+D50)</f>
        <v>28.08</v>
      </c>
      <c r="F50" s="40" t="s">
        <v>21</v>
      </c>
      <c r="G50" s="52">
        <v>251</v>
      </c>
      <c r="H50" s="485">
        <f>'0664'!H50</f>
        <v>1047</v>
      </c>
      <c r="I50" s="120">
        <f>ROUND(E50*H50,2)</f>
        <v>29399.759999999998</v>
      </c>
      <c r="N50" s="863" t="s">
        <v>28</v>
      </c>
      <c r="O50" s="863"/>
      <c r="P50" s="864"/>
      <c r="Q50" s="864"/>
      <c r="R50" s="42" t="s">
        <v>21</v>
      </c>
      <c r="S50" s="43">
        <v>251</v>
      </c>
      <c r="T50" s="138">
        <f>H50</f>
        <v>1047</v>
      </c>
      <c r="U50" s="139">
        <f>ROUND(P50*T50,0)</f>
        <v>0</v>
      </c>
    </row>
    <row r="51" spans="1:21" x14ac:dyDescent="0.25">
      <c r="A51" s="792"/>
      <c r="B51" s="792"/>
      <c r="C51" s="192">
        <v>0.5</v>
      </c>
      <c r="D51" s="192">
        <v>0.5</v>
      </c>
      <c r="E51" s="147">
        <f t="shared" ref="E51:E58" si="10">IF(D$59=0,C51*2,C51+D51)</f>
        <v>1</v>
      </c>
      <c r="F51" s="52" t="s">
        <v>21</v>
      </c>
      <c r="G51" s="52">
        <v>252</v>
      </c>
      <c r="H51" s="485">
        <f>'0664'!H51</f>
        <v>3380</v>
      </c>
      <c r="I51" s="120">
        <f t="shared" ref="I51:I58" si="11">ROUND(E51*H51,2)</f>
        <v>3380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22.12</v>
      </c>
      <c r="D53" s="192">
        <v>21</v>
      </c>
      <c r="E53" s="147">
        <f t="shared" si="10"/>
        <v>43.120000000000005</v>
      </c>
      <c r="F53" s="143" t="s">
        <v>14</v>
      </c>
      <c r="G53" s="52">
        <v>251</v>
      </c>
      <c r="H53" s="485">
        <f>'0664'!H53</f>
        <v>1173</v>
      </c>
      <c r="I53" s="120">
        <f t="shared" si="11"/>
        <v>50579.76</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36.700000000000003</v>
      </c>
      <c r="D59" s="116">
        <f>SUM(D50:D58)</f>
        <v>35.5</v>
      </c>
      <c r="E59" s="116">
        <f>SUM(E50:E58)</f>
        <v>72.2</v>
      </c>
      <c r="F59" s="767" t="s">
        <v>78</v>
      </c>
      <c r="G59" s="767"/>
      <c r="H59" s="767"/>
      <c r="I59" s="116">
        <f>SUM(I50:I58)</f>
        <v>83359.51999999999</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756.12999999999988</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3.9639999999999996E-3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813.89670000000001</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3.7950000000000002E-3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3.9639999999999996E-3</v>
      </c>
      <c r="I68" s="120">
        <f>ROUND(F68*H68,2)</f>
        <v>166605.24</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3.9639999999999996E-3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3.9639999999999996E-3</v>
      </c>
      <c r="I71" s="120">
        <f>IF(D71="Y",ROUND(F71*H71,2),0)</f>
        <v>581.15</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3.9639999999999996E-3</v>
      </c>
      <c r="I72" s="120">
        <f>ROUND(F72*H72,2)</f>
        <v>44943.48</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3.9639999999999996E-3</v>
      </c>
      <c r="I73" s="120">
        <f>ROUND(F73*H73,2)</f>
        <v>55029.77</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3.9639999999999996E-3</v>
      </c>
      <c r="I77" s="120">
        <f t="shared" ref="I77:I82" si="14">ROUND(F77*H77,2)</f>
        <v>29581.52</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3.9639999999999996E-3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3.7950000000000002E-3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3.7950000000000002E-3</v>
      </c>
      <c r="I80" s="120">
        <f t="shared" si="14"/>
        <v>32495.78</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3.7950000000000002E-3</v>
      </c>
      <c r="I81" s="120">
        <f t="shared" si="14"/>
        <v>640076.94999999995</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3.7950000000000002E-3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144626</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3.9639999999999996E-3</v>
      </c>
      <c r="I84" s="120">
        <f>ROUND(F84*H84,2)</f>
        <v>85679.26</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415.12440000000004</v>
      </c>
      <c r="D89" s="781"/>
      <c r="E89" s="54">
        <f>H8</f>
        <v>1.0424</v>
      </c>
      <c r="F89" s="545">
        <f>'0664'!F89</f>
        <v>966.9</v>
      </c>
      <c r="G89" s="186" t="s">
        <v>13</v>
      </c>
      <c r="H89" s="120">
        <f>ROUND(C89*E89*F89,2)</f>
        <v>418402.45</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398.77230000000003</v>
      </c>
      <c r="D90" s="781"/>
      <c r="E90" s="54">
        <f>H8</f>
        <v>1.0424</v>
      </c>
      <c r="F90" s="545">
        <f>'0664'!F90</f>
        <v>923.19</v>
      </c>
      <c r="G90" s="186" t="s">
        <v>13</v>
      </c>
      <c r="H90" s="120">
        <f>ROUND(C90*E90*F90,2)</f>
        <v>383751.85</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813.89670000000001</v>
      </c>
      <c r="D92" s="782"/>
      <c r="E92" s="168"/>
      <c r="F92" s="168"/>
      <c r="G92" s="168"/>
      <c r="H92" s="169" t="s">
        <v>145</v>
      </c>
      <c r="I92" s="120">
        <f>IF(A1=75,0,H91+H90+H89)</f>
        <v>802154.3</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0</v>
      </c>
      <c r="D98" s="192">
        <v>3</v>
      </c>
      <c r="E98" s="147">
        <f>(C98+D98)/2</f>
        <v>1.5</v>
      </c>
      <c r="F98" s="173" t="s">
        <v>39</v>
      </c>
      <c r="G98" s="546">
        <f>'0664'!G98</f>
        <v>486</v>
      </c>
      <c r="I98" s="120">
        <f>ROUND(G98*E98,2)</f>
        <v>729</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5795864.7000000002</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5795864.7000000002</v>
      </c>
      <c r="I118" s="113">
        <f>ROUND(IF(E29=0,0,IF(E29&gt;250,-(((250/E29)*H118)*IF(G118="H",0.02,0.05)),IF(G118="H",-0.02*H118,-0.05*H118))),2)</f>
        <v>-95814.62</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5700050.0800000001</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-5687804.7199999997</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12245.360000000335</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12245.36</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193978.62</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FF00"/>
  </sheetPr>
  <dimension ref="A1:U202"/>
  <sheetViews>
    <sheetView showGridLines="0" zoomScale="90" zoomScaleNormal="90" workbookViewId="0">
      <pane ySplit="1" topLeftCell="A89"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413</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J9" s="393"/>
      <c r="K9" s="399"/>
      <c r="L9" s="399"/>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J10" s="395"/>
      <c r="K10" s="394"/>
      <c r="L10" s="394"/>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J11" s="393"/>
      <c r="K11" s="394"/>
      <c r="L11" s="394"/>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K12" s="394"/>
      <c r="L12" s="394"/>
      <c r="N12" s="832" t="s">
        <v>48</v>
      </c>
      <c r="O12" s="832"/>
      <c r="P12" s="833" t="s">
        <v>49</v>
      </c>
      <c r="Q12" s="833"/>
      <c r="R12" s="834" t="s">
        <v>50</v>
      </c>
      <c r="S12" s="834"/>
      <c r="T12" s="23" t="s">
        <v>51</v>
      </c>
      <c r="U12" s="24" t="s">
        <v>52</v>
      </c>
    </row>
    <row r="13" spans="1:21" x14ac:dyDescent="0.25">
      <c r="A13" s="798" t="s">
        <v>29</v>
      </c>
      <c r="B13" s="798"/>
      <c r="C13" s="192">
        <v>223.56</v>
      </c>
      <c r="D13" s="190">
        <v>218.56</v>
      </c>
      <c r="E13" s="245">
        <f>IF(D$29=0,C13*2,C13+D13)</f>
        <v>442.12</v>
      </c>
      <c r="F13" s="819">
        <f>'0664'!F13:G13</f>
        <v>1.1259999999999999</v>
      </c>
      <c r="G13" s="819"/>
      <c r="H13" s="194">
        <f>ROUND(E13*F13,4)</f>
        <v>497.82709999999997</v>
      </c>
      <c r="I13" s="140">
        <f t="shared" ref="I13:I28" si="0">ROUND(ROUND(H13*$C$8,4)*($H$8),2)</f>
        <v>2269255.92</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17.059999999999999</v>
      </c>
      <c r="D14" s="192">
        <v>15.4</v>
      </c>
      <c r="E14" s="147">
        <f t="shared" ref="E14:E28" si="3">IF(D$29=0,C14*2,C14+D14)</f>
        <v>32.46</v>
      </c>
      <c r="F14" s="814">
        <f>'0664'!F14:G14</f>
        <v>1.1259999999999999</v>
      </c>
      <c r="G14" s="814"/>
      <c r="H14" s="99">
        <f t="shared" ref="H14:H28" si="4">ROUND(E14*F14,4)</f>
        <v>36.549999999999997</v>
      </c>
      <c r="I14" s="120">
        <f t="shared" si="0"/>
        <v>166606.65</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252.88</v>
      </c>
      <c r="D15" s="192">
        <v>252.76</v>
      </c>
      <c r="E15" s="147">
        <f t="shared" si="3"/>
        <v>505.64</v>
      </c>
      <c r="F15" s="814">
        <f>'0664'!F15:G15</f>
        <v>1</v>
      </c>
      <c r="G15" s="814"/>
      <c r="H15" s="99">
        <f t="shared" si="4"/>
        <v>505.64</v>
      </c>
      <c r="I15" s="120">
        <f t="shared" si="0"/>
        <v>2304869.62</v>
      </c>
      <c r="N15" s="840" t="s">
        <v>31</v>
      </c>
      <c r="O15" s="840"/>
      <c r="P15" s="841">
        <f t="shared" si="1"/>
        <v>0</v>
      </c>
      <c r="Q15" s="841"/>
      <c r="R15" s="842">
        <v>1</v>
      </c>
      <c r="S15" s="842"/>
      <c r="T15" s="114">
        <f t="shared" si="5"/>
        <v>0</v>
      </c>
      <c r="U15" s="115">
        <f t="shared" si="2"/>
        <v>0</v>
      </c>
    </row>
    <row r="16" spans="1:21" x14ac:dyDescent="0.25">
      <c r="A16" s="764" t="s">
        <v>32</v>
      </c>
      <c r="B16" s="764"/>
      <c r="C16" s="192">
        <v>37.119999999999997</v>
      </c>
      <c r="D16" s="192">
        <v>35.700000000000003</v>
      </c>
      <c r="E16" s="147">
        <f t="shared" si="3"/>
        <v>72.819999999999993</v>
      </c>
      <c r="F16" s="814">
        <f>'0664'!F16:G16</f>
        <v>1</v>
      </c>
      <c r="G16" s="814"/>
      <c r="H16" s="99">
        <f t="shared" si="4"/>
        <v>72.819999999999993</v>
      </c>
      <c r="I16" s="120">
        <f t="shared" si="0"/>
        <v>331936.96000000002</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6.42</v>
      </c>
      <c r="D25" s="192">
        <v>6.33</v>
      </c>
      <c r="E25" s="147">
        <f t="shared" si="3"/>
        <v>12.75</v>
      </c>
      <c r="F25" s="814">
        <f>'0664'!F25:G25</f>
        <v>1.1990000000000001</v>
      </c>
      <c r="G25" s="814"/>
      <c r="H25" s="99">
        <f t="shared" si="4"/>
        <v>15.2873</v>
      </c>
      <c r="I25" s="120">
        <f t="shared" si="0"/>
        <v>69684.429999999993</v>
      </c>
      <c r="N25" s="840" t="s">
        <v>116</v>
      </c>
      <c r="O25" s="840"/>
      <c r="P25" s="841">
        <f t="shared" si="1"/>
        <v>0</v>
      </c>
      <c r="Q25" s="841"/>
      <c r="R25" s="842">
        <v>1</v>
      </c>
      <c r="S25" s="842"/>
      <c r="T25" s="114">
        <f t="shared" si="5"/>
        <v>0</v>
      </c>
      <c r="U25" s="115">
        <f t="shared" si="2"/>
        <v>0</v>
      </c>
    </row>
    <row r="26" spans="1:21" x14ac:dyDescent="0.25">
      <c r="A26" s="764" t="s">
        <v>117</v>
      </c>
      <c r="B26" s="764"/>
      <c r="C26" s="192">
        <v>5.42</v>
      </c>
      <c r="D26" s="192">
        <v>4.72</v>
      </c>
      <c r="E26" s="147">
        <f t="shared" si="3"/>
        <v>10.14</v>
      </c>
      <c r="F26" s="814">
        <f>'0664'!F26:G26</f>
        <v>1.1990000000000001</v>
      </c>
      <c r="G26" s="814"/>
      <c r="H26" s="99">
        <f t="shared" si="4"/>
        <v>12.1579</v>
      </c>
      <c r="I26" s="120">
        <f t="shared" si="0"/>
        <v>55419.62</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542.45999999999992</v>
      </c>
      <c r="D29" s="113">
        <f>SUM(D13:D28)</f>
        <v>533.47000000000014</v>
      </c>
      <c r="E29" s="113">
        <f>SUM(E13:E28)</f>
        <v>1075.93</v>
      </c>
      <c r="F29" s="820"/>
      <c r="G29" s="820"/>
      <c r="H29" s="118">
        <f>SUM(H13:H28)</f>
        <v>1140.2822999999999</v>
      </c>
      <c r="I29" s="113">
        <f>SUM(I13:I28)</f>
        <v>5197773.1999999993</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1140.2822999999999</v>
      </c>
      <c r="F45" s="36"/>
      <c r="G45" s="128"/>
      <c r="H45" s="129" t="s">
        <v>131</v>
      </c>
      <c r="I45" s="113">
        <f>SUM(I43,I29)</f>
        <v>5197773.1999999993</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13.05</v>
      </c>
      <c r="D50" s="192">
        <v>10.47</v>
      </c>
      <c r="E50" s="147">
        <f>IF(D$59=0,C50*2,C50+D50)</f>
        <v>23.520000000000003</v>
      </c>
      <c r="F50" s="40" t="s">
        <v>21</v>
      </c>
      <c r="G50" s="52">
        <v>251</v>
      </c>
      <c r="H50" s="485">
        <f>'0664'!H50</f>
        <v>1047</v>
      </c>
      <c r="I50" s="120">
        <f>ROUND(E50*H50,2)</f>
        <v>24625.439999999999</v>
      </c>
      <c r="N50" s="863" t="s">
        <v>28</v>
      </c>
      <c r="O50" s="863"/>
      <c r="P50" s="864"/>
      <c r="Q50" s="864"/>
      <c r="R50" s="42" t="s">
        <v>21</v>
      </c>
      <c r="S50" s="43">
        <v>251</v>
      </c>
      <c r="T50" s="138">
        <f>H50</f>
        <v>1047</v>
      </c>
      <c r="U50" s="139">
        <f>ROUND(P50*T50,0)</f>
        <v>0</v>
      </c>
    </row>
    <row r="51" spans="1:21" x14ac:dyDescent="0.25">
      <c r="A51" s="792"/>
      <c r="B51" s="792"/>
      <c r="C51" s="192">
        <v>4.01</v>
      </c>
      <c r="D51" s="192">
        <v>4.93</v>
      </c>
      <c r="E51" s="147">
        <f t="shared" ref="E51:E58" si="10">IF(D$59=0,C51*2,C51+D51)</f>
        <v>8.94</v>
      </c>
      <c r="F51" s="52" t="s">
        <v>21</v>
      </c>
      <c r="G51" s="52">
        <v>252</v>
      </c>
      <c r="H51" s="485">
        <f>'0664'!H51</f>
        <v>3380</v>
      </c>
      <c r="I51" s="120">
        <f t="shared" ref="I51:I58" si="11">ROUND(E51*H51,2)</f>
        <v>30217.200000000001</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32.06</v>
      </c>
      <c r="D53" s="192">
        <v>30.28</v>
      </c>
      <c r="E53" s="147">
        <f t="shared" si="10"/>
        <v>62.34</v>
      </c>
      <c r="F53" s="143" t="s">
        <v>14</v>
      </c>
      <c r="G53" s="52">
        <v>251</v>
      </c>
      <c r="H53" s="485">
        <f>'0664'!H53</f>
        <v>1173</v>
      </c>
      <c r="I53" s="120">
        <f t="shared" si="11"/>
        <v>73124.820000000007</v>
      </c>
      <c r="N53" s="863"/>
      <c r="O53" s="863"/>
      <c r="P53" s="865"/>
      <c r="Q53" s="865"/>
      <c r="R53" s="45" t="s">
        <v>14</v>
      </c>
      <c r="S53" s="43">
        <v>251</v>
      </c>
      <c r="T53" s="138">
        <f t="shared" si="12"/>
        <v>1173</v>
      </c>
      <c r="U53" s="139">
        <f t="shared" si="13"/>
        <v>0</v>
      </c>
    </row>
    <row r="54" spans="1:21" x14ac:dyDescent="0.25">
      <c r="A54" s="792"/>
      <c r="B54" s="792"/>
      <c r="C54" s="192">
        <v>5.0599999999999996</v>
      </c>
      <c r="D54" s="192">
        <v>5.42</v>
      </c>
      <c r="E54" s="147">
        <f t="shared" si="10"/>
        <v>10.48</v>
      </c>
      <c r="F54" s="143" t="s">
        <v>14</v>
      </c>
      <c r="G54" s="52">
        <v>252</v>
      </c>
      <c r="H54" s="485">
        <f>'0664'!H54</f>
        <v>3506</v>
      </c>
      <c r="I54" s="120">
        <f t="shared" si="11"/>
        <v>36742.879999999997</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54.180000000000007</v>
      </c>
      <c r="D59" s="116">
        <f>SUM(D50:D58)</f>
        <v>51.1</v>
      </c>
      <c r="E59" s="116">
        <f>SUM(E50:E58)</f>
        <v>105.28000000000002</v>
      </c>
      <c r="F59" s="767" t="s">
        <v>78</v>
      </c>
      <c r="G59" s="767"/>
      <c r="H59" s="767"/>
      <c r="I59" s="116">
        <f>SUM(I50:I58)</f>
        <v>164710.34</v>
      </c>
      <c r="N59" s="857" t="s">
        <v>16</v>
      </c>
      <c r="O59" s="857"/>
      <c r="P59" s="858">
        <f>SUM(P50:P58)</f>
        <v>0</v>
      </c>
      <c r="Q59" s="858"/>
      <c r="R59" s="857" t="s">
        <v>78</v>
      </c>
      <c r="S59" s="857"/>
      <c r="T59" s="857"/>
      <c r="U59" s="130">
        <f>SUM(U50:U58)</f>
        <v>0</v>
      </c>
    </row>
    <row r="60" spans="1:21" x14ac:dyDescent="0.25">
      <c r="A60" s="38"/>
      <c r="B60" s="38"/>
      <c r="C60" s="38"/>
      <c r="D60" s="38"/>
      <c r="E60" s="38"/>
      <c r="F60" s="38"/>
      <c r="G60" s="38"/>
      <c r="H60" s="38"/>
      <c r="I60" s="38"/>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1075.93</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5.64E-3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1140.2822999999999</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5.3169999999999997E-3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5.64E-3</v>
      </c>
      <c r="I68" s="120">
        <f>ROUND(F68*H68,2)</f>
        <v>237046.81</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5.64E-3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5.64E-3</v>
      </c>
      <c r="I71" s="120">
        <f>IF(D71="Y",ROUND(F71*H71,2),0)</f>
        <v>826.86</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5.64E-3</v>
      </c>
      <c r="I72" s="120">
        <f>ROUND(F72*H72,2)</f>
        <v>63945.81</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5.64E-3</v>
      </c>
      <c r="I73" s="120">
        <f>ROUND(F73*H73,2)</f>
        <v>78296.649999999994</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5.64E-3</v>
      </c>
      <c r="I77" s="120">
        <f t="shared" ref="I77:I82" si="14">ROUND(F77*H77,2)</f>
        <v>42088.74</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5.64E-3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5.3169999999999997E-3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5.3169999999999997E-3</v>
      </c>
      <c r="I80" s="120">
        <f t="shared" si="14"/>
        <v>45528.34</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5.3169999999999997E-3</v>
      </c>
      <c r="I81" s="120">
        <f t="shared" si="14"/>
        <v>896782.38</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5.3169999999999997E-3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190850.29</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5.64E-3</v>
      </c>
      <c r="I84" s="120">
        <f>ROUND(F84*H84,2)</f>
        <v>121904.89</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549.66439999999989</v>
      </c>
      <c r="D89" s="781"/>
      <c r="E89" s="54">
        <f>H8</f>
        <v>1.0424</v>
      </c>
      <c r="F89" s="545">
        <f>'0664'!F89</f>
        <v>966.9</v>
      </c>
      <c r="G89" s="186" t="s">
        <v>13</v>
      </c>
      <c r="H89" s="120">
        <f>ROUND(C89*E89*F89,2)</f>
        <v>554004.86</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590.61790000000008</v>
      </c>
      <c r="D90" s="781"/>
      <c r="E90" s="54">
        <f>H8</f>
        <v>1.0424</v>
      </c>
      <c r="F90" s="545">
        <f>'0664'!F90</f>
        <v>923.19</v>
      </c>
      <c r="G90" s="186" t="s">
        <v>13</v>
      </c>
      <c r="H90" s="120">
        <f>ROUND(C90*E90*F90,2)</f>
        <v>568371.25</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1140.2822999999999</v>
      </c>
      <c r="D92" s="782"/>
      <c r="E92" s="168"/>
      <c r="F92" s="168"/>
      <c r="G92" s="168"/>
      <c r="H92" s="169" t="s">
        <v>145</v>
      </c>
      <c r="I92" s="120">
        <f>IF(A1=75,0,H91+H90+H89)</f>
        <v>1122376.1099999999</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103</v>
      </c>
      <c r="D98" s="192">
        <v>89</v>
      </c>
      <c r="E98" s="147">
        <f>(C98+D98)/2</f>
        <v>96</v>
      </c>
      <c r="F98" s="173" t="s">
        <v>39</v>
      </c>
      <c r="G98" s="546">
        <f>'0664'!G98</f>
        <v>486</v>
      </c>
      <c r="I98" s="120">
        <f>ROUND(G98*E98,2)</f>
        <v>46656</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8208786.419999999</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7" t="s">
        <v>306</v>
      </c>
      <c r="H118" s="188">
        <f>IF(H116=1,I116,I114)</f>
        <v>8208786.419999999</v>
      </c>
      <c r="I118" s="113">
        <f>ROUND(IF(E29=0,0,IF(E29&gt;250,-(((250/E29)*H118)*IF(G118="H",0.02,0.05)),IF(G118="H",-0.02*H118,-0.05*H118))),2)</f>
        <v>-38147.4</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8170639.0199999986</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412" t="s">
        <v>308</v>
      </c>
      <c r="B122" s="411"/>
      <c r="C122" s="189"/>
      <c r="D122" s="86"/>
      <c r="F122" s="86"/>
      <c r="G122" s="86"/>
      <c r="H122" s="89"/>
      <c r="I122" s="424">
        <v>-8172527.5099999998</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-1888.4900000011548</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-1888.49</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126028.33</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69">
    <mergeCell ref="A84:C84"/>
    <mergeCell ref="N84:P84"/>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73:P73"/>
    <mergeCell ref="N66:S66"/>
    <mergeCell ref="T66:U66"/>
    <mergeCell ref="A68:C68"/>
    <mergeCell ref="N68:P68"/>
    <mergeCell ref="A69:C69"/>
    <mergeCell ref="N69:P69"/>
    <mergeCell ref="N80:P80"/>
    <mergeCell ref="A77:C77"/>
    <mergeCell ref="N77:P77"/>
    <mergeCell ref="A78:C78"/>
    <mergeCell ref="A70:C70"/>
    <mergeCell ref="A71:C71"/>
    <mergeCell ref="N71:P71"/>
    <mergeCell ref="A72:C72"/>
    <mergeCell ref="N72:P72"/>
    <mergeCell ref="A73:C73"/>
    <mergeCell ref="A81:C81"/>
    <mergeCell ref="N81:P81"/>
    <mergeCell ref="A82:C82"/>
    <mergeCell ref="N82:P82"/>
    <mergeCell ref="F74:H74"/>
    <mergeCell ref="N74:T74"/>
    <mergeCell ref="N75:T75"/>
    <mergeCell ref="A79:C79"/>
    <mergeCell ref="N79:P79"/>
    <mergeCell ref="A80:C80"/>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FFFF00"/>
  </sheetPr>
  <dimension ref="A1:U202"/>
  <sheetViews>
    <sheetView showGridLines="0" zoomScale="90" zoomScaleNormal="90" workbookViewId="0">
      <pane ySplit="1" topLeftCell="A86" activePane="bottomLeft" state="frozen"/>
      <selection activeCell="A46" sqref="A46:IV46"/>
      <selection pane="bottomLeft" activeCell="I122" sqref="I122"/>
    </sheetView>
  </sheetViews>
  <sheetFormatPr defaultRowHeight="15.75" x14ac:dyDescent="0.25"/>
  <cols>
    <col min="1" max="1" width="10.28515625" style="341"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341"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310</v>
      </c>
      <c r="B2" s="2"/>
      <c r="C2" s="2"/>
      <c r="D2" s="2"/>
      <c r="E2" s="2"/>
      <c r="F2" s="2"/>
      <c r="G2" s="2"/>
      <c r="H2" s="2"/>
      <c r="I2" s="2"/>
      <c r="N2" s="824" t="s">
        <v>23</v>
      </c>
      <c r="O2" s="824"/>
      <c r="P2" s="824"/>
      <c r="Q2" s="824"/>
      <c r="R2" s="824"/>
      <c r="S2" s="824"/>
      <c r="T2" s="824"/>
      <c r="U2" s="824"/>
    </row>
    <row r="3" spans="1:21" x14ac:dyDescent="0.25">
      <c r="A3" s="36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367"/>
      <c r="O5" s="367"/>
      <c r="P5" s="372"/>
      <c r="Q5" s="372"/>
      <c r="R5" s="5"/>
      <c r="S5" s="5"/>
      <c r="T5" s="5"/>
      <c r="U5" s="5"/>
    </row>
    <row r="6" spans="1:21" ht="12" customHeight="1" x14ac:dyDescent="0.25">
      <c r="A6" s="366"/>
      <c r="B6" s="366"/>
      <c r="C6" s="371"/>
      <c r="D6" s="371"/>
      <c r="E6" s="371"/>
      <c r="F6" s="4"/>
      <c r="G6" s="4"/>
      <c r="H6" s="4"/>
      <c r="I6" s="4"/>
      <c r="N6" s="367"/>
      <c r="O6" s="367"/>
      <c r="P6" s="372"/>
      <c r="Q6" s="372"/>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285"/>
      <c r="G8" s="286"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N9" s="368"/>
      <c r="O9" s="368"/>
      <c r="P9" s="369"/>
      <c r="Q9" s="369"/>
      <c r="R9" s="14"/>
      <c r="S9" s="14"/>
      <c r="T9" s="15"/>
      <c r="U9" s="721" t="s">
        <v>428</v>
      </c>
    </row>
    <row r="10" spans="1:21" x14ac:dyDescent="0.25">
      <c r="A10" s="7"/>
      <c r="B10" s="7"/>
      <c r="C10" s="600" t="s">
        <v>435</v>
      </c>
      <c r="D10" s="669" t="s">
        <v>436</v>
      </c>
      <c r="E10" s="108" t="s">
        <v>8</v>
      </c>
      <c r="F10" s="806" t="s">
        <v>1</v>
      </c>
      <c r="G10" s="806"/>
      <c r="H10" s="10" t="s">
        <v>74</v>
      </c>
      <c r="I10" s="11" t="s">
        <v>36</v>
      </c>
      <c r="N10" s="368"/>
      <c r="O10" s="368"/>
      <c r="P10" s="369"/>
      <c r="Q10" s="369"/>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365"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75.430000000000007</v>
      </c>
      <c r="D13" s="190">
        <v>69.66</v>
      </c>
      <c r="E13" s="245">
        <f>IF(D$29=0,C13*2,C13+D13)</f>
        <v>145.09</v>
      </c>
      <c r="F13" s="819">
        <f>'0664'!F13:G13</f>
        <v>1.1259999999999999</v>
      </c>
      <c r="G13" s="819"/>
      <c r="H13" s="194">
        <f>ROUND(E13*F13,4)</f>
        <v>163.37129999999999</v>
      </c>
      <c r="I13" s="140">
        <f t="shared" ref="I13:I28" si="0">ROUND(ROUND(H13*$C$8,4)*($H$8),2)</f>
        <v>744698.89</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8.0299999999999994</v>
      </c>
      <c r="D14" s="192">
        <v>7.97</v>
      </c>
      <c r="E14" s="147">
        <f t="shared" ref="E14:E28" si="3">IF(D$29=0,C14*2,C14+D14)</f>
        <v>16</v>
      </c>
      <c r="F14" s="814">
        <f>'0664'!F14:G14</f>
        <v>1.1259999999999999</v>
      </c>
      <c r="G14" s="814"/>
      <c r="H14" s="99">
        <f t="shared" ref="H14:H28" si="4">ROUND(E14*F14,4)</f>
        <v>18.015999999999998</v>
      </c>
      <c r="I14" s="120">
        <f t="shared" si="0"/>
        <v>82122.720000000001</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67.97</v>
      </c>
      <c r="D15" s="192">
        <v>66.64</v>
      </c>
      <c r="E15" s="147">
        <f t="shared" si="3"/>
        <v>134.61000000000001</v>
      </c>
      <c r="F15" s="814">
        <f>'0664'!F15:G15</f>
        <v>1</v>
      </c>
      <c r="G15" s="814"/>
      <c r="H15" s="99">
        <f t="shared" si="4"/>
        <v>134.61000000000001</v>
      </c>
      <c r="I15" s="120">
        <f t="shared" si="0"/>
        <v>613595.64</v>
      </c>
      <c r="N15" s="840" t="s">
        <v>31</v>
      </c>
      <c r="O15" s="840"/>
      <c r="P15" s="841">
        <f t="shared" si="1"/>
        <v>0</v>
      </c>
      <c r="Q15" s="841"/>
      <c r="R15" s="842">
        <v>1</v>
      </c>
      <c r="S15" s="842"/>
      <c r="T15" s="114">
        <f t="shared" si="5"/>
        <v>0</v>
      </c>
      <c r="U15" s="115">
        <f t="shared" si="2"/>
        <v>0</v>
      </c>
    </row>
    <row r="16" spans="1:21" x14ac:dyDescent="0.25">
      <c r="A16" s="764" t="s">
        <v>32</v>
      </c>
      <c r="B16" s="764"/>
      <c r="C16" s="192">
        <v>8.58</v>
      </c>
      <c r="D16" s="192">
        <v>7.5</v>
      </c>
      <c r="E16" s="147">
        <f t="shared" si="3"/>
        <v>16.079999999999998</v>
      </c>
      <c r="F16" s="814">
        <f>'0664'!F16:G16</f>
        <v>1</v>
      </c>
      <c r="G16" s="814"/>
      <c r="H16" s="99">
        <f t="shared" si="4"/>
        <v>16.079999999999998</v>
      </c>
      <c r="I16" s="120">
        <f t="shared" si="0"/>
        <v>73297.81</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0.88</v>
      </c>
      <c r="D25" s="192">
        <v>0.88</v>
      </c>
      <c r="E25" s="147">
        <f t="shared" si="3"/>
        <v>1.76</v>
      </c>
      <c r="F25" s="814">
        <f>'0664'!F25:G25</f>
        <v>1.1990000000000001</v>
      </c>
      <c r="G25" s="814"/>
      <c r="H25" s="99">
        <f t="shared" si="4"/>
        <v>2.1101999999999999</v>
      </c>
      <c r="I25" s="120">
        <f t="shared" si="0"/>
        <v>9618.9699999999993</v>
      </c>
      <c r="N25" s="840" t="s">
        <v>116</v>
      </c>
      <c r="O25" s="840"/>
      <c r="P25" s="841">
        <f t="shared" si="1"/>
        <v>0</v>
      </c>
      <c r="Q25" s="841"/>
      <c r="R25" s="842">
        <v>1</v>
      </c>
      <c r="S25" s="842"/>
      <c r="T25" s="114">
        <f t="shared" si="5"/>
        <v>0</v>
      </c>
      <c r="U25" s="115">
        <f t="shared" si="2"/>
        <v>0</v>
      </c>
    </row>
    <row r="26" spans="1:21" x14ac:dyDescent="0.25">
      <c r="A26" s="764" t="s">
        <v>117</v>
      </c>
      <c r="B26" s="764"/>
      <c r="C26" s="192">
        <v>1.76</v>
      </c>
      <c r="D26" s="192">
        <v>0.88</v>
      </c>
      <c r="E26" s="147">
        <f t="shared" si="3"/>
        <v>2.64</v>
      </c>
      <c r="F26" s="814">
        <f>'0664'!F26:G26</f>
        <v>1.1990000000000001</v>
      </c>
      <c r="G26" s="814"/>
      <c r="H26" s="99">
        <f t="shared" si="4"/>
        <v>3.1654</v>
      </c>
      <c r="I26" s="120">
        <f t="shared" si="0"/>
        <v>14428.91</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162.65</v>
      </c>
      <c r="D29" s="113">
        <f>SUM(D13:D28)</f>
        <v>153.52999999999997</v>
      </c>
      <c r="E29" s="113">
        <f>SUM(E13:E28)</f>
        <v>316.18</v>
      </c>
      <c r="F29" s="820"/>
      <c r="G29" s="820"/>
      <c r="H29" s="118">
        <f>SUM(H13:H28)</f>
        <v>337.35289999999998</v>
      </c>
      <c r="I29" s="113">
        <f>SUM(I13:I28)</f>
        <v>1537762.94</v>
      </c>
      <c r="N29" s="850" t="s">
        <v>5</v>
      </c>
      <c r="O29" s="850"/>
      <c r="P29" s="851">
        <f>SUM(P13:P28)</f>
        <v>0</v>
      </c>
      <c r="Q29" s="851"/>
      <c r="R29" s="852"/>
      <c r="S29" s="852"/>
      <c r="T29" s="119">
        <f>SUM(T13:T28)</f>
        <v>0</v>
      </c>
      <c r="U29" s="115">
        <f>SUM(U13:U28)</f>
        <v>0</v>
      </c>
    </row>
    <row r="30" spans="1:21" x14ac:dyDescent="0.25">
      <c r="A30" s="27"/>
      <c r="B30" s="27"/>
      <c r="C30" s="120"/>
      <c r="D30" s="120"/>
      <c r="E30" s="120"/>
      <c r="F30" s="373"/>
      <c r="G30" s="373"/>
      <c r="H30" s="99"/>
      <c r="I30" s="120"/>
      <c r="N30" s="362"/>
      <c r="O30" s="362"/>
      <c r="P30" s="30"/>
      <c r="Q30" s="30"/>
      <c r="R30" s="363"/>
      <c r="S30" s="363"/>
      <c r="T30" s="121"/>
      <c r="U30" s="122"/>
    </row>
    <row r="31" spans="1:21" x14ac:dyDescent="0.25">
      <c r="A31" s="195" t="s">
        <v>99</v>
      </c>
      <c r="B31" s="27"/>
      <c r="C31" s="120"/>
      <c r="D31" s="120"/>
      <c r="E31" s="120"/>
      <c r="F31" s="373"/>
      <c r="G31" s="373"/>
      <c r="H31" s="99"/>
      <c r="I31" s="120"/>
      <c r="N31" s="362"/>
      <c r="O31" s="362"/>
      <c r="P31" s="30"/>
      <c r="Q31" s="30"/>
      <c r="R31" s="363"/>
      <c r="S31" s="363"/>
      <c r="T31" s="121"/>
      <c r="U31" s="122"/>
    </row>
    <row r="32" spans="1:21" hidden="1" x14ac:dyDescent="0.25">
      <c r="A32" s="195"/>
      <c r="B32" s="27"/>
      <c r="C32" s="120"/>
      <c r="D32" s="120"/>
      <c r="E32" s="120"/>
      <c r="F32" s="373"/>
      <c r="G32" s="373"/>
      <c r="H32" s="99"/>
      <c r="I32" s="120"/>
      <c r="N32" s="362"/>
      <c r="O32" s="362"/>
      <c r="P32" s="30"/>
      <c r="Q32" s="30"/>
      <c r="R32" s="363"/>
      <c r="S32" s="363"/>
      <c r="T32" s="121"/>
      <c r="U32" s="122"/>
    </row>
    <row r="33" spans="1:21" hidden="1" x14ac:dyDescent="0.25">
      <c r="A33" s="195"/>
      <c r="B33" s="27"/>
      <c r="C33" s="120"/>
      <c r="D33" s="120"/>
      <c r="E33" s="120"/>
      <c r="F33" s="887" t="s">
        <v>298</v>
      </c>
      <c r="G33" s="887"/>
      <c r="H33" s="887"/>
      <c r="I33" s="120"/>
      <c r="N33" s="362"/>
      <c r="O33" s="362"/>
      <c r="P33" s="30"/>
      <c r="Q33" s="30"/>
      <c r="R33" s="363"/>
      <c r="S33" s="363"/>
      <c r="T33" s="121"/>
      <c r="U33" s="122"/>
    </row>
    <row r="34" spans="1:21" hidden="1" x14ac:dyDescent="0.25">
      <c r="A34" s="3"/>
      <c r="B34" s="361"/>
      <c r="C34" s="361"/>
      <c r="D34" s="361"/>
      <c r="E34" s="361"/>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62"/>
      <c r="O35" s="362"/>
      <c r="P35" s="30"/>
      <c r="Q35" s="30"/>
      <c r="R35" s="363"/>
      <c r="S35" s="363"/>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191">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93">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93">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93">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93">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18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idden="1" x14ac:dyDescent="0.25">
      <c r="A44" s="61"/>
      <c r="B44" s="127"/>
      <c r="C44" s="120"/>
      <c r="D44" s="120"/>
      <c r="E44" s="140"/>
      <c r="F44" s="33"/>
      <c r="G44" s="128"/>
      <c r="H44" s="129"/>
      <c r="I44" s="120"/>
      <c r="N44" s="362"/>
      <c r="O44" s="362"/>
      <c r="P44" s="362"/>
      <c r="Q44" s="362"/>
      <c r="R44" s="35"/>
      <c r="S44" s="363"/>
      <c r="T44" s="363"/>
      <c r="U44" s="122"/>
    </row>
    <row r="45" spans="1:21" ht="16.5" hidden="1" thickBot="1" x14ac:dyDescent="0.3">
      <c r="A45" s="61"/>
      <c r="B45" s="127" t="s">
        <v>129</v>
      </c>
      <c r="C45" s="61"/>
      <c r="D45" s="61"/>
      <c r="E45" s="201">
        <f>H29+E43</f>
        <v>337.35289999999998</v>
      </c>
      <c r="F45" s="36"/>
      <c r="G45" s="128"/>
      <c r="H45" s="129" t="s">
        <v>131</v>
      </c>
      <c r="I45" s="113">
        <f>SUM(I43,I29)</f>
        <v>1537762.94</v>
      </c>
      <c r="N45" s="855" t="s">
        <v>56</v>
      </c>
      <c r="O45" s="855"/>
      <c r="P45" s="855"/>
      <c r="Q45" s="855"/>
      <c r="R45" s="37">
        <f>R43+T29</f>
        <v>0</v>
      </c>
      <c r="S45" s="852" t="s">
        <v>54</v>
      </c>
      <c r="T45" s="852"/>
      <c r="U45" s="130">
        <f>SUM(U43,U29)</f>
        <v>0</v>
      </c>
    </row>
    <row r="46" spans="1:21" hidden="1" x14ac:dyDescent="0.25">
      <c r="A46" s="27"/>
      <c r="B46" s="27"/>
      <c r="C46" s="27"/>
      <c r="D46" s="27"/>
      <c r="E46" s="27"/>
      <c r="F46" s="36"/>
      <c r="G46" s="364"/>
      <c r="H46" s="364"/>
      <c r="I46" s="120"/>
      <c r="N46" s="362"/>
      <c r="O46" s="362"/>
      <c r="P46" s="362"/>
      <c r="Q46" s="362"/>
      <c r="R46" s="37"/>
      <c r="S46" s="363"/>
      <c r="T46" s="363"/>
      <c r="U46" s="122"/>
    </row>
    <row r="47" spans="1:21" x14ac:dyDescent="0.25">
      <c r="A47" s="27"/>
      <c r="B47" s="127" t="s">
        <v>391</v>
      </c>
      <c r="C47" s="666" t="s">
        <v>391</v>
      </c>
      <c r="D47" s="600" t="s">
        <v>391</v>
      </c>
      <c r="E47" s="27"/>
      <c r="F47" s="36"/>
      <c r="G47" s="364"/>
      <c r="H47" s="364"/>
      <c r="I47" s="120"/>
      <c r="N47" s="362"/>
      <c r="O47" s="362"/>
      <c r="P47" s="362"/>
      <c r="Q47" s="362"/>
      <c r="R47" s="37"/>
      <c r="S47" s="363"/>
      <c r="T47" s="363"/>
      <c r="U47" s="122"/>
    </row>
    <row r="48" spans="1:21" x14ac:dyDescent="0.25">
      <c r="A48" s="27"/>
      <c r="B48" s="27"/>
      <c r="C48" s="600" t="s">
        <v>435</v>
      </c>
      <c r="D48" s="669" t="s">
        <v>436</v>
      </c>
      <c r="E48" s="108" t="s">
        <v>8</v>
      </c>
      <c r="F48" s="132" t="s">
        <v>132</v>
      </c>
      <c r="G48" s="133" t="s">
        <v>134</v>
      </c>
      <c r="H48" s="134" t="s">
        <v>135</v>
      </c>
      <c r="I48" s="120"/>
      <c r="N48" s="362"/>
      <c r="O48" s="362"/>
      <c r="P48" s="362"/>
      <c r="Q48" s="362"/>
      <c r="R48" s="37"/>
      <c r="S48" s="363"/>
      <c r="T48" s="363"/>
      <c r="U48" s="122"/>
    </row>
    <row r="49" spans="1:21" x14ac:dyDescent="0.25">
      <c r="A49" s="38" t="s">
        <v>89</v>
      </c>
      <c r="B49" s="38"/>
      <c r="C49" s="622" t="s">
        <v>2</v>
      </c>
      <c r="D49" s="622" t="s">
        <v>2</v>
      </c>
      <c r="E49" s="622" t="s">
        <v>2</v>
      </c>
      <c r="F49" s="365" t="s">
        <v>133</v>
      </c>
      <c r="G49" s="351" t="s">
        <v>133</v>
      </c>
      <c r="H49" s="135" t="s">
        <v>136</v>
      </c>
      <c r="I49" s="38"/>
      <c r="N49" s="845" t="s">
        <v>89</v>
      </c>
      <c r="O49" s="845"/>
      <c r="P49" s="856" t="s">
        <v>2</v>
      </c>
      <c r="Q49" s="856"/>
      <c r="R49" s="39" t="s">
        <v>25</v>
      </c>
      <c r="S49" s="347" t="s">
        <v>26</v>
      </c>
      <c r="T49" s="136" t="s">
        <v>27</v>
      </c>
      <c r="U49" s="39"/>
    </row>
    <row r="50" spans="1:21" x14ac:dyDescent="0.25">
      <c r="A50" s="791" t="s">
        <v>100</v>
      </c>
      <c r="B50" s="791"/>
      <c r="C50" s="192">
        <v>8.0299999999999994</v>
      </c>
      <c r="D50" s="192">
        <v>7.97</v>
      </c>
      <c r="E50" s="147">
        <f>IF(D$59=0,C50*2,C50+D50)</f>
        <v>16</v>
      </c>
      <c r="F50" s="348" t="s">
        <v>21</v>
      </c>
      <c r="G50" s="358">
        <v>251</v>
      </c>
      <c r="H50" s="485">
        <f>'0664'!H50</f>
        <v>1047</v>
      </c>
      <c r="I50" s="120">
        <f>ROUND(E50*H50,2)</f>
        <v>16752</v>
      </c>
      <c r="N50" s="863" t="s">
        <v>28</v>
      </c>
      <c r="O50" s="863"/>
      <c r="P50" s="864"/>
      <c r="Q50" s="864"/>
      <c r="R50" s="349" t="s">
        <v>21</v>
      </c>
      <c r="S50" s="370">
        <v>251</v>
      </c>
      <c r="T50" s="138">
        <f>H50</f>
        <v>1047</v>
      </c>
      <c r="U50" s="139">
        <f>ROUND(P50*T50,0)</f>
        <v>0</v>
      </c>
    </row>
    <row r="51" spans="1:21" x14ac:dyDescent="0.25">
      <c r="A51" s="792"/>
      <c r="B51" s="792"/>
      <c r="C51" s="192">
        <v>0</v>
      </c>
      <c r="D51" s="192">
        <v>0</v>
      </c>
      <c r="E51" s="147">
        <f t="shared" ref="E51:E58" si="10">IF(D$59=0,C51*2,C51+D51)</f>
        <v>0</v>
      </c>
      <c r="F51" s="358" t="s">
        <v>21</v>
      </c>
      <c r="G51" s="358">
        <v>252</v>
      </c>
      <c r="H51" s="485">
        <f>'0664'!H51</f>
        <v>3380</v>
      </c>
      <c r="I51" s="120">
        <f t="shared" ref="I51:I58" si="11">ROUND(E51*H51,2)</f>
        <v>0</v>
      </c>
      <c r="N51" s="863"/>
      <c r="O51" s="863"/>
      <c r="P51" s="865"/>
      <c r="Q51" s="865"/>
      <c r="R51" s="370" t="s">
        <v>21</v>
      </c>
      <c r="S51" s="370">
        <v>252</v>
      </c>
      <c r="T51" s="138">
        <f t="shared" ref="T51:T58" si="12">H51</f>
        <v>3380</v>
      </c>
      <c r="U51" s="139">
        <f t="shared" ref="U51:U58" si="13">ROUND(P51*T51,0)</f>
        <v>0</v>
      </c>
    </row>
    <row r="52" spans="1:21" x14ac:dyDescent="0.25">
      <c r="A52" s="792"/>
      <c r="B52" s="792"/>
      <c r="C52" s="192">
        <v>0</v>
      </c>
      <c r="D52" s="192">
        <v>0</v>
      </c>
      <c r="E52" s="147">
        <f t="shared" si="10"/>
        <v>0</v>
      </c>
      <c r="F52" s="358" t="s">
        <v>21</v>
      </c>
      <c r="G52" s="358">
        <v>253</v>
      </c>
      <c r="H52" s="485">
        <f>'0664'!H52</f>
        <v>6896</v>
      </c>
      <c r="I52" s="120">
        <f t="shared" si="11"/>
        <v>0</v>
      </c>
      <c r="N52" s="863"/>
      <c r="O52" s="863"/>
      <c r="P52" s="865"/>
      <c r="Q52" s="865"/>
      <c r="R52" s="370" t="s">
        <v>21</v>
      </c>
      <c r="S52" s="370">
        <v>253</v>
      </c>
      <c r="T52" s="138">
        <f t="shared" si="12"/>
        <v>6896</v>
      </c>
      <c r="U52" s="139">
        <f t="shared" si="13"/>
        <v>0</v>
      </c>
    </row>
    <row r="53" spans="1:21" x14ac:dyDescent="0.25">
      <c r="A53" s="792"/>
      <c r="B53" s="792"/>
      <c r="C53" s="192">
        <v>6.86</v>
      </c>
      <c r="D53" s="192">
        <v>6.08</v>
      </c>
      <c r="E53" s="147">
        <f t="shared" si="10"/>
        <v>12.940000000000001</v>
      </c>
      <c r="F53" s="375" t="s">
        <v>14</v>
      </c>
      <c r="G53" s="358">
        <v>251</v>
      </c>
      <c r="H53" s="485">
        <f>'0664'!H53</f>
        <v>1173</v>
      </c>
      <c r="I53" s="120">
        <f t="shared" si="11"/>
        <v>15178.62</v>
      </c>
      <c r="N53" s="863"/>
      <c r="O53" s="863"/>
      <c r="P53" s="865"/>
      <c r="Q53" s="865"/>
      <c r="R53" s="45" t="s">
        <v>14</v>
      </c>
      <c r="S53" s="370">
        <v>251</v>
      </c>
      <c r="T53" s="138">
        <f t="shared" si="12"/>
        <v>1173</v>
      </c>
      <c r="U53" s="139">
        <f t="shared" si="13"/>
        <v>0</v>
      </c>
    </row>
    <row r="54" spans="1:21" x14ac:dyDescent="0.25">
      <c r="A54" s="792"/>
      <c r="B54" s="792"/>
      <c r="C54" s="192">
        <v>1.72</v>
      </c>
      <c r="D54" s="192">
        <v>1.42</v>
      </c>
      <c r="E54" s="147">
        <f t="shared" si="10"/>
        <v>3.1399999999999997</v>
      </c>
      <c r="F54" s="375" t="s">
        <v>14</v>
      </c>
      <c r="G54" s="358">
        <v>252</v>
      </c>
      <c r="H54" s="485">
        <f>'0664'!H54</f>
        <v>3506</v>
      </c>
      <c r="I54" s="120">
        <f t="shared" si="11"/>
        <v>11008.84</v>
      </c>
      <c r="N54" s="863"/>
      <c r="O54" s="863"/>
      <c r="P54" s="865"/>
      <c r="Q54" s="865"/>
      <c r="R54" s="45" t="s">
        <v>14</v>
      </c>
      <c r="S54" s="370">
        <v>252</v>
      </c>
      <c r="T54" s="138">
        <f t="shared" si="12"/>
        <v>3506</v>
      </c>
      <c r="U54" s="139">
        <f t="shared" si="13"/>
        <v>0</v>
      </c>
    </row>
    <row r="55" spans="1:21" x14ac:dyDescent="0.25">
      <c r="A55" s="792"/>
      <c r="B55" s="792"/>
      <c r="C55" s="192">
        <v>0</v>
      </c>
      <c r="D55" s="192">
        <v>0</v>
      </c>
      <c r="E55" s="147">
        <f t="shared" si="10"/>
        <v>0</v>
      </c>
      <c r="F55" s="375" t="s">
        <v>14</v>
      </c>
      <c r="G55" s="358">
        <v>253</v>
      </c>
      <c r="H55" s="485">
        <f>'0664'!H55</f>
        <v>7023</v>
      </c>
      <c r="I55" s="120">
        <f t="shared" si="11"/>
        <v>0</v>
      </c>
      <c r="N55" s="863"/>
      <c r="O55" s="863"/>
      <c r="P55" s="865"/>
      <c r="Q55" s="865"/>
      <c r="R55" s="45" t="s">
        <v>14</v>
      </c>
      <c r="S55" s="370">
        <v>253</v>
      </c>
      <c r="T55" s="138">
        <f t="shared" si="12"/>
        <v>7023</v>
      </c>
      <c r="U55" s="139">
        <f t="shared" si="13"/>
        <v>0</v>
      </c>
    </row>
    <row r="56" spans="1:21" x14ac:dyDescent="0.25">
      <c r="A56" s="792"/>
      <c r="B56" s="792"/>
      <c r="C56" s="192">
        <v>0</v>
      </c>
      <c r="D56" s="192">
        <v>0</v>
      </c>
      <c r="E56" s="147">
        <f t="shared" si="10"/>
        <v>0</v>
      </c>
      <c r="F56" s="375" t="s">
        <v>15</v>
      </c>
      <c r="G56" s="358">
        <v>251</v>
      </c>
      <c r="H56" s="485">
        <f>'0664'!H56</f>
        <v>835</v>
      </c>
      <c r="I56" s="120">
        <f t="shared" si="11"/>
        <v>0</v>
      </c>
      <c r="N56" s="863"/>
      <c r="O56" s="863"/>
      <c r="P56" s="865"/>
      <c r="Q56" s="865"/>
      <c r="R56" s="45" t="s">
        <v>15</v>
      </c>
      <c r="S56" s="370">
        <v>251</v>
      </c>
      <c r="T56" s="138">
        <f t="shared" si="12"/>
        <v>835</v>
      </c>
      <c r="U56" s="139">
        <f t="shared" si="13"/>
        <v>0</v>
      </c>
    </row>
    <row r="57" spans="1:21" x14ac:dyDescent="0.25">
      <c r="A57" s="792"/>
      <c r="B57" s="792"/>
      <c r="C57" s="192">
        <v>0</v>
      </c>
      <c r="D57" s="192">
        <v>0</v>
      </c>
      <c r="E57" s="147">
        <f t="shared" si="10"/>
        <v>0</v>
      </c>
      <c r="F57" s="375" t="s">
        <v>15</v>
      </c>
      <c r="G57" s="358">
        <v>252</v>
      </c>
      <c r="H57" s="485">
        <f>'0664'!H57</f>
        <v>3168</v>
      </c>
      <c r="I57" s="120">
        <f t="shared" si="11"/>
        <v>0</v>
      </c>
      <c r="N57" s="863"/>
      <c r="O57" s="863"/>
      <c r="P57" s="865"/>
      <c r="Q57" s="865"/>
      <c r="R57" s="45" t="s">
        <v>15</v>
      </c>
      <c r="S57" s="370">
        <v>252</v>
      </c>
      <c r="T57" s="138">
        <f t="shared" si="12"/>
        <v>3168</v>
      </c>
      <c r="U57" s="139">
        <f t="shared" si="13"/>
        <v>0</v>
      </c>
    </row>
    <row r="58" spans="1:21" ht="16.5" thickBot="1" x14ac:dyDescent="0.3">
      <c r="A58" s="792"/>
      <c r="B58" s="792"/>
      <c r="C58" s="192">
        <v>0</v>
      </c>
      <c r="D58" s="192">
        <v>0</v>
      </c>
      <c r="E58" s="147">
        <f t="shared" si="10"/>
        <v>0</v>
      </c>
      <c r="F58" s="375" t="s">
        <v>15</v>
      </c>
      <c r="G58" s="358">
        <v>253</v>
      </c>
      <c r="H58" s="485">
        <f>'0664'!H58</f>
        <v>6685</v>
      </c>
      <c r="I58" s="120">
        <f t="shared" si="11"/>
        <v>0</v>
      </c>
      <c r="N58" s="863"/>
      <c r="O58" s="863"/>
      <c r="P58" s="866"/>
      <c r="Q58" s="866"/>
      <c r="R58" s="45" t="s">
        <v>15</v>
      </c>
      <c r="S58" s="370">
        <v>253</v>
      </c>
      <c r="T58" s="138">
        <f t="shared" si="12"/>
        <v>6685</v>
      </c>
      <c r="U58" s="141">
        <f t="shared" si="13"/>
        <v>0</v>
      </c>
    </row>
    <row r="59" spans="1:21" ht="16.5" thickBot="1" x14ac:dyDescent="0.3">
      <c r="A59" s="767" t="s">
        <v>16</v>
      </c>
      <c r="B59" s="767"/>
      <c r="C59" s="116">
        <f>SUM(C50:C58)</f>
        <v>16.61</v>
      </c>
      <c r="D59" s="116">
        <f>SUM(D50:D58)</f>
        <v>15.47</v>
      </c>
      <c r="E59" s="116">
        <f>SUM(E50:E58)</f>
        <v>32.08</v>
      </c>
      <c r="F59" s="767" t="s">
        <v>78</v>
      </c>
      <c r="G59" s="767"/>
      <c r="H59" s="767"/>
      <c r="I59" s="116">
        <f>SUM(I50:I58)</f>
        <v>42939.460000000006</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316.18</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341"/>
      <c r="G63" s="47" t="s">
        <v>13</v>
      </c>
      <c r="H63" s="145">
        <f>ROUND(C62/H62,6)</f>
        <v>1.658E-3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337.35289999999998</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374"/>
      <c r="G66" s="48" t="s">
        <v>13</v>
      </c>
      <c r="H66" s="149">
        <f>ROUND(C65/H65,6)</f>
        <v>1.573E-3</v>
      </c>
      <c r="I66" s="149"/>
      <c r="N66" s="845" t="s">
        <v>20</v>
      </c>
      <c r="O66" s="845"/>
      <c r="P66" s="845"/>
      <c r="Q66" s="845"/>
      <c r="R66" s="845"/>
      <c r="S66" s="845"/>
      <c r="T66" s="867">
        <f>ROUND(P65/T65,6)</f>
        <v>0</v>
      </c>
      <c r="U66" s="867"/>
    </row>
    <row r="67" spans="1:21" s="61" customFormat="1" x14ac:dyDescent="0.25">
      <c r="A67" s="443"/>
      <c r="G67" s="47"/>
      <c r="H67" s="150"/>
      <c r="I67" s="150"/>
      <c r="N67" s="350"/>
      <c r="O67" s="350"/>
      <c r="P67" s="350"/>
      <c r="Q67" s="350"/>
      <c r="R67" s="346"/>
      <c r="S67" s="350"/>
      <c r="T67" s="153"/>
      <c r="U67" s="359"/>
    </row>
    <row r="68" spans="1:21" x14ac:dyDescent="0.25">
      <c r="A68" s="764" t="s">
        <v>87</v>
      </c>
      <c r="B68" s="764"/>
      <c r="C68" s="764"/>
      <c r="D68" s="341"/>
      <c r="E68" s="356" t="s">
        <v>3</v>
      </c>
      <c r="F68" s="544">
        <f>'0664'!F68</f>
        <v>42029577</v>
      </c>
      <c r="G68" s="348" t="s">
        <v>6</v>
      </c>
      <c r="H68" s="155">
        <f>H63</f>
        <v>1.658E-3</v>
      </c>
      <c r="I68" s="120">
        <f>ROUND(F68*H68,2)</f>
        <v>69685.039999999994</v>
      </c>
      <c r="N68" s="840" t="s">
        <v>87</v>
      </c>
      <c r="O68" s="840"/>
      <c r="P68" s="840"/>
      <c r="Q68" s="50"/>
      <c r="R68" s="156">
        <f>F68</f>
        <v>42029577</v>
      </c>
      <c r="S68" s="349" t="s">
        <v>6</v>
      </c>
      <c r="T68" s="157">
        <f>T63</f>
        <v>0</v>
      </c>
      <c r="U68" s="115">
        <f>ROUND(R68*T68,0)</f>
        <v>0</v>
      </c>
    </row>
    <row r="69" spans="1:21" x14ac:dyDescent="0.25">
      <c r="A69" s="811" t="s">
        <v>98</v>
      </c>
      <c r="B69" s="764"/>
      <c r="C69" s="764"/>
      <c r="D69" s="341"/>
      <c r="E69" s="356"/>
      <c r="F69" s="202"/>
      <c r="G69" s="348"/>
      <c r="H69" s="155"/>
      <c r="I69" s="120"/>
      <c r="N69" s="840" t="s">
        <v>86</v>
      </c>
      <c r="O69" s="840"/>
      <c r="P69" s="840"/>
      <c r="Q69" s="158"/>
      <c r="R69" s="158"/>
      <c r="S69" s="158"/>
      <c r="T69" s="158"/>
      <c r="U69" s="158"/>
    </row>
    <row r="70" spans="1:21" x14ac:dyDescent="0.25">
      <c r="A70" s="813" t="s">
        <v>143</v>
      </c>
      <c r="B70" s="764"/>
      <c r="C70" s="764"/>
      <c r="D70" s="341"/>
      <c r="E70" s="356" t="s">
        <v>3</v>
      </c>
      <c r="F70" s="544">
        <f>'0664'!F70</f>
        <v>0</v>
      </c>
      <c r="G70" s="348" t="s">
        <v>6</v>
      </c>
      <c r="H70" s="155">
        <f>H63</f>
        <v>1.658E-3</v>
      </c>
      <c r="I70" s="120">
        <f>ROUND(F70*H70,2)</f>
        <v>0</v>
      </c>
      <c r="N70" s="342"/>
      <c r="O70" s="342"/>
      <c r="P70" s="342"/>
      <c r="Q70" s="50"/>
      <c r="R70" s="156">
        <f>F70</f>
        <v>0</v>
      </c>
      <c r="S70" s="349" t="s">
        <v>6</v>
      </c>
      <c r="T70" s="157">
        <f>T63</f>
        <v>0</v>
      </c>
      <c r="U70" s="115">
        <f>ROUND(R70*T70,0)</f>
        <v>0</v>
      </c>
    </row>
    <row r="71" spans="1:21" x14ac:dyDescent="0.25">
      <c r="A71" s="764" t="s">
        <v>85</v>
      </c>
      <c r="B71" s="764"/>
      <c r="C71" s="764"/>
      <c r="D71" s="556" t="s">
        <v>358</v>
      </c>
      <c r="E71" s="610" t="s">
        <v>372</v>
      </c>
      <c r="F71" s="544">
        <f>'0664'!F71</f>
        <v>146607</v>
      </c>
      <c r="G71" s="348" t="s">
        <v>6</v>
      </c>
      <c r="H71" s="155">
        <f>H63</f>
        <v>1.658E-3</v>
      </c>
      <c r="I71" s="120">
        <f>IF(D71="Y",ROUND(F71*H71,2),0)</f>
        <v>243.07</v>
      </c>
      <c r="N71" s="840" t="s">
        <v>85</v>
      </c>
      <c r="O71" s="840"/>
      <c r="P71" s="840"/>
      <c r="Q71" s="50"/>
      <c r="R71" s="156">
        <f>F71</f>
        <v>146607</v>
      </c>
      <c r="S71" s="349" t="s">
        <v>6</v>
      </c>
      <c r="T71" s="157">
        <f>T63</f>
        <v>0</v>
      </c>
      <c r="U71" s="115">
        <f>ROUND(R71*T71,0)</f>
        <v>0</v>
      </c>
    </row>
    <row r="72" spans="1:21" x14ac:dyDescent="0.25">
      <c r="A72" s="764" t="s">
        <v>84</v>
      </c>
      <c r="B72" s="764"/>
      <c r="C72" s="764"/>
      <c r="D72" s="341"/>
      <c r="E72" s="356" t="s">
        <v>3</v>
      </c>
      <c r="F72" s="544">
        <f>'0664'!F72</f>
        <v>11337910</v>
      </c>
      <c r="G72" s="348" t="s">
        <v>6</v>
      </c>
      <c r="H72" s="155">
        <f>H63</f>
        <v>1.658E-3</v>
      </c>
      <c r="I72" s="120">
        <f>ROUND(F72*H72,2)</f>
        <v>18798.25</v>
      </c>
      <c r="N72" s="840" t="s">
        <v>84</v>
      </c>
      <c r="O72" s="840"/>
      <c r="P72" s="840"/>
      <c r="Q72" s="50"/>
      <c r="R72" s="156">
        <f>F72</f>
        <v>11337910</v>
      </c>
      <c r="S72" s="349" t="s">
        <v>6</v>
      </c>
      <c r="T72" s="157">
        <f>T63</f>
        <v>0</v>
      </c>
      <c r="U72" s="115">
        <f>ROUND(R72*T72,0)</f>
        <v>0</v>
      </c>
    </row>
    <row r="73" spans="1:21" x14ac:dyDescent="0.25">
      <c r="A73" s="764" t="s">
        <v>83</v>
      </c>
      <c r="B73" s="764"/>
      <c r="C73" s="764"/>
      <c r="D73" s="341"/>
      <c r="E73" s="356" t="s">
        <v>3</v>
      </c>
      <c r="F73" s="544">
        <f>'0664'!F73</f>
        <v>13882385</v>
      </c>
      <c r="G73" s="348" t="s">
        <v>6</v>
      </c>
      <c r="H73" s="155">
        <f>H63</f>
        <v>1.658E-3</v>
      </c>
      <c r="I73" s="120">
        <f>ROUND(F73*H73,2)</f>
        <v>23016.99</v>
      </c>
      <c r="N73" s="840" t="s">
        <v>83</v>
      </c>
      <c r="O73" s="840"/>
      <c r="P73" s="840"/>
      <c r="Q73" s="50"/>
      <c r="R73" s="159">
        <f>F73</f>
        <v>13882385</v>
      </c>
      <c r="S73" s="349" t="s">
        <v>6</v>
      </c>
      <c r="T73" s="157">
        <f>T63</f>
        <v>0</v>
      </c>
      <c r="U73" s="115">
        <f>ROUND(R73*T73,0)</f>
        <v>0</v>
      </c>
    </row>
    <row r="74" spans="1:21" x14ac:dyDescent="0.25">
      <c r="A74" s="337" t="s">
        <v>101</v>
      </c>
      <c r="D74" s="341"/>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341"/>
      <c r="C76" s="341"/>
      <c r="D76" s="341"/>
      <c r="E76" s="341"/>
      <c r="F76" s="341"/>
      <c r="G76" s="341"/>
      <c r="H76" s="341"/>
      <c r="I76" s="160"/>
      <c r="N76" s="687" t="s">
        <v>44</v>
      </c>
      <c r="O76" s="342"/>
      <c r="P76" s="342"/>
      <c r="Q76" s="342"/>
      <c r="R76" s="342"/>
      <c r="S76" s="342"/>
      <c r="T76" s="342"/>
      <c r="U76" s="122"/>
    </row>
    <row r="77" spans="1:21" x14ac:dyDescent="0.25">
      <c r="A77" s="765" t="s">
        <v>387</v>
      </c>
      <c r="B77" s="764"/>
      <c r="C77" s="764"/>
      <c r="D77" s="607"/>
      <c r="E77" s="610" t="s">
        <v>3</v>
      </c>
      <c r="F77" s="544">
        <f>'0664'!F77</f>
        <v>7462542</v>
      </c>
      <c r="G77" s="608" t="s">
        <v>6</v>
      </c>
      <c r="H77" s="155">
        <f>H63</f>
        <v>1.658E-3</v>
      </c>
      <c r="I77" s="120">
        <f t="shared" ref="I77:I82" si="14">ROUND(F77*H77,2)</f>
        <v>12372.89</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1.658E-3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341"/>
      <c r="E79" s="356" t="s">
        <v>4</v>
      </c>
      <c r="F79" s="544">
        <f>'0664'!F79</f>
        <v>0</v>
      </c>
      <c r="G79" s="348" t="s">
        <v>6</v>
      </c>
      <c r="H79" s="155">
        <f>H66</f>
        <v>1.573E-3</v>
      </c>
      <c r="I79" s="120">
        <f t="shared" si="14"/>
        <v>0</v>
      </c>
      <c r="N79" s="860" t="s">
        <v>414</v>
      </c>
      <c r="O79" s="840"/>
      <c r="P79" s="840"/>
      <c r="Q79" s="50"/>
      <c r="R79" s="159">
        <f t="shared" si="15"/>
        <v>0</v>
      </c>
      <c r="S79" s="349" t="s">
        <v>6</v>
      </c>
      <c r="T79" s="157">
        <f>T66</f>
        <v>0</v>
      </c>
      <c r="U79" s="115">
        <f t="shared" si="16"/>
        <v>0</v>
      </c>
    </row>
    <row r="80" spans="1:21" x14ac:dyDescent="0.25">
      <c r="A80" s="765" t="s">
        <v>415</v>
      </c>
      <c r="B80" s="764"/>
      <c r="C80" s="764"/>
      <c r="D80" s="341"/>
      <c r="E80" s="356" t="s">
        <v>4</v>
      </c>
      <c r="F80" s="544">
        <f>'0664'!F80</f>
        <v>8562788</v>
      </c>
      <c r="G80" s="348" t="s">
        <v>6</v>
      </c>
      <c r="H80" s="155">
        <f>H66</f>
        <v>1.573E-3</v>
      </c>
      <c r="I80" s="120">
        <f t="shared" si="14"/>
        <v>13469.27</v>
      </c>
      <c r="N80" s="860" t="s">
        <v>415</v>
      </c>
      <c r="O80" s="840"/>
      <c r="P80" s="840"/>
      <c r="Q80" s="50"/>
      <c r="R80" s="159">
        <f t="shared" si="15"/>
        <v>8562788</v>
      </c>
      <c r="S80" s="349" t="s">
        <v>6</v>
      </c>
      <c r="T80" s="157">
        <f>T66</f>
        <v>0</v>
      </c>
      <c r="U80" s="115">
        <f t="shared" si="16"/>
        <v>0</v>
      </c>
    </row>
    <row r="81" spans="1:21" x14ac:dyDescent="0.25">
      <c r="A81" s="765" t="s">
        <v>419</v>
      </c>
      <c r="B81" s="764"/>
      <c r="C81" s="764"/>
      <c r="D81" s="341"/>
      <c r="E81" s="356" t="s">
        <v>4</v>
      </c>
      <c r="F81" s="544">
        <f>'0664'!F81</f>
        <v>168663228</v>
      </c>
      <c r="G81" s="348" t="s">
        <v>6</v>
      </c>
      <c r="H81" s="155">
        <f>H66</f>
        <v>1.573E-3</v>
      </c>
      <c r="I81" s="120">
        <f t="shared" si="14"/>
        <v>265307.26</v>
      </c>
      <c r="N81" s="860" t="s">
        <v>419</v>
      </c>
      <c r="O81" s="840"/>
      <c r="P81" s="840"/>
      <c r="Q81" s="50"/>
      <c r="R81" s="159">
        <f t="shared" si="15"/>
        <v>168663228</v>
      </c>
      <c r="S81" s="349" t="s">
        <v>6</v>
      </c>
      <c r="T81" s="157">
        <f>T66</f>
        <v>0</v>
      </c>
      <c r="U81" s="115">
        <f t="shared" si="16"/>
        <v>0</v>
      </c>
    </row>
    <row r="82" spans="1:21" x14ac:dyDescent="0.25">
      <c r="A82" s="765" t="s">
        <v>420</v>
      </c>
      <c r="B82" s="764"/>
      <c r="C82" s="764"/>
      <c r="D82" s="341"/>
      <c r="E82" s="356" t="s">
        <v>4</v>
      </c>
      <c r="F82" s="544">
        <f>'0664'!F82</f>
        <v>0</v>
      </c>
      <c r="G82" s="348" t="s">
        <v>6</v>
      </c>
      <c r="H82" s="155">
        <f>H66</f>
        <v>1.573E-3</v>
      </c>
      <c r="I82" s="120">
        <f t="shared" si="14"/>
        <v>0</v>
      </c>
      <c r="N82" s="860" t="s">
        <v>420</v>
      </c>
      <c r="O82" s="840"/>
      <c r="P82" s="840"/>
      <c r="Q82" s="50"/>
      <c r="R82" s="156">
        <f t="shared" si="15"/>
        <v>0</v>
      </c>
      <c r="S82" s="349" t="s">
        <v>6</v>
      </c>
      <c r="T82" s="157">
        <f>T66</f>
        <v>0</v>
      </c>
      <c r="U82" s="115">
        <f t="shared" si="16"/>
        <v>0</v>
      </c>
    </row>
    <row r="83" spans="1:21" x14ac:dyDescent="0.25">
      <c r="A83" s="717" t="s">
        <v>425</v>
      </c>
      <c r="B83" s="443"/>
      <c r="C83" s="443"/>
      <c r="D83" s="443"/>
      <c r="E83" s="683" t="s">
        <v>45</v>
      </c>
      <c r="F83" s="544"/>
      <c r="G83" s="445"/>
      <c r="H83" s="155"/>
      <c r="I83" s="120">
        <v>67235.33</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1.658E-3</v>
      </c>
      <c r="I84" s="120">
        <f>ROUND(F84*H84,2)</f>
        <v>35836.58</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341"/>
      <c r="C87" s="780" t="s">
        <v>74</v>
      </c>
      <c r="D87" s="780"/>
      <c r="E87" s="341"/>
      <c r="F87" s="375" t="s">
        <v>37</v>
      </c>
      <c r="G87" s="341"/>
      <c r="H87" s="341"/>
      <c r="I87" s="341"/>
      <c r="N87" s="342"/>
      <c r="O87" s="342"/>
      <c r="P87" s="342"/>
      <c r="Q87" s="342"/>
      <c r="R87" s="342"/>
      <c r="S87" s="342"/>
      <c r="T87" s="342"/>
      <c r="U87" s="342"/>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345"/>
      <c r="B89" s="64" t="s">
        <v>150</v>
      </c>
      <c r="C89" s="781">
        <f>H13+H14+H19+H22+H25</f>
        <v>183.49749999999997</v>
      </c>
      <c r="D89" s="781"/>
      <c r="E89" s="54">
        <f>H8</f>
        <v>1.0424</v>
      </c>
      <c r="F89" s="545">
        <f>'0664'!F89</f>
        <v>966.9</v>
      </c>
      <c r="G89" s="376" t="s">
        <v>13</v>
      </c>
      <c r="H89" s="120">
        <f>ROUND(C89*E89*F89,2)</f>
        <v>184946.5</v>
      </c>
      <c r="I89" s="124"/>
      <c r="N89" s="344"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153.8554</v>
      </c>
      <c r="D90" s="781"/>
      <c r="E90" s="54">
        <f>H8</f>
        <v>1.0424</v>
      </c>
      <c r="F90" s="545">
        <f>'0664'!F90</f>
        <v>923.19</v>
      </c>
      <c r="G90" s="376" t="s">
        <v>13</v>
      </c>
      <c r="H90" s="120">
        <f>ROUND(C90*E90*F90,2)</f>
        <v>148060.17000000001</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37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337.35289999999998</v>
      </c>
      <c r="D92" s="782"/>
      <c r="E92" s="168"/>
      <c r="F92" s="168"/>
      <c r="G92" s="168"/>
      <c r="H92" s="169" t="s">
        <v>145</v>
      </c>
      <c r="I92" s="120">
        <f>IF(A1=75,0,H91+H90+H89)</f>
        <v>333006.67000000004</v>
      </c>
      <c r="N92" s="353"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354"/>
      <c r="B94" s="354"/>
      <c r="C94" s="354"/>
      <c r="D94" s="354"/>
      <c r="E94" s="354"/>
      <c r="F94" s="354"/>
      <c r="G94" s="354"/>
      <c r="H94" s="354"/>
      <c r="I94" s="354"/>
      <c r="N94" s="355"/>
      <c r="O94" s="355"/>
      <c r="P94" s="355"/>
      <c r="Q94" s="355"/>
      <c r="R94" s="355"/>
      <c r="S94" s="355"/>
      <c r="T94" s="355"/>
      <c r="U94" s="355"/>
    </row>
    <row r="95" spans="1:21" x14ac:dyDescent="0.25">
      <c r="A95" s="745" t="s">
        <v>459</v>
      </c>
      <c r="C95" s="356"/>
      <c r="D95" s="341"/>
      <c r="E95" s="683" t="s">
        <v>102</v>
      </c>
      <c r="F95" s="774"/>
      <c r="G95" s="774"/>
      <c r="H95" s="774"/>
      <c r="I95" s="774"/>
      <c r="N95" s="860" t="s">
        <v>459</v>
      </c>
      <c r="O95" s="840"/>
      <c r="P95" s="840"/>
      <c r="Q95" s="879"/>
      <c r="R95" s="879"/>
      <c r="S95" s="879"/>
      <c r="T95" s="879"/>
      <c r="U95" s="122"/>
    </row>
    <row r="96" spans="1:21" x14ac:dyDescent="0.25">
      <c r="B96" s="341"/>
      <c r="C96" s="600" t="s">
        <v>435</v>
      </c>
      <c r="D96" s="669" t="s">
        <v>436</v>
      </c>
      <c r="E96" s="108" t="s">
        <v>153</v>
      </c>
      <c r="F96" s="356"/>
      <c r="G96" s="356"/>
      <c r="H96" s="356"/>
      <c r="I96" s="356"/>
      <c r="N96" s="342"/>
      <c r="O96" s="342"/>
      <c r="P96" s="342"/>
      <c r="Q96" s="357"/>
      <c r="R96" s="357"/>
      <c r="S96" s="357"/>
      <c r="T96" s="357"/>
      <c r="U96" s="122"/>
    </row>
    <row r="97" spans="1:21" x14ac:dyDescent="0.25">
      <c r="B97" s="341"/>
      <c r="C97" s="622" t="s">
        <v>2</v>
      </c>
      <c r="D97" s="622" t="s">
        <v>2</v>
      </c>
      <c r="E97" s="622" t="s">
        <v>2</v>
      </c>
      <c r="F97" s="356"/>
      <c r="G97" s="356"/>
      <c r="H97" s="356"/>
      <c r="I97" s="356"/>
      <c r="N97" s="342"/>
      <c r="O97" s="342"/>
      <c r="P97" s="342"/>
      <c r="Q97" s="357"/>
      <c r="R97" s="357"/>
      <c r="S97" s="357"/>
      <c r="T97" s="357"/>
      <c r="U97" s="122"/>
    </row>
    <row r="98" spans="1:21" x14ac:dyDescent="0.25">
      <c r="A98" s="767" t="s">
        <v>66</v>
      </c>
      <c r="B98" s="767"/>
      <c r="C98" s="192">
        <v>0</v>
      </c>
      <c r="D98" s="192">
        <v>38</v>
      </c>
      <c r="E98" s="193">
        <f>(C98+D98)/2</f>
        <v>19</v>
      </c>
      <c r="F98" s="173" t="s">
        <v>39</v>
      </c>
      <c r="G98" s="546">
        <f>'0664'!G98</f>
        <v>486</v>
      </c>
      <c r="I98" s="120">
        <f>ROUND(G98*E98,2)</f>
        <v>9234</v>
      </c>
      <c r="N98" s="873" t="s">
        <v>66</v>
      </c>
      <c r="O98" s="873"/>
      <c r="P98" s="874">
        <f>IF(H116=1,E98,0)</f>
        <v>0</v>
      </c>
      <c r="Q98" s="874"/>
      <c r="R98" s="874"/>
      <c r="S98" s="367" t="s">
        <v>39</v>
      </c>
      <c r="T98" s="72">
        <f>G98</f>
        <v>486</v>
      </c>
      <c r="U98" s="115">
        <f>ROUND(T98*P98,0)</f>
        <v>0</v>
      </c>
    </row>
    <row r="99" spans="1:21" x14ac:dyDescent="0.25">
      <c r="A99" s="767" t="s">
        <v>82</v>
      </c>
      <c r="B99" s="767"/>
      <c r="C99" s="192">
        <v>0</v>
      </c>
      <c r="D99" s="192">
        <v>0</v>
      </c>
      <c r="E99" s="193">
        <f>(C99+D99)/2</f>
        <v>0</v>
      </c>
      <c r="F99" s="173" t="s">
        <v>39</v>
      </c>
      <c r="G99" s="546">
        <f>'0664'!G99</f>
        <v>1498</v>
      </c>
      <c r="I99" s="120">
        <f>ROUND(G99*E99,2)</f>
        <v>0</v>
      </c>
      <c r="N99" s="873" t="s">
        <v>82</v>
      </c>
      <c r="O99" s="873"/>
      <c r="P99" s="847"/>
      <c r="Q99" s="847"/>
      <c r="R99" s="847"/>
      <c r="S99" s="367" t="s">
        <v>39</v>
      </c>
      <c r="T99" s="72">
        <f>G99</f>
        <v>1498</v>
      </c>
      <c r="U99" s="115">
        <f>ROUND(T99*P99,0)</f>
        <v>0</v>
      </c>
    </row>
    <row r="100" spans="1:21" x14ac:dyDescent="0.25">
      <c r="A100" s="174"/>
      <c r="B100" s="174"/>
      <c r="C100" s="89"/>
      <c r="D100" s="89"/>
      <c r="E100" s="89"/>
      <c r="F100" s="89"/>
      <c r="G100" s="175"/>
      <c r="H100" s="176"/>
      <c r="I100" s="120"/>
      <c r="N100" s="352"/>
      <c r="O100" s="352"/>
      <c r="P100" s="178"/>
      <c r="Q100" s="178"/>
      <c r="R100" s="178"/>
      <c r="S100" s="367"/>
      <c r="T100" s="72"/>
      <c r="U100" s="122"/>
    </row>
    <row r="101" spans="1:21" x14ac:dyDescent="0.25">
      <c r="A101" s="174"/>
      <c r="B101" s="174"/>
      <c r="C101" s="89"/>
      <c r="D101" s="89"/>
      <c r="E101" s="89"/>
      <c r="F101" s="89"/>
      <c r="G101" s="175"/>
      <c r="H101" s="176"/>
      <c r="I101" s="120"/>
      <c r="N101" s="352"/>
      <c r="O101" s="352"/>
      <c r="P101" s="178"/>
      <c r="Q101" s="178"/>
      <c r="R101" s="178"/>
      <c r="S101" s="367"/>
      <c r="T101" s="72"/>
      <c r="U101" s="122"/>
    </row>
    <row r="102" spans="1:21" hidden="1" x14ac:dyDescent="0.25">
      <c r="A102" s="765" t="s">
        <v>374</v>
      </c>
      <c r="B102" s="764"/>
      <c r="C102" s="764"/>
      <c r="D102" s="341"/>
      <c r="E102" s="686" t="s">
        <v>41</v>
      </c>
      <c r="F102" s="780"/>
      <c r="G102" s="780"/>
      <c r="H102" s="780"/>
      <c r="I102" s="780"/>
      <c r="N102" s="860" t="s">
        <v>383</v>
      </c>
      <c r="O102" s="840"/>
      <c r="P102" s="840"/>
      <c r="Q102" s="840"/>
      <c r="R102" s="840"/>
      <c r="S102" s="840"/>
      <c r="T102" s="840"/>
      <c r="U102" s="840"/>
    </row>
    <row r="103" spans="1:21" hidden="1" x14ac:dyDescent="0.25">
      <c r="B103" s="341"/>
      <c r="C103" s="776" t="s">
        <v>93</v>
      </c>
      <c r="D103" s="776"/>
      <c r="E103" s="776"/>
      <c r="F103" s="358"/>
      <c r="G103" s="358"/>
      <c r="H103" s="376" t="s">
        <v>154</v>
      </c>
      <c r="I103" s="358"/>
      <c r="N103" s="342"/>
      <c r="O103" s="342"/>
      <c r="P103" s="342"/>
      <c r="Q103" s="342"/>
      <c r="R103" s="342"/>
      <c r="S103" s="342"/>
      <c r="T103" s="342"/>
      <c r="U103" s="342"/>
    </row>
    <row r="104" spans="1:21" hidden="1" x14ac:dyDescent="0.25">
      <c r="B104" s="341"/>
      <c r="C104" s="600" t="s">
        <v>392</v>
      </c>
      <c r="D104" s="600" t="s">
        <v>370</v>
      </c>
      <c r="E104" s="185" t="s">
        <v>8</v>
      </c>
      <c r="F104" s="883" t="s">
        <v>155</v>
      </c>
      <c r="G104" s="770"/>
      <c r="H104" s="348" t="s">
        <v>38</v>
      </c>
      <c r="I104" s="358"/>
      <c r="N104" s="342"/>
      <c r="O104" s="342"/>
      <c r="P104" s="342"/>
      <c r="Q104" s="342"/>
      <c r="R104" s="342"/>
      <c r="S104" s="342"/>
      <c r="T104" s="342"/>
      <c r="U104" s="342"/>
    </row>
    <row r="105" spans="1:21" hidden="1" x14ac:dyDescent="0.25">
      <c r="A105" s="776" t="s">
        <v>96</v>
      </c>
      <c r="B105" s="776"/>
      <c r="C105" s="109" t="s">
        <v>2</v>
      </c>
      <c r="D105" s="109" t="s">
        <v>2</v>
      </c>
      <c r="E105" s="351" t="s">
        <v>2</v>
      </c>
      <c r="F105" s="776" t="s">
        <v>37</v>
      </c>
      <c r="G105" s="776"/>
      <c r="H105" s="351" t="s">
        <v>37</v>
      </c>
      <c r="I105" s="351" t="s">
        <v>8</v>
      </c>
      <c r="N105" s="859" t="s">
        <v>67</v>
      </c>
      <c r="O105" s="859"/>
      <c r="P105" s="874" t="s">
        <v>93</v>
      </c>
      <c r="Q105" s="874"/>
      <c r="R105" s="859" t="s">
        <v>68</v>
      </c>
      <c r="S105" s="859"/>
      <c r="T105" s="347" t="s">
        <v>69</v>
      </c>
      <c r="U105" s="347" t="s">
        <v>8</v>
      </c>
    </row>
    <row r="106" spans="1:21" hidden="1" x14ac:dyDescent="0.25">
      <c r="A106" s="771" t="s">
        <v>70</v>
      </c>
      <c r="B106" s="771"/>
      <c r="C106" s="190">
        <v>0</v>
      </c>
      <c r="D106" s="190">
        <v>0</v>
      </c>
      <c r="E106" s="191">
        <f>IF(D$59=0,C106*2,C106+D106)</f>
        <v>0</v>
      </c>
      <c r="F106" s="889">
        <v>0</v>
      </c>
      <c r="G106" s="889"/>
      <c r="H106" s="75">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93">
        <f>IF(D$59=0,C107*2,C107+D107)</f>
        <v>0</v>
      </c>
      <c r="F107" s="810">
        <f>ROUND(F106/2,2)</f>
        <v>0</v>
      </c>
      <c r="G107" s="810"/>
      <c r="H107" s="77">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93">
        <f>IF(D$59=0,C108*2,C108+D108)</f>
        <v>0</v>
      </c>
      <c r="F108" s="773"/>
      <c r="G108" s="773"/>
      <c r="H108" s="79">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348"/>
      <c r="B110" s="348"/>
      <c r="C110" s="81"/>
      <c r="D110" s="81"/>
      <c r="E110" s="81"/>
      <c r="F110" s="81"/>
      <c r="G110" s="81"/>
      <c r="H110" s="81"/>
      <c r="I110" s="120"/>
      <c r="N110" s="349"/>
      <c r="O110" s="349"/>
      <c r="P110" s="82"/>
      <c r="Q110" s="82"/>
      <c r="R110" s="82"/>
      <c r="S110" s="82"/>
      <c r="T110" s="82"/>
      <c r="U110" s="187"/>
    </row>
    <row r="111" spans="1:21" x14ac:dyDescent="0.25">
      <c r="A111" s="765" t="s">
        <v>460</v>
      </c>
      <c r="B111" s="764"/>
      <c r="C111" s="764"/>
      <c r="D111" s="341"/>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341"/>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341"/>
      <c r="C113" s="341"/>
      <c r="D113" s="341"/>
      <c r="E113" s="343"/>
      <c r="F113" s="343"/>
      <c r="G113" s="343"/>
      <c r="H113" s="343"/>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2428907.75</v>
      </c>
      <c r="N114" s="344"/>
      <c r="O114" s="344"/>
      <c r="P114" s="344"/>
      <c r="Q114" s="344"/>
      <c r="R114" s="344"/>
      <c r="S114" s="344"/>
      <c r="T114" s="344"/>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341"/>
      <c r="C117" s="341"/>
      <c r="D117" s="341"/>
      <c r="E117" s="341"/>
      <c r="F117" s="341"/>
      <c r="G117" s="341"/>
      <c r="H117" s="89"/>
      <c r="I117" s="120"/>
      <c r="N117" s="88" t="s">
        <v>108</v>
      </c>
      <c r="O117" s="88"/>
      <c r="P117" s="88"/>
      <c r="Q117" s="88"/>
      <c r="R117" s="88"/>
      <c r="S117" s="88"/>
      <c r="T117" s="88"/>
      <c r="U117" s="88"/>
    </row>
    <row r="118" spans="1:21" x14ac:dyDescent="0.25">
      <c r="A118" s="3" t="s">
        <v>104</v>
      </c>
      <c r="B118" s="341"/>
      <c r="C118" s="341"/>
      <c r="D118" s="341"/>
      <c r="E118" s="341"/>
      <c r="F118" s="341"/>
      <c r="G118" s="396"/>
      <c r="H118" s="188">
        <f>IF(H116=1,I116,I114)</f>
        <v>2428907.75</v>
      </c>
      <c r="I118" s="113">
        <f>ROUND(IF(E29=0,0,IF(E29&gt;250,-(((250/E29)*H118)*IF(G118="H",0.02,0.05)),IF(G118="H",-0.02*H118,-0.05*H118))),2)</f>
        <v>-96025.51</v>
      </c>
      <c r="N118" s="90" t="s">
        <v>109</v>
      </c>
      <c r="O118" s="88"/>
      <c r="P118" s="88"/>
      <c r="Q118" s="88"/>
      <c r="R118" s="88"/>
      <c r="S118" s="88"/>
      <c r="T118" s="88"/>
      <c r="U118" s="88"/>
    </row>
    <row r="119" spans="1:21" x14ac:dyDescent="0.25">
      <c r="B119" s="341"/>
      <c r="C119" s="341"/>
      <c r="D119" s="341"/>
      <c r="E119" s="341"/>
      <c r="F119" s="341"/>
      <c r="G119" s="341"/>
      <c r="H119" s="89"/>
      <c r="I119" s="120"/>
      <c r="N119" s="340"/>
      <c r="O119" s="340"/>
      <c r="P119" s="340"/>
      <c r="Q119" s="340"/>
      <c r="R119" s="340"/>
      <c r="S119" s="340"/>
      <c r="T119" s="340"/>
      <c r="U119" s="340"/>
    </row>
    <row r="120" spans="1:21" x14ac:dyDescent="0.25">
      <c r="A120" s="552" t="s">
        <v>105</v>
      </c>
      <c r="B120" s="553"/>
      <c r="C120" s="553"/>
      <c r="D120" s="553"/>
      <c r="E120" s="553"/>
      <c r="F120" s="553"/>
      <c r="G120" s="553"/>
      <c r="H120" s="554"/>
      <c r="I120" s="555">
        <f>I114+I118</f>
        <v>2332882.2400000002</v>
      </c>
      <c r="N120" s="340"/>
      <c r="O120" s="340"/>
      <c r="P120" s="340"/>
      <c r="Q120" s="340"/>
      <c r="R120" s="340"/>
      <c r="S120" s="340"/>
      <c r="T120" s="340"/>
      <c r="U120" s="340"/>
    </row>
    <row r="121" spans="1:21" x14ac:dyDescent="0.25">
      <c r="B121" s="341"/>
      <c r="C121" s="341"/>
      <c r="D121" s="341"/>
      <c r="E121" s="341"/>
      <c r="F121" s="341"/>
      <c r="G121" s="341"/>
      <c r="H121" s="89"/>
      <c r="I121" s="120"/>
      <c r="N121" s="340"/>
      <c r="O121" s="340"/>
      <c r="P121" s="340"/>
      <c r="Q121" s="340"/>
      <c r="R121" s="340"/>
      <c r="S121" s="340"/>
      <c r="T121" s="340"/>
      <c r="U121" s="340"/>
    </row>
    <row r="122" spans="1:21" x14ac:dyDescent="0.25">
      <c r="A122" s="3" t="s">
        <v>106</v>
      </c>
      <c r="B122" s="411"/>
      <c r="C122" s="189"/>
      <c r="D122" s="341"/>
      <c r="F122" s="341"/>
      <c r="G122" s="341"/>
      <c r="H122" s="89"/>
      <c r="I122" s="424">
        <v>-2328749.8199999998</v>
      </c>
      <c r="N122" s="340"/>
      <c r="O122" s="340"/>
      <c r="P122" s="340"/>
      <c r="Q122" s="340"/>
      <c r="R122" s="340"/>
      <c r="S122" s="340"/>
      <c r="T122" s="340"/>
      <c r="U122" s="340"/>
    </row>
    <row r="123" spans="1:21" x14ac:dyDescent="0.25">
      <c r="B123" s="341"/>
      <c r="C123" s="341"/>
      <c r="D123" s="341"/>
      <c r="E123" s="341"/>
      <c r="F123" s="341"/>
      <c r="G123" s="341"/>
      <c r="H123" s="89"/>
      <c r="I123" s="120"/>
      <c r="N123" s="340"/>
      <c r="O123" s="340"/>
      <c r="P123" s="340"/>
      <c r="Q123" s="340"/>
      <c r="R123" s="340"/>
      <c r="S123" s="340"/>
      <c r="T123" s="340"/>
      <c r="U123" s="340"/>
    </row>
    <row r="124" spans="1:21" x14ac:dyDescent="0.25">
      <c r="A124" s="412" t="s">
        <v>313</v>
      </c>
      <c r="B124" s="341"/>
      <c r="C124" s="341"/>
      <c r="D124" s="341"/>
      <c r="E124" s="341"/>
      <c r="F124" s="341"/>
      <c r="G124" s="341"/>
      <c r="H124" s="89"/>
      <c r="I124" s="120">
        <f>I120+I122</f>
        <v>4132.4200000003912</v>
      </c>
      <c r="N124" s="340"/>
      <c r="O124" s="340"/>
      <c r="P124" s="340"/>
      <c r="Q124" s="340"/>
      <c r="R124" s="340"/>
      <c r="S124" s="340"/>
      <c r="T124" s="340"/>
      <c r="U124" s="340"/>
    </row>
    <row r="125" spans="1:21" x14ac:dyDescent="0.25">
      <c r="A125" s="412"/>
      <c r="B125" s="411"/>
      <c r="C125" s="411"/>
      <c r="D125" s="411"/>
      <c r="E125" s="411"/>
      <c r="F125" s="411"/>
      <c r="G125" s="411"/>
      <c r="H125" s="89"/>
      <c r="I125" s="120"/>
      <c r="N125" s="340"/>
      <c r="O125" s="340"/>
      <c r="P125" s="340"/>
      <c r="Q125" s="340"/>
      <c r="R125" s="340"/>
      <c r="S125" s="340"/>
      <c r="T125" s="340"/>
      <c r="U125" s="340"/>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341"/>
      <c r="C127" s="341"/>
      <c r="D127" s="341"/>
      <c r="E127" s="341"/>
      <c r="F127" s="341"/>
      <c r="G127" s="341"/>
      <c r="H127" s="89"/>
      <c r="I127" s="120"/>
      <c r="N127" s="413"/>
      <c r="O127" s="413"/>
      <c r="P127" s="413"/>
      <c r="Q127" s="413"/>
      <c r="R127" s="413"/>
      <c r="S127" s="413"/>
      <c r="T127" s="413"/>
      <c r="U127" s="413"/>
    </row>
    <row r="128" spans="1:21" ht="16.5" thickBot="1" x14ac:dyDescent="0.3">
      <c r="A128" s="3" t="s">
        <v>107</v>
      </c>
      <c r="B128" s="341"/>
      <c r="C128" s="341"/>
      <c r="D128" s="341"/>
      <c r="E128" s="341"/>
      <c r="F128" s="341"/>
      <c r="G128" s="341"/>
      <c r="H128" s="89"/>
      <c r="I128" s="205">
        <f>ROUND(I124/I126,2)</f>
        <v>4132.42</v>
      </c>
      <c r="N128" s="340"/>
      <c r="O128" s="340"/>
      <c r="P128" s="340"/>
      <c r="Q128" s="340"/>
      <c r="R128" s="340"/>
      <c r="S128" s="340"/>
      <c r="T128" s="340"/>
      <c r="U128" s="340"/>
    </row>
    <row r="129" spans="1:21" ht="16.5" thickTop="1" x14ac:dyDescent="0.25">
      <c r="B129" s="341"/>
      <c r="C129" s="341"/>
      <c r="D129" s="341"/>
      <c r="E129" s="341"/>
      <c r="F129" s="341"/>
      <c r="G129" s="341"/>
      <c r="H129" s="89"/>
      <c r="I129" s="120"/>
      <c r="N129" s="340"/>
      <c r="O129" s="340"/>
      <c r="P129" s="340"/>
      <c r="Q129" s="340"/>
      <c r="R129" s="340"/>
      <c r="S129" s="340"/>
      <c r="T129" s="340"/>
      <c r="U129" s="340"/>
    </row>
    <row r="130" spans="1:21" ht="16.5" thickBot="1" x14ac:dyDescent="0.3">
      <c r="A130" s="3" t="s">
        <v>123</v>
      </c>
      <c r="B130" s="341"/>
      <c r="C130" s="341"/>
      <c r="D130" s="341"/>
      <c r="E130" s="341"/>
      <c r="F130" s="341"/>
      <c r="G130" s="341"/>
      <c r="H130" s="89"/>
      <c r="I130" s="180">
        <f>ROUND(IF(G118="H",(H118*0.02)+I118,(H118*0.05)+I118),2)</f>
        <v>25419.88</v>
      </c>
      <c r="N130" s="340"/>
      <c r="O130" s="340"/>
      <c r="P130" s="340"/>
      <c r="Q130" s="340"/>
      <c r="R130" s="340"/>
      <c r="S130" s="340"/>
      <c r="T130" s="340"/>
      <c r="U130" s="340"/>
    </row>
    <row r="131" spans="1:21" ht="16.5" thickTop="1" x14ac:dyDescent="0.25">
      <c r="B131" s="341"/>
      <c r="C131" s="341"/>
      <c r="D131" s="341"/>
      <c r="E131" s="341"/>
      <c r="F131" s="341"/>
      <c r="G131" s="341"/>
      <c r="H131" s="89"/>
      <c r="I131" s="181"/>
      <c r="N131" s="340"/>
      <c r="O131" s="340"/>
      <c r="P131" s="340"/>
      <c r="Q131" s="340"/>
      <c r="R131" s="340"/>
      <c r="S131" s="340"/>
      <c r="T131" s="340"/>
      <c r="U131" s="340"/>
    </row>
    <row r="132" spans="1:21" x14ac:dyDescent="0.25">
      <c r="B132" s="341"/>
      <c r="C132" s="341"/>
      <c r="D132" s="341"/>
      <c r="E132" s="341"/>
      <c r="F132" s="341"/>
      <c r="G132" s="341"/>
      <c r="H132" s="89"/>
      <c r="I132" s="120"/>
      <c r="N132" s="340"/>
      <c r="O132" s="340"/>
      <c r="P132" s="340"/>
      <c r="Q132" s="340"/>
      <c r="R132" s="340"/>
      <c r="S132" s="340"/>
      <c r="T132" s="340"/>
      <c r="U132" s="340"/>
    </row>
    <row r="133" spans="1:21" x14ac:dyDescent="0.25">
      <c r="B133" s="341"/>
      <c r="C133" s="341"/>
      <c r="D133" s="341"/>
      <c r="E133" s="341"/>
      <c r="F133" s="341"/>
      <c r="G133" s="341"/>
      <c r="H133" s="89"/>
      <c r="I133" s="181"/>
      <c r="N133" s="340"/>
      <c r="O133" s="340"/>
      <c r="P133" s="340"/>
      <c r="Q133" s="340"/>
      <c r="R133" s="340"/>
      <c r="S133" s="340"/>
      <c r="T133" s="340"/>
      <c r="U133" s="340"/>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P52:Q52"/>
    <mergeCell ref="P53:Q53"/>
    <mergeCell ref="P54:Q54"/>
    <mergeCell ref="P55:Q55"/>
    <mergeCell ref="P56:Q56"/>
    <mergeCell ref="P57:Q57"/>
    <mergeCell ref="P58:Q58"/>
    <mergeCell ref="A59:B59"/>
    <mergeCell ref="F59:H59"/>
    <mergeCell ref="N59:O59"/>
    <mergeCell ref="P59:Q59"/>
    <mergeCell ref="R59:T59"/>
    <mergeCell ref="A50:B58"/>
    <mergeCell ref="N50:O58"/>
    <mergeCell ref="P50:Q50"/>
    <mergeCell ref="P51:Q51"/>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73:P73"/>
    <mergeCell ref="N66:S66"/>
    <mergeCell ref="T66:U66"/>
    <mergeCell ref="A68:C68"/>
    <mergeCell ref="N68:P68"/>
    <mergeCell ref="A69:C69"/>
    <mergeCell ref="N69:P69"/>
    <mergeCell ref="N80:P80"/>
    <mergeCell ref="A77:C77"/>
    <mergeCell ref="N77:P77"/>
    <mergeCell ref="A78:C78"/>
    <mergeCell ref="A70:C70"/>
    <mergeCell ref="A71:C71"/>
    <mergeCell ref="N71:P71"/>
    <mergeCell ref="A72:C72"/>
    <mergeCell ref="N72:P72"/>
    <mergeCell ref="A73:C73"/>
    <mergeCell ref="A81:C81"/>
    <mergeCell ref="N81:P81"/>
    <mergeCell ref="A82:C82"/>
    <mergeCell ref="N82:P82"/>
    <mergeCell ref="F74:H74"/>
    <mergeCell ref="N74:T74"/>
    <mergeCell ref="N75:T75"/>
    <mergeCell ref="A79:C79"/>
    <mergeCell ref="N79:P79"/>
    <mergeCell ref="A80:C80"/>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FFFF00"/>
  </sheetPr>
  <dimension ref="A1:U202"/>
  <sheetViews>
    <sheetView showGridLines="0" zoomScale="90" zoomScaleNormal="90" workbookViewId="0">
      <pane ySplit="1" topLeftCell="A95" activePane="bottomLeft" state="frozen"/>
      <selection activeCell="A46" sqref="A46:IV46"/>
      <selection pane="bottomLeft" activeCell="I122" sqref="I122"/>
    </sheetView>
  </sheetViews>
  <sheetFormatPr defaultRowHeight="15.75" x14ac:dyDescent="0.25"/>
  <cols>
    <col min="1" max="1" width="10.28515625" style="341"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341"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301</v>
      </c>
      <c r="B2" s="2"/>
      <c r="C2" s="2"/>
      <c r="D2" s="2"/>
      <c r="E2" s="2"/>
      <c r="F2" s="2"/>
      <c r="G2" s="2"/>
      <c r="H2" s="2"/>
      <c r="I2" s="2"/>
      <c r="N2" s="824" t="s">
        <v>23</v>
      </c>
      <c r="O2" s="824"/>
      <c r="P2" s="824"/>
      <c r="Q2" s="824"/>
      <c r="R2" s="824"/>
      <c r="S2" s="824"/>
      <c r="T2" s="824"/>
      <c r="U2" s="824"/>
    </row>
    <row r="3" spans="1:21" x14ac:dyDescent="0.25">
      <c r="A3" s="36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367"/>
      <c r="O5" s="367"/>
      <c r="P5" s="372"/>
      <c r="Q5" s="372"/>
      <c r="R5" s="5"/>
      <c r="S5" s="5"/>
      <c r="T5" s="5"/>
      <c r="U5" s="5"/>
    </row>
    <row r="6" spans="1:21" ht="12" customHeight="1" x14ac:dyDescent="0.25">
      <c r="A6" s="366"/>
      <c r="B6" s="366"/>
      <c r="C6" s="371"/>
      <c r="D6" s="371"/>
      <c r="E6" s="371"/>
      <c r="F6" s="4"/>
      <c r="G6" s="4"/>
      <c r="H6" s="4"/>
      <c r="I6" s="4"/>
      <c r="N6" s="367"/>
      <c r="O6" s="367"/>
      <c r="P6" s="372"/>
      <c r="Q6" s="372"/>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285"/>
      <c r="G8" s="286"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368"/>
      <c r="O9" s="368"/>
      <c r="P9" s="369"/>
      <c r="Q9" s="369"/>
      <c r="R9" s="14"/>
      <c r="S9" s="14"/>
      <c r="T9" s="15"/>
      <c r="U9" s="721" t="s">
        <v>428</v>
      </c>
    </row>
    <row r="10" spans="1:21" x14ac:dyDescent="0.25">
      <c r="A10" s="7"/>
      <c r="B10" s="7"/>
      <c r="C10" s="600" t="s">
        <v>435</v>
      </c>
      <c r="D10" s="669" t="s">
        <v>436</v>
      </c>
      <c r="E10" s="108" t="s">
        <v>8</v>
      </c>
      <c r="F10" s="806" t="s">
        <v>1</v>
      </c>
      <c r="G10" s="806"/>
      <c r="H10" s="10" t="s">
        <v>74</v>
      </c>
      <c r="I10" s="11" t="s">
        <v>36</v>
      </c>
      <c r="N10" s="368"/>
      <c r="O10" s="368"/>
      <c r="P10" s="369"/>
      <c r="Q10" s="369"/>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365"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50.15</v>
      </c>
      <c r="D17" s="192">
        <v>54.54</v>
      </c>
      <c r="E17" s="147">
        <f t="shared" si="3"/>
        <v>104.69</v>
      </c>
      <c r="F17" s="814">
        <f>'0664'!F17:G17</f>
        <v>1.01</v>
      </c>
      <c r="G17" s="814"/>
      <c r="H17" s="99">
        <f t="shared" si="4"/>
        <v>105.73690000000001</v>
      </c>
      <c r="I17" s="120">
        <f t="shared" si="0"/>
        <v>481982.77</v>
      </c>
      <c r="N17" s="840" t="s">
        <v>33</v>
      </c>
      <c r="O17" s="840"/>
      <c r="P17" s="841">
        <f t="shared" si="1"/>
        <v>0</v>
      </c>
      <c r="Q17" s="841"/>
      <c r="R17" s="842">
        <v>1</v>
      </c>
      <c r="S17" s="842"/>
      <c r="T17" s="114">
        <f t="shared" si="5"/>
        <v>0</v>
      </c>
      <c r="U17" s="115">
        <f t="shared" si="2"/>
        <v>0</v>
      </c>
    </row>
    <row r="18" spans="1:21" x14ac:dyDescent="0.25">
      <c r="A18" s="764" t="s">
        <v>34</v>
      </c>
      <c r="B18" s="764"/>
      <c r="C18" s="192">
        <v>14.49</v>
      </c>
      <c r="D18" s="192">
        <v>13.29</v>
      </c>
      <c r="E18" s="147">
        <f t="shared" si="3"/>
        <v>27.78</v>
      </c>
      <c r="F18" s="814">
        <f>'0664'!F18:G18</f>
        <v>1.01</v>
      </c>
      <c r="G18" s="814"/>
      <c r="H18" s="99">
        <f t="shared" si="4"/>
        <v>28.0578</v>
      </c>
      <c r="I18" s="120">
        <f t="shared" si="0"/>
        <v>127896.47</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3.74</v>
      </c>
      <c r="D27" s="192">
        <v>3.41</v>
      </c>
      <c r="E27" s="147">
        <f t="shared" si="3"/>
        <v>7.15</v>
      </c>
      <c r="F27" s="814">
        <f>'0664'!F27:G27</f>
        <v>1.1990000000000001</v>
      </c>
      <c r="G27" s="814"/>
      <c r="H27" s="99">
        <f t="shared" si="4"/>
        <v>8.5729000000000006</v>
      </c>
      <c r="I27" s="120">
        <f t="shared" si="0"/>
        <v>39078.03</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68.38</v>
      </c>
      <c r="D29" s="113">
        <f>SUM(D13:D28)</f>
        <v>71.239999999999995</v>
      </c>
      <c r="E29" s="113">
        <f>SUM(E13:E28)</f>
        <v>139.62</v>
      </c>
      <c r="F29" s="820"/>
      <c r="G29" s="820"/>
      <c r="H29" s="118">
        <f>SUM(H13:H28)</f>
        <v>142.36760000000001</v>
      </c>
      <c r="I29" s="113">
        <f>SUM(I13:I28)</f>
        <v>648957.27</v>
      </c>
      <c r="N29" s="850" t="s">
        <v>5</v>
      </c>
      <c r="O29" s="850"/>
      <c r="P29" s="851">
        <f>SUM(P13:P28)</f>
        <v>0</v>
      </c>
      <c r="Q29" s="851"/>
      <c r="R29" s="852"/>
      <c r="S29" s="852"/>
      <c r="T29" s="119">
        <f>SUM(T13:T28)</f>
        <v>0</v>
      </c>
      <c r="U29" s="115">
        <f>SUM(U13:U28)</f>
        <v>0</v>
      </c>
    </row>
    <row r="30" spans="1:21" x14ac:dyDescent="0.25">
      <c r="A30" s="27"/>
      <c r="B30" s="27"/>
      <c r="C30" s="120"/>
      <c r="D30" s="120"/>
      <c r="E30" s="120"/>
      <c r="F30" s="373"/>
      <c r="G30" s="373"/>
      <c r="H30" s="99"/>
      <c r="I30" s="120"/>
      <c r="N30" s="362"/>
      <c r="O30" s="362"/>
      <c r="P30" s="30"/>
      <c r="Q30" s="30"/>
      <c r="R30" s="363"/>
      <c r="S30" s="363"/>
      <c r="T30" s="121"/>
      <c r="U30" s="122"/>
    </row>
    <row r="31" spans="1:21" x14ac:dyDescent="0.25">
      <c r="A31" s="195" t="s">
        <v>99</v>
      </c>
      <c r="B31" s="27"/>
      <c r="C31" s="120"/>
      <c r="D31" s="120"/>
      <c r="E31" s="120"/>
      <c r="F31" s="373"/>
      <c r="G31" s="373"/>
      <c r="H31" s="99"/>
      <c r="I31" s="120"/>
      <c r="N31" s="362"/>
      <c r="O31" s="362"/>
      <c r="P31" s="30"/>
      <c r="Q31" s="30"/>
      <c r="R31" s="363"/>
      <c r="S31" s="363"/>
      <c r="T31" s="121"/>
      <c r="U31" s="122"/>
    </row>
    <row r="32" spans="1:21" hidden="1" x14ac:dyDescent="0.25">
      <c r="A32" s="195"/>
      <c r="B32" s="27"/>
      <c r="C32" s="120"/>
      <c r="D32" s="120"/>
      <c r="E32" s="120"/>
      <c r="F32" s="373"/>
      <c r="G32" s="373"/>
      <c r="H32" s="99"/>
      <c r="I32" s="120"/>
      <c r="N32" s="362"/>
      <c r="O32" s="362"/>
      <c r="P32" s="30"/>
      <c r="Q32" s="30"/>
      <c r="R32" s="363"/>
      <c r="S32" s="363"/>
      <c r="T32" s="121"/>
      <c r="U32" s="122"/>
    </row>
    <row r="33" spans="1:21" hidden="1" x14ac:dyDescent="0.25">
      <c r="A33" s="195"/>
      <c r="B33" s="27"/>
      <c r="C33" s="120"/>
      <c r="D33" s="120"/>
      <c r="E33" s="120"/>
      <c r="F33" s="887" t="s">
        <v>298</v>
      </c>
      <c r="G33" s="887"/>
      <c r="H33" s="887"/>
      <c r="I33" s="120"/>
      <c r="N33" s="362"/>
      <c r="O33" s="362"/>
      <c r="P33" s="30"/>
      <c r="Q33" s="30"/>
      <c r="R33" s="363"/>
      <c r="S33" s="363"/>
      <c r="T33" s="121"/>
      <c r="U33" s="122"/>
    </row>
    <row r="34" spans="1:21" hidden="1" x14ac:dyDescent="0.25">
      <c r="A34" s="3"/>
      <c r="B34" s="361"/>
      <c r="C34" s="361"/>
      <c r="D34" s="361"/>
      <c r="E34" s="361"/>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62"/>
      <c r="O35" s="362"/>
      <c r="P35" s="30"/>
      <c r="Q35" s="30"/>
      <c r="R35" s="363"/>
      <c r="S35" s="363"/>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191">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93">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93">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93">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93">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18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idden="1" x14ac:dyDescent="0.25">
      <c r="A44" s="61"/>
      <c r="B44" s="127"/>
      <c r="C44" s="120"/>
      <c r="D44" s="120"/>
      <c r="E44" s="140"/>
      <c r="F44" s="33"/>
      <c r="G44" s="128"/>
      <c r="H44" s="129"/>
      <c r="I44" s="120"/>
      <c r="N44" s="362"/>
      <c r="O44" s="362"/>
      <c r="P44" s="362"/>
      <c r="Q44" s="362"/>
      <c r="R44" s="35"/>
      <c r="S44" s="363"/>
      <c r="T44" s="363"/>
      <c r="U44" s="122"/>
    </row>
    <row r="45" spans="1:21" ht="16.5" hidden="1" thickBot="1" x14ac:dyDescent="0.3">
      <c r="A45" s="61"/>
      <c r="B45" s="127" t="s">
        <v>129</v>
      </c>
      <c r="C45" s="61"/>
      <c r="D45" s="61"/>
      <c r="E45" s="201">
        <f>H29+E43</f>
        <v>142.36760000000001</v>
      </c>
      <c r="F45" s="36"/>
      <c r="G45" s="128"/>
      <c r="H45" s="129" t="s">
        <v>131</v>
      </c>
      <c r="I45" s="113">
        <f>SUM(I43,I29)</f>
        <v>648957.27</v>
      </c>
      <c r="N45" s="855" t="s">
        <v>56</v>
      </c>
      <c r="O45" s="855"/>
      <c r="P45" s="855"/>
      <c r="Q45" s="855"/>
      <c r="R45" s="37">
        <f>R43+T29</f>
        <v>0</v>
      </c>
      <c r="S45" s="852" t="s">
        <v>54</v>
      </c>
      <c r="T45" s="852"/>
      <c r="U45" s="130">
        <f>SUM(U43,U29)</f>
        <v>0</v>
      </c>
    </row>
    <row r="46" spans="1:21" hidden="1" x14ac:dyDescent="0.25">
      <c r="A46" s="27"/>
      <c r="B46" s="27"/>
      <c r="C46" s="27"/>
      <c r="D46" s="27"/>
      <c r="E46" s="27"/>
      <c r="F46" s="36"/>
      <c r="G46" s="364"/>
      <c r="H46" s="364"/>
      <c r="I46" s="120"/>
      <c r="N46" s="362"/>
      <c r="O46" s="362"/>
      <c r="P46" s="362"/>
      <c r="Q46" s="362"/>
      <c r="R46" s="37"/>
      <c r="S46" s="363"/>
      <c r="T46" s="363"/>
      <c r="U46" s="122"/>
    </row>
    <row r="47" spans="1:21" x14ac:dyDescent="0.25">
      <c r="A47" s="27"/>
      <c r="B47" s="127" t="s">
        <v>391</v>
      </c>
      <c r="C47" s="671" t="s">
        <v>391</v>
      </c>
      <c r="D47" s="671" t="s">
        <v>391</v>
      </c>
      <c r="E47" s="27"/>
      <c r="F47" s="36"/>
      <c r="G47" s="364"/>
      <c r="H47" s="364"/>
      <c r="I47" s="120"/>
      <c r="N47" s="362"/>
      <c r="O47" s="362"/>
      <c r="P47" s="362"/>
      <c r="Q47" s="362"/>
      <c r="R47" s="37"/>
      <c r="S47" s="363"/>
      <c r="T47" s="363"/>
      <c r="U47" s="122"/>
    </row>
    <row r="48" spans="1:21" x14ac:dyDescent="0.25">
      <c r="A48" s="27"/>
      <c r="B48" s="27"/>
      <c r="C48" s="600" t="s">
        <v>435</v>
      </c>
      <c r="D48" s="669" t="s">
        <v>436</v>
      </c>
      <c r="E48" s="108" t="s">
        <v>8</v>
      </c>
      <c r="F48" s="132" t="s">
        <v>132</v>
      </c>
      <c r="G48" s="133" t="s">
        <v>134</v>
      </c>
      <c r="H48" s="134" t="s">
        <v>135</v>
      </c>
      <c r="I48" s="120"/>
      <c r="N48" s="362"/>
      <c r="O48" s="362"/>
      <c r="P48" s="362"/>
      <c r="Q48" s="362"/>
      <c r="R48" s="37"/>
      <c r="S48" s="363"/>
      <c r="T48" s="363"/>
      <c r="U48" s="122"/>
    </row>
    <row r="49" spans="1:21" x14ac:dyDescent="0.25">
      <c r="A49" s="38" t="s">
        <v>89</v>
      </c>
      <c r="B49" s="38"/>
      <c r="C49" s="622" t="s">
        <v>2</v>
      </c>
      <c r="D49" s="622" t="s">
        <v>2</v>
      </c>
      <c r="E49" s="622" t="s">
        <v>2</v>
      </c>
      <c r="F49" s="365" t="s">
        <v>133</v>
      </c>
      <c r="G49" s="351" t="s">
        <v>133</v>
      </c>
      <c r="H49" s="135" t="s">
        <v>136</v>
      </c>
      <c r="I49" s="38"/>
      <c r="N49" s="845" t="s">
        <v>89</v>
      </c>
      <c r="O49" s="845"/>
      <c r="P49" s="856" t="s">
        <v>2</v>
      </c>
      <c r="Q49" s="856"/>
      <c r="R49" s="39" t="s">
        <v>25</v>
      </c>
      <c r="S49" s="347" t="s">
        <v>26</v>
      </c>
      <c r="T49" s="136" t="s">
        <v>27</v>
      </c>
      <c r="U49" s="39"/>
    </row>
    <row r="50" spans="1:21" x14ac:dyDescent="0.25">
      <c r="A50" s="791" t="s">
        <v>100</v>
      </c>
      <c r="B50" s="791"/>
      <c r="C50" s="192">
        <v>0</v>
      </c>
      <c r="D50" s="192">
        <v>0</v>
      </c>
      <c r="E50" s="147">
        <f>IF(D$59=0,C50*2,C50+D50)</f>
        <v>0</v>
      </c>
      <c r="F50" s="348" t="s">
        <v>21</v>
      </c>
      <c r="G50" s="358">
        <v>251</v>
      </c>
      <c r="H50" s="485">
        <f>'0664'!H50</f>
        <v>1047</v>
      </c>
      <c r="I50" s="120">
        <f>ROUND(E50*H50,2)</f>
        <v>0</v>
      </c>
      <c r="N50" s="863" t="s">
        <v>28</v>
      </c>
      <c r="O50" s="863"/>
      <c r="P50" s="864"/>
      <c r="Q50" s="864"/>
      <c r="R50" s="349" t="s">
        <v>21</v>
      </c>
      <c r="S50" s="370">
        <v>251</v>
      </c>
      <c r="T50" s="138">
        <f>H50</f>
        <v>1047</v>
      </c>
      <c r="U50" s="139">
        <f>ROUND(P50*T50,0)</f>
        <v>0</v>
      </c>
    </row>
    <row r="51" spans="1:21" x14ac:dyDescent="0.25">
      <c r="A51" s="792"/>
      <c r="B51" s="792"/>
      <c r="C51" s="192">
        <v>0</v>
      </c>
      <c r="D51" s="192">
        <v>0</v>
      </c>
      <c r="E51" s="147">
        <f t="shared" ref="E51:E58" si="10">IF(D$59=0,C51*2,C51+D51)</f>
        <v>0</v>
      </c>
      <c r="F51" s="358" t="s">
        <v>21</v>
      </c>
      <c r="G51" s="358">
        <v>252</v>
      </c>
      <c r="H51" s="485">
        <f>'0664'!H51</f>
        <v>3380</v>
      </c>
      <c r="I51" s="120">
        <f t="shared" ref="I51:I58" si="11">ROUND(E51*H51,2)</f>
        <v>0</v>
      </c>
      <c r="N51" s="863"/>
      <c r="O51" s="863"/>
      <c r="P51" s="865"/>
      <c r="Q51" s="865"/>
      <c r="R51" s="370" t="s">
        <v>21</v>
      </c>
      <c r="S51" s="370">
        <v>252</v>
      </c>
      <c r="T51" s="138">
        <f t="shared" ref="T51:T58" si="12">H51</f>
        <v>3380</v>
      </c>
      <c r="U51" s="139">
        <f t="shared" ref="U51:U58" si="13">ROUND(P51*T51,0)</f>
        <v>0</v>
      </c>
    </row>
    <row r="52" spans="1:21" x14ac:dyDescent="0.25">
      <c r="A52" s="792"/>
      <c r="B52" s="792"/>
      <c r="C52" s="192">
        <v>0</v>
      </c>
      <c r="D52" s="192">
        <v>0</v>
      </c>
      <c r="E52" s="147">
        <f t="shared" si="10"/>
        <v>0</v>
      </c>
      <c r="F52" s="358" t="s">
        <v>21</v>
      </c>
      <c r="G52" s="358">
        <v>253</v>
      </c>
      <c r="H52" s="485">
        <f>'0664'!H52</f>
        <v>6896</v>
      </c>
      <c r="I52" s="120">
        <f t="shared" si="11"/>
        <v>0</v>
      </c>
      <c r="N52" s="863"/>
      <c r="O52" s="863"/>
      <c r="P52" s="865"/>
      <c r="Q52" s="865"/>
      <c r="R52" s="370" t="s">
        <v>21</v>
      </c>
      <c r="S52" s="370">
        <v>253</v>
      </c>
      <c r="T52" s="138">
        <f t="shared" si="12"/>
        <v>6896</v>
      </c>
      <c r="U52" s="139">
        <f t="shared" si="13"/>
        <v>0</v>
      </c>
    </row>
    <row r="53" spans="1:21" x14ac:dyDescent="0.25">
      <c r="A53" s="792"/>
      <c r="B53" s="792"/>
      <c r="C53" s="192">
        <v>0</v>
      </c>
      <c r="D53" s="192">
        <v>0</v>
      </c>
      <c r="E53" s="147">
        <f t="shared" si="10"/>
        <v>0</v>
      </c>
      <c r="F53" s="375" t="s">
        <v>14</v>
      </c>
      <c r="G53" s="358">
        <v>251</v>
      </c>
      <c r="H53" s="485">
        <f>'0664'!H53</f>
        <v>1173</v>
      </c>
      <c r="I53" s="120">
        <f t="shared" si="11"/>
        <v>0</v>
      </c>
      <c r="N53" s="863"/>
      <c r="O53" s="863"/>
      <c r="P53" s="865"/>
      <c r="Q53" s="865"/>
      <c r="R53" s="45" t="s">
        <v>14</v>
      </c>
      <c r="S53" s="370">
        <v>251</v>
      </c>
      <c r="T53" s="138">
        <f t="shared" si="12"/>
        <v>1173</v>
      </c>
      <c r="U53" s="139">
        <f t="shared" si="13"/>
        <v>0</v>
      </c>
    </row>
    <row r="54" spans="1:21" x14ac:dyDescent="0.25">
      <c r="A54" s="792"/>
      <c r="B54" s="792"/>
      <c r="C54" s="192">
        <v>0</v>
      </c>
      <c r="D54" s="192">
        <v>0</v>
      </c>
      <c r="E54" s="147">
        <f t="shared" si="10"/>
        <v>0</v>
      </c>
      <c r="F54" s="375" t="s">
        <v>14</v>
      </c>
      <c r="G54" s="358">
        <v>252</v>
      </c>
      <c r="H54" s="485">
        <f>'0664'!H54</f>
        <v>3506</v>
      </c>
      <c r="I54" s="120">
        <f t="shared" si="11"/>
        <v>0</v>
      </c>
      <c r="N54" s="863"/>
      <c r="O54" s="863"/>
      <c r="P54" s="865"/>
      <c r="Q54" s="865"/>
      <c r="R54" s="45" t="s">
        <v>14</v>
      </c>
      <c r="S54" s="370">
        <v>252</v>
      </c>
      <c r="T54" s="138">
        <f t="shared" si="12"/>
        <v>3506</v>
      </c>
      <c r="U54" s="139">
        <f t="shared" si="13"/>
        <v>0</v>
      </c>
    </row>
    <row r="55" spans="1:21" x14ac:dyDescent="0.25">
      <c r="A55" s="792"/>
      <c r="B55" s="792"/>
      <c r="C55" s="192">
        <v>0</v>
      </c>
      <c r="D55" s="192">
        <v>0</v>
      </c>
      <c r="E55" s="147">
        <f t="shared" si="10"/>
        <v>0</v>
      </c>
      <c r="F55" s="375" t="s">
        <v>14</v>
      </c>
      <c r="G55" s="358">
        <v>253</v>
      </c>
      <c r="H55" s="485">
        <f>'0664'!H55</f>
        <v>7023</v>
      </c>
      <c r="I55" s="120">
        <f t="shared" si="11"/>
        <v>0</v>
      </c>
      <c r="N55" s="863"/>
      <c r="O55" s="863"/>
      <c r="P55" s="865"/>
      <c r="Q55" s="865"/>
      <c r="R55" s="45" t="s">
        <v>14</v>
      </c>
      <c r="S55" s="370">
        <v>253</v>
      </c>
      <c r="T55" s="138">
        <f t="shared" si="12"/>
        <v>7023</v>
      </c>
      <c r="U55" s="139">
        <f t="shared" si="13"/>
        <v>0</v>
      </c>
    </row>
    <row r="56" spans="1:21" x14ac:dyDescent="0.25">
      <c r="A56" s="792"/>
      <c r="B56" s="792"/>
      <c r="C56" s="192">
        <v>13.99</v>
      </c>
      <c r="D56" s="192">
        <v>11.86</v>
      </c>
      <c r="E56" s="147">
        <f t="shared" si="10"/>
        <v>25.85</v>
      </c>
      <c r="F56" s="375" t="s">
        <v>15</v>
      </c>
      <c r="G56" s="358">
        <v>251</v>
      </c>
      <c r="H56" s="485">
        <f>'0664'!H56</f>
        <v>835</v>
      </c>
      <c r="I56" s="120">
        <f t="shared" si="11"/>
        <v>21584.75</v>
      </c>
      <c r="N56" s="863"/>
      <c r="O56" s="863"/>
      <c r="P56" s="865"/>
      <c r="Q56" s="865"/>
      <c r="R56" s="45" t="s">
        <v>15</v>
      </c>
      <c r="S56" s="370">
        <v>251</v>
      </c>
      <c r="T56" s="138">
        <f t="shared" si="12"/>
        <v>835</v>
      </c>
      <c r="U56" s="139">
        <f t="shared" si="13"/>
        <v>0</v>
      </c>
    </row>
    <row r="57" spans="1:21" x14ac:dyDescent="0.25">
      <c r="A57" s="792"/>
      <c r="B57" s="792"/>
      <c r="C57" s="192">
        <v>0.5</v>
      </c>
      <c r="D57" s="192">
        <v>1.43</v>
      </c>
      <c r="E57" s="147">
        <f t="shared" si="10"/>
        <v>1.93</v>
      </c>
      <c r="F57" s="375" t="s">
        <v>15</v>
      </c>
      <c r="G57" s="358">
        <v>252</v>
      </c>
      <c r="H57" s="485">
        <f>'0664'!H57</f>
        <v>3168</v>
      </c>
      <c r="I57" s="120">
        <f t="shared" si="11"/>
        <v>6114.24</v>
      </c>
      <c r="N57" s="863"/>
      <c r="O57" s="863"/>
      <c r="P57" s="865"/>
      <c r="Q57" s="865"/>
      <c r="R57" s="45" t="s">
        <v>15</v>
      </c>
      <c r="S57" s="370">
        <v>252</v>
      </c>
      <c r="T57" s="138">
        <f t="shared" si="12"/>
        <v>3168</v>
      </c>
      <c r="U57" s="139">
        <f t="shared" si="13"/>
        <v>0</v>
      </c>
    </row>
    <row r="58" spans="1:21" ht="16.5" thickBot="1" x14ac:dyDescent="0.3">
      <c r="A58" s="792"/>
      <c r="B58" s="792"/>
      <c r="C58" s="192">
        <v>0</v>
      </c>
      <c r="D58" s="192">
        <v>0</v>
      </c>
      <c r="E58" s="147">
        <f t="shared" si="10"/>
        <v>0</v>
      </c>
      <c r="F58" s="375" t="s">
        <v>15</v>
      </c>
      <c r="G58" s="358">
        <v>253</v>
      </c>
      <c r="H58" s="485">
        <f>'0664'!H58</f>
        <v>6685</v>
      </c>
      <c r="I58" s="120">
        <f t="shared" si="11"/>
        <v>0</v>
      </c>
      <c r="N58" s="863"/>
      <c r="O58" s="863"/>
      <c r="P58" s="866"/>
      <c r="Q58" s="866"/>
      <c r="R58" s="45" t="s">
        <v>15</v>
      </c>
      <c r="S58" s="370">
        <v>253</v>
      </c>
      <c r="T58" s="138">
        <f t="shared" si="12"/>
        <v>6685</v>
      </c>
      <c r="U58" s="141">
        <f t="shared" si="13"/>
        <v>0</v>
      </c>
    </row>
    <row r="59" spans="1:21" ht="16.5" thickBot="1" x14ac:dyDescent="0.3">
      <c r="A59" s="767" t="s">
        <v>16</v>
      </c>
      <c r="B59" s="767"/>
      <c r="C59" s="116">
        <f>SUM(C50:C58)</f>
        <v>14.49</v>
      </c>
      <c r="D59" s="116">
        <f>SUM(D50:D58)</f>
        <v>13.29</v>
      </c>
      <c r="E59" s="116">
        <f>SUM(E50:E58)</f>
        <v>27.78</v>
      </c>
      <c r="F59" s="767" t="s">
        <v>78</v>
      </c>
      <c r="G59" s="767"/>
      <c r="H59" s="767"/>
      <c r="I59" s="116">
        <f>SUM(I50:I58)</f>
        <v>27698.989999999998</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139.62</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341"/>
      <c r="G63" s="47" t="s">
        <v>13</v>
      </c>
      <c r="H63" s="145">
        <f>ROUND(C62/H62,6)</f>
        <v>7.3200000000000001E-4</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142.36760000000001</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374"/>
      <c r="G66" s="48" t="s">
        <v>13</v>
      </c>
      <c r="H66" s="149">
        <f>ROUND(C65/H65,6)</f>
        <v>6.6399999999999999E-4</v>
      </c>
      <c r="I66" s="149"/>
      <c r="N66" s="845" t="s">
        <v>20</v>
      </c>
      <c r="O66" s="845"/>
      <c r="P66" s="845"/>
      <c r="Q66" s="845"/>
      <c r="R66" s="845"/>
      <c r="S66" s="845"/>
      <c r="T66" s="867">
        <f>ROUND(P65/T65,6)</f>
        <v>0</v>
      </c>
      <c r="U66" s="867"/>
    </row>
    <row r="67" spans="1:21" s="61" customFormat="1" x14ac:dyDescent="0.25">
      <c r="A67" s="443"/>
      <c r="G67" s="47"/>
      <c r="H67" s="150"/>
      <c r="I67" s="150"/>
      <c r="N67" s="350"/>
      <c r="O67" s="350"/>
      <c r="P67" s="350"/>
      <c r="Q67" s="350"/>
      <c r="R67" s="346"/>
      <c r="S67" s="350"/>
      <c r="T67" s="153"/>
      <c r="U67" s="359"/>
    </row>
    <row r="68" spans="1:21" x14ac:dyDescent="0.25">
      <c r="A68" s="764" t="s">
        <v>87</v>
      </c>
      <c r="B68" s="764"/>
      <c r="C68" s="764"/>
      <c r="D68" s="341"/>
      <c r="E68" s="356" t="s">
        <v>3</v>
      </c>
      <c r="F68" s="544">
        <f>'0664'!F68</f>
        <v>42029577</v>
      </c>
      <c r="G68" s="348" t="s">
        <v>6</v>
      </c>
      <c r="H68" s="155">
        <f>H63</f>
        <v>7.3200000000000001E-4</v>
      </c>
      <c r="I68" s="120">
        <f>ROUND(F68*H68,2)</f>
        <v>30765.65</v>
      </c>
      <c r="N68" s="840" t="s">
        <v>87</v>
      </c>
      <c r="O68" s="840"/>
      <c r="P68" s="840"/>
      <c r="Q68" s="50"/>
      <c r="R68" s="156">
        <f>F68</f>
        <v>42029577</v>
      </c>
      <c r="S68" s="349" t="s">
        <v>6</v>
      </c>
      <c r="T68" s="157">
        <f>T63</f>
        <v>0</v>
      </c>
      <c r="U68" s="115">
        <f>ROUND(R68*T68,0)</f>
        <v>0</v>
      </c>
    </row>
    <row r="69" spans="1:21" x14ac:dyDescent="0.25">
      <c r="A69" s="811" t="s">
        <v>98</v>
      </c>
      <c r="B69" s="764"/>
      <c r="C69" s="764"/>
      <c r="D69" s="341"/>
      <c r="E69" s="356"/>
      <c r="F69" s="202"/>
      <c r="G69" s="348"/>
      <c r="H69" s="155"/>
      <c r="I69" s="120"/>
      <c r="N69" s="840" t="s">
        <v>86</v>
      </c>
      <c r="O69" s="840"/>
      <c r="P69" s="840"/>
      <c r="Q69" s="158"/>
      <c r="R69" s="158"/>
      <c r="S69" s="158"/>
      <c r="T69" s="158"/>
      <c r="U69" s="158"/>
    </row>
    <row r="70" spans="1:21" x14ac:dyDescent="0.25">
      <c r="A70" s="813" t="s">
        <v>143</v>
      </c>
      <c r="B70" s="764"/>
      <c r="C70" s="764"/>
      <c r="D70" s="341"/>
      <c r="E70" s="356" t="s">
        <v>3</v>
      </c>
      <c r="F70" s="544">
        <f>'0664'!F70</f>
        <v>0</v>
      </c>
      <c r="G70" s="348" t="s">
        <v>6</v>
      </c>
      <c r="H70" s="155">
        <f>H63</f>
        <v>7.3200000000000001E-4</v>
      </c>
      <c r="I70" s="120">
        <f>ROUND(F70*H70,2)</f>
        <v>0</v>
      </c>
      <c r="N70" s="342"/>
      <c r="O70" s="342"/>
      <c r="P70" s="342"/>
      <c r="Q70" s="50"/>
      <c r="R70" s="156">
        <f>F70</f>
        <v>0</v>
      </c>
      <c r="S70" s="349" t="s">
        <v>6</v>
      </c>
      <c r="T70" s="157">
        <f>T63</f>
        <v>0</v>
      </c>
      <c r="U70" s="115">
        <f>ROUND(R70*T70,0)</f>
        <v>0</v>
      </c>
    </row>
    <row r="71" spans="1:21" x14ac:dyDescent="0.25">
      <c r="A71" s="764" t="s">
        <v>85</v>
      </c>
      <c r="B71" s="764"/>
      <c r="C71" s="764"/>
      <c r="D71" s="556" t="s">
        <v>358</v>
      </c>
      <c r="E71" s="610" t="s">
        <v>372</v>
      </c>
      <c r="F71" s="544">
        <f>'0664'!F71</f>
        <v>146607</v>
      </c>
      <c r="G71" s="348" t="s">
        <v>6</v>
      </c>
      <c r="H71" s="155">
        <f>H63</f>
        <v>7.3200000000000001E-4</v>
      </c>
      <c r="I71" s="120">
        <f>IF(D71="Y",ROUND(F71*H71,2),0)</f>
        <v>107.32</v>
      </c>
      <c r="N71" s="840" t="s">
        <v>85</v>
      </c>
      <c r="O71" s="840"/>
      <c r="P71" s="840"/>
      <c r="Q71" s="50"/>
      <c r="R71" s="156">
        <f>F71</f>
        <v>146607</v>
      </c>
      <c r="S71" s="349" t="s">
        <v>6</v>
      </c>
      <c r="T71" s="157">
        <f>T63</f>
        <v>0</v>
      </c>
      <c r="U71" s="115">
        <f>ROUND(R71*T71,0)</f>
        <v>0</v>
      </c>
    </row>
    <row r="72" spans="1:21" x14ac:dyDescent="0.25">
      <c r="A72" s="764" t="s">
        <v>84</v>
      </c>
      <c r="B72" s="764"/>
      <c r="C72" s="764"/>
      <c r="D72" s="341"/>
      <c r="E72" s="356" t="s">
        <v>3</v>
      </c>
      <c r="F72" s="544">
        <f>'0664'!F72</f>
        <v>11337910</v>
      </c>
      <c r="G72" s="348" t="s">
        <v>6</v>
      </c>
      <c r="H72" s="155">
        <f>H63</f>
        <v>7.3200000000000001E-4</v>
      </c>
      <c r="I72" s="120">
        <f>ROUND(F72*H72,2)</f>
        <v>8299.35</v>
      </c>
      <c r="N72" s="840" t="s">
        <v>84</v>
      </c>
      <c r="O72" s="840"/>
      <c r="P72" s="840"/>
      <c r="Q72" s="50"/>
      <c r="R72" s="156">
        <f>F72</f>
        <v>11337910</v>
      </c>
      <c r="S72" s="349" t="s">
        <v>6</v>
      </c>
      <c r="T72" s="157">
        <f>T63</f>
        <v>0</v>
      </c>
      <c r="U72" s="115">
        <f>ROUND(R72*T72,0)</f>
        <v>0</v>
      </c>
    </row>
    <row r="73" spans="1:21" x14ac:dyDescent="0.25">
      <c r="A73" s="764" t="s">
        <v>83</v>
      </c>
      <c r="B73" s="764"/>
      <c r="C73" s="764"/>
      <c r="D73" s="341"/>
      <c r="E73" s="356" t="s">
        <v>3</v>
      </c>
      <c r="F73" s="544">
        <f>'0664'!F73</f>
        <v>13882385</v>
      </c>
      <c r="G73" s="348" t="s">
        <v>6</v>
      </c>
      <c r="H73" s="155">
        <f>H63</f>
        <v>7.3200000000000001E-4</v>
      </c>
      <c r="I73" s="120">
        <f>ROUND(F73*H73,2)</f>
        <v>10161.91</v>
      </c>
      <c r="N73" s="840" t="s">
        <v>83</v>
      </c>
      <c r="O73" s="840"/>
      <c r="P73" s="840"/>
      <c r="Q73" s="50"/>
      <c r="R73" s="159">
        <f>F73</f>
        <v>13882385</v>
      </c>
      <c r="S73" s="349" t="s">
        <v>6</v>
      </c>
      <c r="T73" s="157">
        <f>T63</f>
        <v>0</v>
      </c>
      <c r="U73" s="115">
        <f>ROUND(R73*T73,0)</f>
        <v>0</v>
      </c>
    </row>
    <row r="74" spans="1:21" x14ac:dyDescent="0.25">
      <c r="A74" s="337" t="s">
        <v>101</v>
      </c>
      <c r="D74" s="341"/>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341"/>
      <c r="C76" s="341"/>
      <c r="D76" s="341"/>
      <c r="E76" s="341"/>
      <c r="F76" s="341"/>
      <c r="G76" s="341"/>
      <c r="H76" s="341"/>
      <c r="I76" s="160"/>
      <c r="N76" s="687" t="s">
        <v>44</v>
      </c>
      <c r="O76" s="342"/>
      <c r="P76" s="342"/>
      <c r="Q76" s="342"/>
      <c r="R76" s="342"/>
      <c r="S76" s="342"/>
      <c r="T76" s="342"/>
      <c r="U76" s="122"/>
    </row>
    <row r="77" spans="1:21" x14ac:dyDescent="0.25">
      <c r="A77" s="765" t="s">
        <v>387</v>
      </c>
      <c r="B77" s="764"/>
      <c r="C77" s="764"/>
      <c r="D77" s="607"/>
      <c r="E77" s="610" t="s">
        <v>3</v>
      </c>
      <c r="F77" s="544">
        <f>'0664'!F77</f>
        <v>7462542</v>
      </c>
      <c r="G77" s="608" t="s">
        <v>6</v>
      </c>
      <c r="H77" s="155">
        <f>H63</f>
        <v>7.3200000000000001E-4</v>
      </c>
      <c r="I77" s="120">
        <f t="shared" ref="I77:I82" si="14">ROUND(F77*H77,2)</f>
        <v>5462.58</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7.3200000000000001E-4</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341"/>
      <c r="E79" s="356" t="s">
        <v>4</v>
      </c>
      <c r="F79" s="544">
        <f>'0664'!F79</f>
        <v>0</v>
      </c>
      <c r="G79" s="348" t="s">
        <v>6</v>
      </c>
      <c r="H79" s="155">
        <f>H66</f>
        <v>6.6399999999999999E-4</v>
      </c>
      <c r="I79" s="120">
        <f t="shared" si="14"/>
        <v>0</v>
      </c>
      <c r="N79" s="860" t="s">
        <v>414</v>
      </c>
      <c r="O79" s="840"/>
      <c r="P79" s="840"/>
      <c r="Q79" s="50"/>
      <c r="R79" s="159">
        <f t="shared" si="15"/>
        <v>0</v>
      </c>
      <c r="S79" s="349" t="s">
        <v>6</v>
      </c>
      <c r="T79" s="157">
        <f>T66</f>
        <v>0</v>
      </c>
      <c r="U79" s="115">
        <f t="shared" si="16"/>
        <v>0</v>
      </c>
    </row>
    <row r="80" spans="1:21" x14ac:dyDescent="0.25">
      <c r="A80" s="765" t="s">
        <v>415</v>
      </c>
      <c r="B80" s="764"/>
      <c r="C80" s="764"/>
      <c r="D80" s="341"/>
      <c r="E80" s="356" t="s">
        <v>4</v>
      </c>
      <c r="F80" s="544">
        <f>'0664'!F80</f>
        <v>8562788</v>
      </c>
      <c r="G80" s="348" t="s">
        <v>6</v>
      </c>
      <c r="H80" s="155">
        <f>H66</f>
        <v>6.6399999999999999E-4</v>
      </c>
      <c r="I80" s="120">
        <f t="shared" si="14"/>
        <v>5685.69</v>
      </c>
      <c r="N80" s="860" t="s">
        <v>415</v>
      </c>
      <c r="O80" s="840"/>
      <c r="P80" s="840"/>
      <c r="Q80" s="50"/>
      <c r="R80" s="159">
        <f t="shared" si="15"/>
        <v>8562788</v>
      </c>
      <c r="S80" s="349" t="s">
        <v>6</v>
      </c>
      <c r="T80" s="157">
        <f>T66</f>
        <v>0</v>
      </c>
      <c r="U80" s="115">
        <f t="shared" si="16"/>
        <v>0</v>
      </c>
    </row>
    <row r="81" spans="1:21" x14ac:dyDescent="0.25">
      <c r="A81" s="765" t="s">
        <v>419</v>
      </c>
      <c r="B81" s="764"/>
      <c r="C81" s="764"/>
      <c r="D81" s="341"/>
      <c r="E81" s="356" t="s">
        <v>4</v>
      </c>
      <c r="F81" s="544">
        <f>'0664'!F81</f>
        <v>168663228</v>
      </c>
      <c r="G81" s="348" t="s">
        <v>6</v>
      </c>
      <c r="H81" s="155">
        <f>H66</f>
        <v>6.6399999999999999E-4</v>
      </c>
      <c r="I81" s="120">
        <f t="shared" si="14"/>
        <v>111992.38</v>
      </c>
      <c r="N81" s="860" t="s">
        <v>419</v>
      </c>
      <c r="O81" s="840"/>
      <c r="P81" s="840"/>
      <c r="Q81" s="50"/>
      <c r="R81" s="159">
        <f t="shared" si="15"/>
        <v>168663228</v>
      </c>
      <c r="S81" s="349" t="s">
        <v>6</v>
      </c>
      <c r="T81" s="157">
        <f>T66</f>
        <v>0</v>
      </c>
      <c r="U81" s="115">
        <f t="shared" si="16"/>
        <v>0</v>
      </c>
    </row>
    <row r="82" spans="1:21" x14ac:dyDescent="0.25">
      <c r="A82" s="765" t="s">
        <v>420</v>
      </c>
      <c r="B82" s="764"/>
      <c r="C82" s="764"/>
      <c r="D82" s="341"/>
      <c r="E82" s="356" t="s">
        <v>4</v>
      </c>
      <c r="F82" s="544">
        <f>'0664'!F82</f>
        <v>0</v>
      </c>
      <c r="G82" s="348" t="s">
        <v>6</v>
      </c>
      <c r="H82" s="155">
        <f>H66</f>
        <v>6.6399999999999999E-4</v>
      </c>
      <c r="I82" s="120">
        <f t="shared" si="14"/>
        <v>0</v>
      </c>
      <c r="N82" s="860" t="s">
        <v>420</v>
      </c>
      <c r="O82" s="840"/>
      <c r="P82" s="840"/>
      <c r="Q82" s="50"/>
      <c r="R82" s="156">
        <f t="shared" si="15"/>
        <v>0</v>
      </c>
      <c r="S82" s="349" t="s">
        <v>6</v>
      </c>
      <c r="T82" s="157">
        <f>T66</f>
        <v>0</v>
      </c>
      <c r="U82" s="115">
        <f t="shared" si="16"/>
        <v>0</v>
      </c>
    </row>
    <row r="83" spans="1:21" x14ac:dyDescent="0.25">
      <c r="A83" s="717" t="s">
        <v>425</v>
      </c>
      <c r="B83" s="443"/>
      <c r="C83" s="443"/>
      <c r="D83" s="443"/>
      <c r="E83" s="683" t="s">
        <v>45</v>
      </c>
      <c r="F83" s="544"/>
      <c r="G83" s="445"/>
      <c r="H83" s="155"/>
      <c r="I83" s="120">
        <v>26263.8</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7.3200000000000001E-4</v>
      </c>
      <c r="I84" s="120">
        <f>ROUND(F84*H84,2)</f>
        <v>15821.7</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341"/>
      <c r="C87" s="780" t="s">
        <v>74</v>
      </c>
      <c r="D87" s="780"/>
      <c r="E87" s="341"/>
      <c r="F87" s="375" t="s">
        <v>37</v>
      </c>
      <c r="G87" s="341"/>
      <c r="H87" s="341"/>
      <c r="I87" s="341"/>
      <c r="N87" s="342"/>
      <c r="O87" s="342"/>
      <c r="P87" s="342"/>
      <c r="Q87" s="342"/>
      <c r="R87" s="342"/>
      <c r="S87" s="342"/>
      <c r="T87" s="342"/>
      <c r="U87" s="342"/>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345"/>
      <c r="B89" s="64" t="s">
        <v>150</v>
      </c>
      <c r="C89" s="781">
        <f>H13+H14+H19+H22+H25</f>
        <v>0</v>
      </c>
      <c r="D89" s="781"/>
      <c r="E89" s="54">
        <f>H8</f>
        <v>1.0424</v>
      </c>
      <c r="F89" s="545">
        <f>'0664'!F89</f>
        <v>966.9</v>
      </c>
      <c r="G89" s="376" t="s">
        <v>13</v>
      </c>
      <c r="H89" s="120">
        <f>ROUND(C89*E89*F89,2)</f>
        <v>0</v>
      </c>
      <c r="I89" s="124"/>
      <c r="N89" s="344"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0</v>
      </c>
      <c r="D90" s="781"/>
      <c r="E90" s="54">
        <f>H8</f>
        <v>1.0424</v>
      </c>
      <c r="F90" s="545">
        <f>'0664'!F90</f>
        <v>923.19</v>
      </c>
      <c r="G90" s="376" t="s">
        <v>13</v>
      </c>
      <c r="H90" s="120">
        <f>ROUND(C90*E90*F90,2)</f>
        <v>0</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142.36760000000001</v>
      </c>
      <c r="D91" s="781"/>
      <c r="E91" s="54">
        <f>H8</f>
        <v>1.0424</v>
      </c>
      <c r="F91" s="545">
        <f>'0664'!F91</f>
        <v>925.42</v>
      </c>
      <c r="G91" s="376" t="s">
        <v>13</v>
      </c>
      <c r="H91" s="113">
        <f>ROUND(C91*E91*F91,2)</f>
        <v>137336.01999999999</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142.36760000000001</v>
      </c>
      <c r="D92" s="782"/>
      <c r="E92" s="168"/>
      <c r="F92" s="168"/>
      <c r="G92" s="168"/>
      <c r="H92" s="169" t="s">
        <v>145</v>
      </c>
      <c r="I92" s="120">
        <f>IF(A1=75,0,H91+H90+H89)</f>
        <v>137336.01999999999</v>
      </c>
      <c r="N92" s="353"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354"/>
      <c r="B94" s="354"/>
      <c r="C94" s="354"/>
      <c r="D94" s="354"/>
      <c r="E94" s="354"/>
      <c r="F94" s="354"/>
      <c r="G94" s="354"/>
      <c r="H94" s="354"/>
      <c r="I94" s="354"/>
      <c r="N94" s="355"/>
      <c r="O94" s="355"/>
      <c r="P94" s="355"/>
      <c r="Q94" s="355"/>
      <c r="R94" s="355"/>
      <c r="S94" s="355"/>
      <c r="T94" s="355"/>
      <c r="U94" s="355"/>
    </row>
    <row r="95" spans="1:21" x14ac:dyDescent="0.25">
      <c r="A95" s="745" t="s">
        <v>459</v>
      </c>
      <c r="C95" s="356"/>
      <c r="D95" s="341"/>
      <c r="E95" s="683" t="s">
        <v>102</v>
      </c>
      <c r="F95" s="774"/>
      <c r="G95" s="774"/>
      <c r="H95" s="774"/>
      <c r="I95" s="774"/>
      <c r="N95" s="860" t="s">
        <v>459</v>
      </c>
      <c r="O95" s="840"/>
      <c r="P95" s="840"/>
      <c r="Q95" s="879"/>
      <c r="R95" s="879"/>
      <c r="S95" s="879"/>
      <c r="T95" s="879"/>
      <c r="U95" s="122"/>
    </row>
    <row r="96" spans="1:21" x14ac:dyDescent="0.25">
      <c r="B96" s="341"/>
      <c r="C96" s="600" t="s">
        <v>435</v>
      </c>
      <c r="D96" s="669" t="s">
        <v>436</v>
      </c>
      <c r="E96" s="108" t="s">
        <v>153</v>
      </c>
      <c r="F96" s="356"/>
      <c r="G96" s="356"/>
      <c r="H96" s="356"/>
      <c r="I96" s="356"/>
      <c r="N96" s="342"/>
      <c r="O96" s="342"/>
      <c r="P96" s="342"/>
      <c r="Q96" s="357"/>
      <c r="R96" s="357"/>
      <c r="S96" s="357"/>
      <c r="T96" s="357"/>
      <c r="U96" s="122"/>
    </row>
    <row r="97" spans="1:21" x14ac:dyDescent="0.25">
      <c r="B97" s="341"/>
      <c r="C97" s="622" t="s">
        <v>2</v>
      </c>
      <c r="D97" s="622" t="s">
        <v>2</v>
      </c>
      <c r="E97" s="622" t="s">
        <v>2</v>
      </c>
      <c r="F97" s="356"/>
      <c r="G97" s="356"/>
      <c r="H97" s="356"/>
      <c r="I97" s="356"/>
      <c r="N97" s="342"/>
      <c r="O97" s="342"/>
      <c r="P97" s="342"/>
      <c r="Q97" s="357"/>
      <c r="R97" s="357"/>
      <c r="S97" s="357"/>
      <c r="T97" s="357"/>
      <c r="U97" s="122"/>
    </row>
    <row r="98" spans="1:21" x14ac:dyDescent="0.25">
      <c r="A98" s="767" t="s">
        <v>66</v>
      </c>
      <c r="B98" s="767"/>
      <c r="C98" s="192">
        <v>15</v>
      </c>
      <c r="D98" s="192">
        <v>28</v>
      </c>
      <c r="E98" s="193">
        <f>(C98+D98)/2</f>
        <v>21.5</v>
      </c>
      <c r="F98" s="173" t="s">
        <v>39</v>
      </c>
      <c r="G98" s="546">
        <f>'0664'!G98</f>
        <v>486</v>
      </c>
      <c r="I98" s="120">
        <f>ROUND(G98*E98,2)</f>
        <v>10449</v>
      </c>
      <c r="N98" s="873" t="s">
        <v>66</v>
      </c>
      <c r="O98" s="873"/>
      <c r="P98" s="874">
        <f>IF(H116=1,E98,0)</f>
        <v>0</v>
      </c>
      <c r="Q98" s="874"/>
      <c r="R98" s="874"/>
      <c r="S98" s="367" t="s">
        <v>39</v>
      </c>
      <c r="T98" s="72">
        <f>G98</f>
        <v>486</v>
      </c>
      <c r="U98" s="115">
        <f>ROUND(T98*P98,0)</f>
        <v>0</v>
      </c>
    </row>
    <row r="99" spans="1:21" x14ac:dyDescent="0.25">
      <c r="A99" s="767" t="s">
        <v>82</v>
      </c>
      <c r="B99" s="767"/>
      <c r="C99" s="192">
        <v>0</v>
      </c>
      <c r="D99" s="192">
        <v>0</v>
      </c>
      <c r="E99" s="193">
        <f>(C99+D99)/2</f>
        <v>0</v>
      </c>
      <c r="F99" s="173" t="s">
        <v>39</v>
      </c>
      <c r="G99" s="546">
        <f>'0664'!G99</f>
        <v>1498</v>
      </c>
      <c r="I99" s="120">
        <f>ROUND(G99*E99,2)</f>
        <v>0</v>
      </c>
      <c r="N99" s="873" t="s">
        <v>82</v>
      </c>
      <c r="O99" s="873"/>
      <c r="P99" s="847"/>
      <c r="Q99" s="847"/>
      <c r="R99" s="847"/>
      <c r="S99" s="367" t="s">
        <v>39</v>
      </c>
      <c r="T99" s="72">
        <f>G99</f>
        <v>1498</v>
      </c>
      <c r="U99" s="115">
        <f>ROUND(T99*P99,0)</f>
        <v>0</v>
      </c>
    </row>
    <row r="100" spans="1:21" x14ac:dyDescent="0.25">
      <c r="A100" s="174"/>
      <c r="B100" s="174"/>
      <c r="C100" s="89"/>
      <c r="D100" s="89"/>
      <c r="E100" s="89"/>
      <c r="F100" s="89"/>
      <c r="G100" s="175"/>
      <c r="H100" s="176"/>
      <c r="I100" s="120"/>
      <c r="N100" s="352"/>
      <c r="O100" s="352"/>
      <c r="P100" s="178"/>
      <c r="Q100" s="178"/>
      <c r="R100" s="178"/>
      <c r="S100" s="367"/>
      <c r="T100" s="72"/>
      <c r="U100" s="122"/>
    </row>
    <row r="101" spans="1:21" x14ac:dyDescent="0.25">
      <c r="A101" s="174"/>
      <c r="B101" s="174"/>
      <c r="C101" s="89"/>
      <c r="D101" s="89"/>
      <c r="E101" s="89"/>
      <c r="F101" s="89"/>
      <c r="G101" s="175"/>
      <c r="H101" s="176"/>
      <c r="I101" s="120"/>
      <c r="N101" s="352"/>
      <c r="O101" s="352"/>
      <c r="P101" s="178"/>
      <c r="Q101" s="178"/>
      <c r="R101" s="178"/>
      <c r="S101" s="367"/>
      <c r="T101" s="72"/>
      <c r="U101" s="122"/>
    </row>
    <row r="102" spans="1:21" hidden="1" x14ac:dyDescent="0.25">
      <c r="A102" s="765" t="s">
        <v>374</v>
      </c>
      <c r="B102" s="764"/>
      <c r="C102" s="764"/>
      <c r="D102" s="341"/>
      <c r="E102" s="686" t="s">
        <v>41</v>
      </c>
      <c r="F102" s="780"/>
      <c r="G102" s="780"/>
      <c r="H102" s="780"/>
      <c r="I102" s="780"/>
      <c r="N102" s="860" t="s">
        <v>383</v>
      </c>
      <c r="O102" s="840"/>
      <c r="P102" s="840"/>
      <c r="Q102" s="840"/>
      <c r="R102" s="840"/>
      <c r="S102" s="840"/>
      <c r="T102" s="840"/>
      <c r="U102" s="840"/>
    </row>
    <row r="103" spans="1:21" hidden="1" x14ac:dyDescent="0.25">
      <c r="B103" s="341"/>
      <c r="C103" s="776" t="s">
        <v>93</v>
      </c>
      <c r="D103" s="776"/>
      <c r="E103" s="776"/>
      <c r="F103" s="358"/>
      <c r="G103" s="358"/>
      <c r="H103" s="376" t="s">
        <v>154</v>
      </c>
      <c r="I103" s="358"/>
      <c r="N103" s="342"/>
      <c r="O103" s="342"/>
      <c r="P103" s="342"/>
      <c r="Q103" s="342"/>
      <c r="R103" s="342"/>
      <c r="S103" s="342"/>
      <c r="T103" s="342"/>
      <c r="U103" s="342"/>
    </row>
    <row r="104" spans="1:21" hidden="1" x14ac:dyDescent="0.25">
      <c r="B104" s="341"/>
      <c r="C104" s="600" t="s">
        <v>392</v>
      </c>
      <c r="D104" s="600" t="s">
        <v>370</v>
      </c>
      <c r="E104" s="185" t="s">
        <v>8</v>
      </c>
      <c r="F104" s="883" t="s">
        <v>155</v>
      </c>
      <c r="G104" s="770"/>
      <c r="H104" s="348" t="s">
        <v>38</v>
      </c>
      <c r="I104" s="358"/>
      <c r="N104" s="342"/>
      <c r="O104" s="342"/>
      <c r="P104" s="342"/>
      <c r="Q104" s="342"/>
      <c r="R104" s="342"/>
      <c r="S104" s="342"/>
      <c r="T104" s="342"/>
      <c r="U104" s="342"/>
    </row>
    <row r="105" spans="1:21" hidden="1" x14ac:dyDescent="0.25">
      <c r="A105" s="776" t="s">
        <v>96</v>
      </c>
      <c r="B105" s="776"/>
      <c r="C105" s="109" t="s">
        <v>2</v>
      </c>
      <c r="D105" s="109" t="s">
        <v>2</v>
      </c>
      <c r="E105" s="351" t="s">
        <v>2</v>
      </c>
      <c r="F105" s="776" t="s">
        <v>37</v>
      </c>
      <c r="G105" s="776"/>
      <c r="H105" s="351" t="s">
        <v>37</v>
      </c>
      <c r="I105" s="351" t="s">
        <v>8</v>
      </c>
      <c r="N105" s="859" t="s">
        <v>67</v>
      </c>
      <c r="O105" s="859"/>
      <c r="P105" s="874" t="s">
        <v>93</v>
      </c>
      <c r="Q105" s="874"/>
      <c r="R105" s="859" t="s">
        <v>68</v>
      </c>
      <c r="S105" s="859"/>
      <c r="T105" s="347" t="s">
        <v>69</v>
      </c>
      <c r="U105" s="347" t="s">
        <v>8</v>
      </c>
    </row>
    <row r="106" spans="1:21" hidden="1" x14ac:dyDescent="0.25">
      <c r="A106" s="771" t="s">
        <v>70</v>
      </c>
      <c r="B106" s="771"/>
      <c r="C106" s="190">
        <v>0</v>
      </c>
      <c r="D106" s="190">
        <v>0</v>
      </c>
      <c r="E106" s="191">
        <f>IF(D$59=0,C106*2,C106+D106)</f>
        <v>0</v>
      </c>
      <c r="F106" s="889">
        <v>0</v>
      </c>
      <c r="G106" s="889"/>
      <c r="H106" s="75">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93">
        <f>IF(D$59=0,C107*2,C107+D107)</f>
        <v>0</v>
      </c>
      <c r="F107" s="810">
        <f>ROUND(F106/2,2)</f>
        <v>0</v>
      </c>
      <c r="G107" s="810"/>
      <c r="H107" s="77">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93">
        <f>IF(D$59=0,C108*2,C108+D108)</f>
        <v>0</v>
      </c>
      <c r="F108" s="773"/>
      <c r="G108" s="773"/>
      <c r="H108" s="79">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348"/>
      <c r="B110" s="348"/>
      <c r="C110" s="81"/>
      <c r="D110" s="81"/>
      <c r="E110" s="81"/>
      <c r="F110" s="81"/>
      <c r="G110" s="81"/>
      <c r="H110" s="81"/>
      <c r="I110" s="120"/>
      <c r="N110" s="349"/>
      <c r="O110" s="349"/>
      <c r="P110" s="82"/>
      <c r="Q110" s="82"/>
      <c r="R110" s="82"/>
      <c r="S110" s="82"/>
      <c r="T110" s="82"/>
      <c r="U110" s="187"/>
    </row>
    <row r="111" spans="1:21" x14ac:dyDescent="0.25">
      <c r="A111" s="765" t="s">
        <v>460</v>
      </c>
      <c r="B111" s="764"/>
      <c r="C111" s="764"/>
      <c r="D111" s="341"/>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341"/>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341"/>
      <c r="C113" s="341"/>
      <c r="D113" s="341"/>
      <c r="E113" s="343"/>
      <c r="F113" s="343"/>
      <c r="G113" s="343"/>
      <c r="H113" s="343"/>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1039001.6599999999</v>
      </c>
      <c r="N114" s="344"/>
      <c r="O114" s="344"/>
      <c r="P114" s="344"/>
      <c r="Q114" s="344"/>
      <c r="R114" s="344"/>
      <c r="S114" s="344"/>
      <c r="T114" s="344"/>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341"/>
      <c r="C117" s="341"/>
      <c r="D117" s="341"/>
      <c r="E117" s="341"/>
      <c r="F117" s="341"/>
      <c r="G117" s="341"/>
      <c r="H117" s="89"/>
      <c r="I117" s="120"/>
      <c r="N117" s="88" t="s">
        <v>108</v>
      </c>
      <c r="O117" s="88"/>
      <c r="P117" s="88"/>
      <c r="Q117" s="88"/>
      <c r="R117" s="88"/>
      <c r="S117" s="88"/>
      <c r="T117" s="88"/>
      <c r="U117" s="88"/>
    </row>
    <row r="118" spans="1:21" x14ac:dyDescent="0.25">
      <c r="A118" s="3" t="s">
        <v>104</v>
      </c>
      <c r="B118" s="341"/>
      <c r="C118" s="341"/>
      <c r="D118" s="341"/>
      <c r="E118" s="341"/>
      <c r="F118" s="341"/>
      <c r="G118" s="396"/>
      <c r="H118" s="188">
        <f>IF(H116=1,I116,I114)</f>
        <v>1039001.6599999999</v>
      </c>
      <c r="I118" s="113">
        <f>ROUND(IF(E29=0,0,IF(E29&gt;250,-(((250/E29)*H118)*IF(G118="H",0.02,0.05)),IF(G118="H",-0.02*H118,-0.05*H118))),2)</f>
        <v>-51950.080000000002</v>
      </c>
      <c r="N118" s="90" t="s">
        <v>109</v>
      </c>
      <c r="O118" s="88"/>
      <c r="P118" s="88"/>
      <c r="Q118" s="88"/>
      <c r="R118" s="88"/>
      <c r="S118" s="88"/>
      <c r="T118" s="88"/>
      <c r="U118" s="88"/>
    </row>
    <row r="119" spans="1:21" x14ac:dyDescent="0.25">
      <c r="B119" s="341"/>
      <c r="C119" s="341"/>
      <c r="D119" s="341"/>
      <c r="E119" s="341"/>
      <c r="F119" s="341"/>
      <c r="G119" s="341"/>
      <c r="H119" s="89"/>
      <c r="I119" s="120"/>
      <c r="N119" s="340"/>
      <c r="O119" s="340"/>
      <c r="P119" s="340"/>
      <c r="Q119" s="340"/>
      <c r="R119" s="340"/>
      <c r="S119" s="340"/>
      <c r="T119" s="340"/>
      <c r="U119" s="340"/>
    </row>
    <row r="120" spans="1:21" x14ac:dyDescent="0.25">
      <c r="A120" s="552" t="s">
        <v>105</v>
      </c>
      <c r="B120" s="553"/>
      <c r="C120" s="553"/>
      <c r="D120" s="553"/>
      <c r="E120" s="553"/>
      <c r="F120" s="553"/>
      <c r="G120" s="553"/>
      <c r="H120" s="554"/>
      <c r="I120" s="555">
        <f>I114+I118</f>
        <v>987051.58</v>
      </c>
      <c r="N120" s="340"/>
      <c r="O120" s="340"/>
      <c r="P120" s="340"/>
      <c r="Q120" s="340"/>
      <c r="R120" s="340"/>
      <c r="S120" s="340"/>
      <c r="T120" s="340"/>
      <c r="U120" s="340"/>
    </row>
    <row r="121" spans="1:21" x14ac:dyDescent="0.25">
      <c r="B121" s="341"/>
      <c r="C121" s="341"/>
      <c r="D121" s="341"/>
      <c r="E121" s="341"/>
      <c r="F121" s="341"/>
      <c r="G121" s="341"/>
      <c r="H121" s="89"/>
      <c r="I121" s="120"/>
      <c r="N121" s="340"/>
      <c r="O121" s="340"/>
      <c r="P121" s="340"/>
      <c r="Q121" s="340"/>
      <c r="R121" s="340"/>
      <c r="S121" s="340"/>
      <c r="T121" s="340"/>
      <c r="U121" s="340"/>
    </row>
    <row r="122" spans="1:21" x14ac:dyDescent="0.25">
      <c r="A122" s="3" t="s">
        <v>106</v>
      </c>
      <c r="B122" s="411"/>
      <c r="C122" s="189"/>
      <c r="D122" s="341"/>
      <c r="F122" s="341"/>
      <c r="G122" s="341"/>
      <c r="H122" s="89"/>
      <c r="I122" s="424">
        <v>-985682.02</v>
      </c>
      <c r="N122" s="340"/>
      <c r="O122" s="340"/>
      <c r="P122" s="340"/>
      <c r="Q122" s="340"/>
      <c r="R122" s="340"/>
      <c r="S122" s="340"/>
      <c r="T122" s="340"/>
      <c r="U122" s="340"/>
    </row>
    <row r="123" spans="1:21" x14ac:dyDescent="0.25">
      <c r="B123" s="341"/>
      <c r="C123" s="341"/>
      <c r="D123" s="341"/>
      <c r="E123" s="341"/>
      <c r="F123" s="341"/>
      <c r="G123" s="341"/>
      <c r="H123" s="89"/>
      <c r="I123" s="120"/>
      <c r="N123" s="340"/>
      <c r="O123" s="340"/>
      <c r="P123" s="340"/>
      <c r="Q123" s="340"/>
      <c r="R123" s="340"/>
      <c r="S123" s="340"/>
      <c r="T123" s="340"/>
      <c r="U123" s="340"/>
    </row>
    <row r="124" spans="1:21" x14ac:dyDescent="0.25">
      <c r="A124" s="412" t="s">
        <v>313</v>
      </c>
      <c r="B124" s="341"/>
      <c r="C124" s="341"/>
      <c r="D124" s="341"/>
      <c r="E124" s="341"/>
      <c r="F124" s="341"/>
      <c r="G124" s="341"/>
      <c r="H124" s="89"/>
      <c r="I124" s="120">
        <f>I120+I122</f>
        <v>1369.5599999999395</v>
      </c>
      <c r="N124" s="340"/>
      <c r="O124" s="340"/>
      <c r="P124" s="340"/>
      <c r="Q124" s="340"/>
      <c r="R124" s="340"/>
      <c r="S124" s="340"/>
      <c r="T124" s="340"/>
      <c r="U124" s="340"/>
    </row>
    <row r="125" spans="1:21" x14ac:dyDescent="0.25">
      <c r="A125" s="412"/>
      <c r="B125" s="411"/>
      <c r="C125" s="411"/>
      <c r="D125" s="411"/>
      <c r="E125" s="411"/>
      <c r="F125" s="411"/>
      <c r="G125" s="411"/>
      <c r="H125" s="89"/>
      <c r="I125" s="120"/>
      <c r="N125" s="340"/>
      <c r="O125" s="340"/>
      <c r="P125" s="340"/>
      <c r="Q125" s="340"/>
      <c r="R125" s="340"/>
      <c r="S125" s="340"/>
      <c r="T125" s="340"/>
      <c r="U125" s="340"/>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341"/>
      <c r="C127" s="341"/>
      <c r="D127" s="341"/>
      <c r="E127" s="341"/>
      <c r="F127" s="341"/>
      <c r="G127" s="341"/>
      <c r="H127" s="89"/>
      <c r="I127" s="120"/>
      <c r="N127" s="413"/>
      <c r="O127" s="413"/>
      <c r="P127" s="413"/>
      <c r="Q127" s="413"/>
      <c r="R127" s="413"/>
      <c r="S127" s="413"/>
      <c r="T127" s="413"/>
      <c r="U127" s="413"/>
    </row>
    <row r="128" spans="1:21" ht="16.5" thickBot="1" x14ac:dyDescent="0.3">
      <c r="A128" s="3" t="s">
        <v>107</v>
      </c>
      <c r="B128" s="341"/>
      <c r="C128" s="341"/>
      <c r="D128" s="341"/>
      <c r="E128" s="341"/>
      <c r="F128" s="341"/>
      <c r="G128" s="341"/>
      <c r="H128" s="89"/>
      <c r="I128" s="205">
        <f>ROUND(I124/I126,2)</f>
        <v>1369.56</v>
      </c>
      <c r="N128" s="340"/>
      <c r="O128" s="340"/>
      <c r="P128" s="340"/>
      <c r="Q128" s="340"/>
      <c r="R128" s="340"/>
      <c r="S128" s="340"/>
      <c r="T128" s="340"/>
      <c r="U128" s="340"/>
    </row>
    <row r="129" spans="1:21" ht="16.5" thickTop="1" x14ac:dyDescent="0.25">
      <c r="B129" s="341"/>
      <c r="C129" s="341"/>
      <c r="D129" s="341"/>
      <c r="E129" s="341"/>
      <c r="F129" s="341"/>
      <c r="G129" s="341"/>
      <c r="H129" s="89"/>
      <c r="I129" s="120"/>
      <c r="N129" s="340"/>
      <c r="O129" s="340"/>
      <c r="P129" s="340"/>
      <c r="Q129" s="340"/>
      <c r="R129" s="340"/>
      <c r="S129" s="340"/>
      <c r="T129" s="340"/>
      <c r="U129" s="340"/>
    </row>
    <row r="130" spans="1:21" ht="16.5" thickBot="1" x14ac:dyDescent="0.3">
      <c r="A130" s="3" t="s">
        <v>123</v>
      </c>
      <c r="B130" s="341"/>
      <c r="C130" s="341"/>
      <c r="D130" s="341"/>
      <c r="E130" s="341"/>
      <c r="F130" s="341"/>
      <c r="G130" s="341"/>
      <c r="H130" s="89"/>
      <c r="I130" s="180">
        <f>ROUND(IF(G118="H",(H118*0.02)+I118,(H118*0.05)+I118),2)</f>
        <v>0</v>
      </c>
      <c r="N130" s="340"/>
      <c r="O130" s="340"/>
      <c r="P130" s="340"/>
      <c r="Q130" s="340"/>
      <c r="R130" s="340"/>
      <c r="S130" s="340"/>
      <c r="T130" s="340"/>
      <c r="U130" s="340"/>
    </row>
    <row r="131" spans="1:21" ht="16.5" thickTop="1" x14ac:dyDescent="0.25">
      <c r="B131" s="341"/>
      <c r="C131" s="341"/>
      <c r="D131" s="341"/>
      <c r="E131" s="341"/>
      <c r="F131" s="341"/>
      <c r="G131" s="341"/>
      <c r="H131" s="89"/>
      <c r="I131" s="181"/>
      <c r="N131" s="340"/>
      <c r="O131" s="340"/>
      <c r="P131" s="340"/>
      <c r="Q131" s="340"/>
      <c r="R131" s="340"/>
      <c r="S131" s="340"/>
      <c r="T131" s="340"/>
      <c r="U131" s="340"/>
    </row>
    <row r="132" spans="1:21" x14ac:dyDescent="0.25">
      <c r="B132" s="341"/>
      <c r="C132" s="341"/>
      <c r="D132" s="341"/>
      <c r="E132" s="341"/>
      <c r="F132" s="341"/>
      <c r="G132" s="341"/>
      <c r="H132" s="89"/>
      <c r="I132" s="120"/>
      <c r="N132" s="340"/>
      <c r="O132" s="340"/>
      <c r="P132" s="340"/>
      <c r="Q132" s="340"/>
      <c r="R132" s="340"/>
      <c r="S132" s="340"/>
      <c r="T132" s="340"/>
      <c r="U132" s="340"/>
    </row>
    <row r="133" spans="1:21" x14ac:dyDescent="0.25">
      <c r="B133" s="341"/>
      <c r="C133" s="341"/>
      <c r="D133" s="341"/>
      <c r="E133" s="341"/>
      <c r="F133" s="341"/>
      <c r="G133" s="341"/>
      <c r="H133" s="89"/>
      <c r="I133" s="181"/>
      <c r="N133" s="340"/>
      <c r="O133" s="340"/>
      <c r="P133" s="340"/>
      <c r="Q133" s="340"/>
      <c r="R133" s="340"/>
      <c r="S133" s="340"/>
      <c r="T133" s="340"/>
      <c r="U133" s="340"/>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N135:U135"/>
    <mergeCell ref="N115:U115"/>
    <mergeCell ref="N112:P112"/>
    <mergeCell ref="A112:C112"/>
    <mergeCell ref="F112:H112"/>
    <mergeCell ref="N113:T113"/>
    <mergeCell ref="A114:H114"/>
    <mergeCell ref="A115:G115"/>
    <mergeCell ref="N78:P78"/>
    <mergeCell ref="P108:Q108"/>
    <mergeCell ref="R108:S108"/>
    <mergeCell ref="A109:B109"/>
    <mergeCell ref="N109:O109"/>
    <mergeCell ref="A106:B106"/>
    <mergeCell ref="F106:G106"/>
    <mergeCell ref="N106:O106"/>
    <mergeCell ref="P106:Q106"/>
    <mergeCell ref="R106:S106"/>
    <mergeCell ref="A107:B107"/>
    <mergeCell ref="F107:G107"/>
    <mergeCell ref="N107:O107"/>
    <mergeCell ref="P107:Q107"/>
    <mergeCell ref="R107:S107"/>
    <mergeCell ref="A102:C102"/>
    <mergeCell ref="A11:B11"/>
    <mergeCell ref="A116:G116"/>
    <mergeCell ref="A111:C111"/>
    <mergeCell ref="F111:H111"/>
    <mergeCell ref="N111:P111"/>
    <mergeCell ref="N116:U116"/>
    <mergeCell ref="A108:B108"/>
    <mergeCell ref="F108:G108"/>
    <mergeCell ref="N108:O108"/>
    <mergeCell ref="F102:I102"/>
    <mergeCell ref="N102:U102"/>
    <mergeCell ref="C103:E103"/>
    <mergeCell ref="F104:G104"/>
    <mergeCell ref="A105:B105"/>
    <mergeCell ref="F105:G105"/>
    <mergeCell ref="N105:O105"/>
    <mergeCell ref="P105:Q105"/>
    <mergeCell ref="R105:S105"/>
    <mergeCell ref="A98:B98"/>
    <mergeCell ref="N98:O98"/>
    <mergeCell ref="P98:R98"/>
    <mergeCell ref="A99:B99"/>
    <mergeCell ref="N99:O99"/>
    <mergeCell ref="P99:R99"/>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FFFF00"/>
  </sheetPr>
  <dimension ref="A1:U202"/>
  <sheetViews>
    <sheetView showGridLines="0" zoomScale="90" zoomScaleNormal="90" workbookViewId="0">
      <pane ySplit="1" topLeftCell="A92" activePane="bottomLeft" state="frozen"/>
      <selection activeCell="A46" sqref="A46:IV46"/>
      <selection pane="bottomLeft" activeCell="I122" sqref="I122"/>
    </sheetView>
  </sheetViews>
  <sheetFormatPr defaultRowHeight="15.75" x14ac:dyDescent="0.25"/>
  <cols>
    <col min="1" max="1" width="10.28515625" style="500"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50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348</v>
      </c>
      <c r="B2" s="2"/>
      <c r="C2" s="2"/>
      <c r="D2" s="2"/>
      <c r="E2" s="2"/>
      <c r="F2" s="2"/>
      <c r="G2" s="2"/>
      <c r="H2" s="2"/>
      <c r="I2" s="2"/>
      <c r="N2" s="824" t="s">
        <v>23</v>
      </c>
      <c r="O2" s="824"/>
      <c r="P2" s="824"/>
      <c r="Q2" s="824"/>
      <c r="R2" s="824"/>
      <c r="S2" s="824"/>
      <c r="T2" s="824"/>
      <c r="U2" s="824"/>
    </row>
    <row r="3" spans="1:21" x14ac:dyDescent="0.25">
      <c r="A3" s="511"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528"/>
      <c r="O5" s="528"/>
      <c r="P5" s="526"/>
      <c r="Q5" s="526"/>
      <c r="R5" s="5"/>
      <c r="S5" s="5"/>
      <c r="T5" s="5"/>
      <c r="U5" s="5"/>
    </row>
    <row r="6" spans="1:21" ht="12" customHeight="1" x14ac:dyDescent="0.25">
      <c r="A6" s="527"/>
      <c r="B6" s="527"/>
      <c r="C6" s="532"/>
      <c r="D6" s="532"/>
      <c r="E6" s="532"/>
      <c r="F6" s="4"/>
      <c r="G6" s="4"/>
      <c r="H6" s="4"/>
      <c r="I6" s="4"/>
      <c r="N6" s="528"/>
      <c r="O6" s="528"/>
      <c r="P6" s="526"/>
      <c r="Q6" s="526"/>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285"/>
      <c r="G8" s="286"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529"/>
      <c r="O9" s="529"/>
      <c r="P9" s="530"/>
      <c r="Q9" s="530"/>
      <c r="R9" s="14"/>
      <c r="S9" s="14"/>
      <c r="T9" s="15"/>
      <c r="U9" s="721" t="s">
        <v>428</v>
      </c>
    </row>
    <row r="10" spans="1:21" x14ac:dyDescent="0.25">
      <c r="A10" s="7"/>
      <c r="B10" s="7"/>
      <c r="C10" s="600" t="s">
        <v>435</v>
      </c>
      <c r="D10" s="669" t="s">
        <v>436</v>
      </c>
      <c r="E10" s="108" t="s">
        <v>8</v>
      </c>
      <c r="F10" s="806" t="s">
        <v>1</v>
      </c>
      <c r="G10" s="806"/>
      <c r="H10" s="10" t="s">
        <v>74</v>
      </c>
      <c r="I10" s="11" t="s">
        <v>36</v>
      </c>
      <c r="N10" s="529"/>
      <c r="O10" s="529"/>
      <c r="P10" s="530"/>
      <c r="Q10" s="530"/>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525"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131.13999999999999</v>
      </c>
      <c r="D15" s="192">
        <v>140.13999999999999</v>
      </c>
      <c r="E15" s="147">
        <f t="shared" si="3"/>
        <v>271.27999999999997</v>
      </c>
      <c r="F15" s="814">
        <f>'0664'!F15:G15</f>
        <v>1</v>
      </c>
      <c r="G15" s="814"/>
      <c r="H15" s="99">
        <f t="shared" si="4"/>
        <v>271.27999999999997</v>
      </c>
      <c r="I15" s="120">
        <f t="shared" si="0"/>
        <v>1236581.43</v>
      </c>
      <c r="N15" s="840" t="s">
        <v>31</v>
      </c>
      <c r="O15" s="840"/>
      <c r="P15" s="841">
        <f t="shared" si="1"/>
        <v>0</v>
      </c>
      <c r="Q15" s="841"/>
      <c r="R15" s="842">
        <v>1</v>
      </c>
      <c r="S15" s="842"/>
      <c r="T15" s="114">
        <f t="shared" si="5"/>
        <v>0</v>
      </c>
      <c r="U15" s="115">
        <f t="shared" si="2"/>
        <v>0</v>
      </c>
    </row>
    <row r="16" spans="1:21" x14ac:dyDescent="0.25">
      <c r="A16" s="764" t="s">
        <v>32</v>
      </c>
      <c r="B16" s="764"/>
      <c r="C16" s="192">
        <v>32.21</v>
      </c>
      <c r="D16" s="192">
        <v>28.25</v>
      </c>
      <c r="E16" s="147">
        <f t="shared" si="3"/>
        <v>60.46</v>
      </c>
      <c r="F16" s="814">
        <f>'0664'!F16:G16</f>
        <v>1</v>
      </c>
      <c r="G16" s="814"/>
      <c r="H16" s="99">
        <f t="shared" si="4"/>
        <v>60.46</v>
      </c>
      <c r="I16" s="120">
        <f t="shared" si="0"/>
        <v>275596.11</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13.93</v>
      </c>
      <c r="D26" s="192">
        <v>9.8699999999999992</v>
      </c>
      <c r="E26" s="147">
        <f t="shared" si="3"/>
        <v>23.799999999999997</v>
      </c>
      <c r="F26" s="814">
        <f>'0664'!F26:G26</f>
        <v>1.1990000000000001</v>
      </c>
      <c r="G26" s="814"/>
      <c r="H26" s="99">
        <f t="shared" si="4"/>
        <v>28.536200000000001</v>
      </c>
      <c r="I26" s="120">
        <f t="shared" si="0"/>
        <v>130077.17</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177.28</v>
      </c>
      <c r="D29" s="113">
        <f>SUM(D13:D28)</f>
        <v>178.26</v>
      </c>
      <c r="E29" s="113">
        <f>SUM(E13:E28)</f>
        <v>355.53999999999996</v>
      </c>
      <c r="F29" s="820"/>
      <c r="G29" s="820"/>
      <c r="H29" s="118">
        <f>SUM(H13:H28)</f>
        <v>360.27619999999996</v>
      </c>
      <c r="I29" s="113">
        <f>SUM(I13:I28)</f>
        <v>1642254.71</v>
      </c>
      <c r="N29" s="850" t="s">
        <v>5</v>
      </c>
      <c r="O29" s="850"/>
      <c r="P29" s="851">
        <f>SUM(P13:P28)</f>
        <v>0</v>
      </c>
      <c r="Q29" s="851"/>
      <c r="R29" s="852"/>
      <c r="S29" s="852"/>
      <c r="T29" s="119">
        <f>SUM(T13:T28)</f>
        <v>0</v>
      </c>
      <c r="U29" s="115">
        <f>SUM(U13:U28)</f>
        <v>0</v>
      </c>
    </row>
    <row r="30" spans="1:21" x14ac:dyDescent="0.25">
      <c r="A30" s="533"/>
      <c r="B30" s="533"/>
      <c r="C30" s="120"/>
      <c r="D30" s="120"/>
      <c r="E30" s="120"/>
      <c r="F30" s="534"/>
      <c r="G30" s="534"/>
      <c r="H30" s="99"/>
      <c r="I30" s="120"/>
      <c r="N30" s="522"/>
      <c r="O30" s="522"/>
      <c r="P30" s="30"/>
      <c r="Q30" s="30"/>
      <c r="R30" s="523"/>
      <c r="S30" s="523"/>
      <c r="T30" s="121"/>
      <c r="U30" s="122"/>
    </row>
    <row r="31" spans="1:21" x14ac:dyDescent="0.25">
      <c r="A31" s="195" t="s">
        <v>99</v>
      </c>
      <c r="B31" s="533"/>
      <c r="C31" s="120"/>
      <c r="D31" s="120"/>
      <c r="E31" s="120"/>
      <c r="F31" s="534"/>
      <c r="G31" s="534"/>
      <c r="H31" s="99"/>
      <c r="I31" s="120"/>
      <c r="N31" s="522"/>
      <c r="O31" s="522"/>
      <c r="P31" s="30"/>
      <c r="Q31" s="30"/>
      <c r="R31" s="523"/>
      <c r="S31" s="523"/>
      <c r="T31" s="121"/>
      <c r="U31" s="122"/>
    </row>
    <row r="32" spans="1:21" hidden="1" x14ac:dyDescent="0.25">
      <c r="A32" s="195"/>
      <c r="B32" s="533"/>
      <c r="C32" s="120"/>
      <c r="D32" s="120"/>
      <c r="E32" s="120"/>
      <c r="F32" s="534"/>
      <c r="G32" s="534"/>
      <c r="H32" s="99"/>
      <c r="I32" s="120"/>
      <c r="N32" s="522"/>
      <c r="O32" s="522"/>
      <c r="P32" s="30"/>
      <c r="Q32" s="30"/>
      <c r="R32" s="523"/>
      <c r="S32" s="523"/>
      <c r="T32" s="121"/>
      <c r="U32" s="122"/>
    </row>
    <row r="33" spans="1:21" hidden="1" x14ac:dyDescent="0.25">
      <c r="A33" s="195"/>
      <c r="B33" s="533"/>
      <c r="C33" s="120"/>
      <c r="D33" s="120"/>
      <c r="E33" s="120"/>
      <c r="F33" s="887" t="s">
        <v>298</v>
      </c>
      <c r="G33" s="887"/>
      <c r="H33" s="887"/>
      <c r="I33" s="120"/>
      <c r="N33" s="522"/>
      <c r="O33" s="522"/>
      <c r="P33" s="30"/>
      <c r="Q33" s="30"/>
      <c r="R33" s="523"/>
      <c r="S33" s="523"/>
      <c r="T33" s="121"/>
      <c r="U33" s="122"/>
    </row>
    <row r="34" spans="1:21" hidden="1" x14ac:dyDescent="0.25">
      <c r="A34" s="3"/>
      <c r="B34" s="521"/>
      <c r="C34" s="521"/>
      <c r="D34" s="521"/>
      <c r="E34" s="521"/>
      <c r="F34" s="887"/>
      <c r="G34" s="887"/>
      <c r="H34" s="887"/>
      <c r="I34" s="25" t="s">
        <v>75</v>
      </c>
      <c r="N34" s="853" t="s">
        <v>35</v>
      </c>
      <c r="O34" s="853"/>
      <c r="P34" s="853"/>
      <c r="Q34" s="853"/>
      <c r="R34" s="853"/>
      <c r="S34" s="853"/>
      <c r="T34" s="853"/>
      <c r="U34" s="26" t="s">
        <v>75</v>
      </c>
    </row>
    <row r="35" spans="1:21" hidden="1" x14ac:dyDescent="0.25">
      <c r="A35" s="533"/>
      <c r="B35" s="533"/>
      <c r="C35" s="107" t="s">
        <v>126</v>
      </c>
      <c r="D35" s="107" t="s">
        <v>127</v>
      </c>
      <c r="E35" s="108" t="s">
        <v>8</v>
      </c>
      <c r="F35" s="887"/>
      <c r="G35" s="887"/>
      <c r="H35" s="887"/>
      <c r="I35" s="25" t="s">
        <v>36</v>
      </c>
      <c r="N35" s="522"/>
      <c r="O35" s="522"/>
      <c r="P35" s="30"/>
      <c r="Q35" s="30"/>
      <c r="R35" s="523"/>
      <c r="S35" s="523"/>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191">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93">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93">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93">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93">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18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idden="1" x14ac:dyDescent="0.25">
      <c r="A44" s="61"/>
      <c r="B44" s="127"/>
      <c r="C44" s="120"/>
      <c r="D44" s="120"/>
      <c r="E44" s="140"/>
      <c r="F44" s="33"/>
      <c r="G44" s="128"/>
      <c r="H44" s="129"/>
      <c r="I44" s="120"/>
      <c r="N44" s="522"/>
      <c r="O44" s="522"/>
      <c r="P44" s="522"/>
      <c r="Q44" s="522"/>
      <c r="R44" s="35"/>
      <c r="S44" s="523"/>
      <c r="T44" s="523"/>
      <c r="U44" s="122"/>
    </row>
    <row r="45" spans="1:21" ht="16.5" hidden="1" thickBot="1" x14ac:dyDescent="0.3">
      <c r="A45" s="61"/>
      <c r="B45" s="127" t="s">
        <v>129</v>
      </c>
      <c r="C45" s="61"/>
      <c r="D45" s="61"/>
      <c r="E45" s="201">
        <f>H29+E43</f>
        <v>360.27619999999996</v>
      </c>
      <c r="F45" s="36"/>
      <c r="G45" s="128"/>
      <c r="H45" s="129" t="s">
        <v>131</v>
      </c>
      <c r="I45" s="113">
        <f>SUM(I43,I29)</f>
        <v>1642254.71</v>
      </c>
      <c r="N45" s="855" t="s">
        <v>56</v>
      </c>
      <c r="O45" s="855"/>
      <c r="P45" s="855"/>
      <c r="Q45" s="855"/>
      <c r="R45" s="37">
        <f>R43+T29</f>
        <v>0</v>
      </c>
      <c r="S45" s="852" t="s">
        <v>54</v>
      </c>
      <c r="T45" s="852"/>
      <c r="U45" s="130">
        <f>SUM(U43,U29)</f>
        <v>0</v>
      </c>
    </row>
    <row r="46" spans="1:21" hidden="1" x14ac:dyDescent="0.25">
      <c r="A46" s="533"/>
      <c r="B46" s="533"/>
      <c r="C46" s="533"/>
      <c r="D46" s="533"/>
      <c r="E46" s="533"/>
      <c r="F46" s="36"/>
      <c r="G46" s="524"/>
      <c r="H46" s="524"/>
      <c r="I46" s="120"/>
      <c r="N46" s="522"/>
      <c r="O46" s="522"/>
      <c r="P46" s="522"/>
      <c r="Q46" s="522"/>
      <c r="R46" s="37"/>
      <c r="S46" s="523"/>
      <c r="T46" s="523"/>
      <c r="U46" s="122"/>
    </row>
    <row r="47" spans="1:21" x14ac:dyDescent="0.25">
      <c r="A47" s="533"/>
      <c r="B47" s="127" t="s">
        <v>391</v>
      </c>
      <c r="C47" s="671" t="s">
        <v>391</v>
      </c>
      <c r="D47" s="671" t="s">
        <v>391</v>
      </c>
      <c r="E47" s="533"/>
      <c r="F47" s="36"/>
      <c r="G47" s="524"/>
      <c r="H47" s="524"/>
      <c r="I47" s="120"/>
      <c r="N47" s="522"/>
      <c r="O47" s="522"/>
      <c r="P47" s="522"/>
      <c r="Q47" s="522"/>
      <c r="R47" s="37"/>
      <c r="S47" s="523"/>
      <c r="T47" s="523"/>
      <c r="U47" s="122"/>
    </row>
    <row r="48" spans="1:21" x14ac:dyDescent="0.25">
      <c r="A48" s="533"/>
      <c r="B48" s="533"/>
      <c r="C48" s="600" t="s">
        <v>435</v>
      </c>
      <c r="D48" s="669" t="s">
        <v>436</v>
      </c>
      <c r="E48" s="108" t="s">
        <v>8</v>
      </c>
      <c r="F48" s="132" t="s">
        <v>132</v>
      </c>
      <c r="G48" s="133" t="s">
        <v>134</v>
      </c>
      <c r="H48" s="134" t="s">
        <v>135</v>
      </c>
      <c r="I48" s="120"/>
      <c r="N48" s="522"/>
      <c r="O48" s="522"/>
      <c r="P48" s="522"/>
      <c r="Q48" s="522"/>
      <c r="R48" s="37"/>
      <c r="S48" s="523"/>
      <c r="T48" s="523"/>
      <c r="U48" s="122"/>
    </row>
    <row r="49" spans="1:21" x14ac:dyDescent="0.25">
      <c r="A49" s="38" t="s">
        <v>89</v>
      </c>
      <c r="B49" s="38"/>
      <c r="C49" s="622" t="s">
        <v>2</v>
      </c>
      <c r="D49" s="622" t="s">
        <v>2</v>
      </c>
      <c r="E49" s="622" t="s">
        <v>2</v>
      </c>
      <c r="F49" s="525" t="s">
        <v>133</v>
      </c>
      <c r="G49" s="512" t="s">
        <v>133</v>
      </c>
      <c r="H49" s="135" t="s">
        <v>136</v>
      </c>
      <c r="I49" s="38"/>
      <c r="N49" s="845" t="s">
        <v>89</v>
      </c>
      <c r="O49" s="845"/>
      <c r="P49" s="856" t="s">
        <v>2</v>
      </c>
      <c r="Q49" s="856"/>
      <c r="R49" s="39" t="s">
        <v>25</v>
      </c>
      <c r="S49" s="507" t="s">
        <v>26</v>
      </c>
      <c r="T49" s="136" t="s">
        <v>27</v>
      </c>
      <c r="U49" s="39"/>
    </row>
    <row r="50" spans="1:21" x14ac:dyDescent="0.25">
      <c r="A50" s="791" t="s">
        <v>100</v>
      </c>
      <c r="B50" s="791"/>
      <c r="C50" s="192">
        <v>0</v>
      </c>
      <c r="D50" s="192">
        <v>0</v>
      </c>
      <c r="E50" s="147">
        <f>IF(D$59=0,C50*2,C50+D50)</f>
        <v>0</v>
      </c>
      <c r="F50" s="508" t="s">
        <v>21</v>
      </c>
      <c r="G50" s="519">
        <v>251</v>
      </c>
      <c r="H50" s="485">
        <f>'0664'!H50</f>
        <v>1047</v>
      </c>
      <c r="I50" s="120">
        <f>ROUND(E50*H50,2)</f>
        <v>0</v>
      </c>
      <c r="N50" s="863" t="s">
        <v>28</v>
      </c>
      <c r="O50" s="863"/>
      <c r="P50" s="864"/>
      <c r="Q50" s="864"/>
      <c r="R50" s="509" t="s">
        <v>21</v>
      </c>
      <c r="S50" s="531">
        <v>251</v>
      </c>
      <c r="T50" s="138">
        <f>H50</f>
        <v>1047</v>
      </c>
      <c r="U50" s="139">
        <f>ROUND(P50*T50,0)</f>
        <v>0</v>
      </c>
    </row>
    <row r="51" spans="1:21" x14ac:dyDescent="0.25">
      <c r="A51" s="792"/>
      <c r="B51" s="792"/>
      <c r="C51" s="192">
        <v>0</v>
      </c>
      <c r="D51" s="192">
        <v>0</v>
      </c>
      <c r="E51" s="147">
        <f t="shared" ref="E51:E58" si="10">IF(D$59=0,C51*2,C51+D51)</f>
        <v>0</v>
      </c>
      <c r="F51" s="519" t="s">
        <v>21</v>
      </c>
      <c r="G51" s="519">
        <v>252</v>
      </c>
      <c r="H51" s="485">
        <f>'0664'!H51</f>
        <v>3380</v>
      </c>
      <c r="I51" s="120">
        <f t="shared" ref="I51:I58" si="11">ROUND(E51*H51,2)</f>
        <v>0</v>
      </c>
      <c r="N51" s="863"/>
      <c r="O51" s="863"/>
      <c r="P51" s="865"/>
      <c r="Q51" s="865"/>
      <c r="R51" s="531" t="s">
        <v>21</v>
      </c>
      <c r="S51" s="531">
        <v>252</v>
      </c>
      <c r="T51" s="138">
        <f t="shared" ref="T51:T58" si="12">H51</f>
        <v>3380</v>
      </c>
      <c r="U51" s="139">
        <f t="shared" ref="U51:U58" si="13">ROUND(P51*T51,0)</f>
        <v>0</v>
      </c>
    </row>
    <row r="52" spans="1:21" x14ac:dyDescent="0.25">
      <c r="A52" s="792"/>
      <c r="B52" s="792"/>
      <c r="C52" s="192">
        <v>0</v>
      </c>
      <c r="D52" s="192">
        <v>0</v>
      </c>
      <c r="E52" s="147">
        <f t="shared" si="10"/>
        <v>0</v>
      </c>
      <c r="F52" s="519" t="s">
        <v>21</v>
      </c>
      <c r="G52" s="519">
        <v>253</v>
      </c>
      <c r="H52" s="485">
        <f>'0664'!H52</f>
        <v>6896</v>
      </c>
      <c r="I52" s="120">
        <f t="shared" si="11"/>
        <v>0</v>
      </c>
      <c r="N52" s="863"/>
      <c r="O52" s="863"/>
      <c r="P52" s="865"/>
      <c r="Q52" s="865"/>
      <c r="R52" s="531" t="s">
        <v>21</v>
      </c>
      <c r="S52" s="531">
        <v>253</v>
      </c>
      <c r="T52" s="138">
        <f t="shared" si="12"/>
        <v>6896</v>
      </c>
      <c r="U52" s="139">
        <f t="shared" si="13"/>
        <v>0</v>
      </c>
    </row>
    <row r="53" spans="1:21" x14ac:dyDescent="0.25">
      <c r="A53" s="792"/>
      <c r="B53" s="792"/>
      <c r="C53" s="192">
        <v>30.23</v>
      </c>
      <c r="D53" s="192">
        <v>27.25</v>
      </c>
      <c r="E53" s="147">
        <f t="shared" si="10"/>
        <v>57.480000000000004</v>
      </c>
      <c r="F53" s="535" t="s">
        <v>14</v>
      </c>
      <c r="G53" s="519">
        <v>251</v>
      </c>
      <c r="H53" s="485">
        <f>'0664'!H53</f>
        <v>1173</v>
      </c>
      <c r="I53" s="120">
        <f t="shared" si="11"/>
        <v>67424.039999999994</v>
      </c>
      <c r="N53" s="863"/>
      <c r="O53" s="863"/>
      <c r="P53" s="865"/>
      <c r="Q53" s="865"/>
      <c r="R53" s="45" t="s">
        <v>14</v>
      </c>
      <c r="S53" s="531">
        <v>251</v>
      </c>
      <c r="T53" s="138">
        <f t="shared" si="12"/>
        <v>1173</v>
      </c>
      <c r="U53" s="139">
        <f t="shared" si="13"/>
        <v>0</v>
      </c>
    </row>
    <row r="54" spans="1:21" x14ac:dyDescent="0.25">
      <c r="A54" s="792"/>
      <c r="B54" s="792"/>
      <c r="C54" s="192">
        <v>1.98</v>
      </c>
      <c r="D54" s="192">
        <v>1</v>
      </c>
      <c r="E54" s="147">
        <f t="shared" si="10"/>
        <v>2.98</v>
      </c>
      <c r="F54" s="535" t="s">
        <v>14</v>
      </c>
      <c r="G54" s="519">
        <v>252</v>
      </c>
      <c r="H54" s="485">
        <f>'0664'!H54</f>
        <v>3506</v>
      </c>
      <c r="I54" s="120">
        <f t="shared" si="11"/>
        <v>10447.879999999999</v>
      </c>
      <c r="N54" s="863"/>
      <c r="O54" s="863"/>
      <c r="P54" s="865"/>
      <c r="Q54" s="865"/>
      <c r="R54" s="45" t="s">
        <v>14</v>
      </c>
      <c r="S54" s="531">
        <v>252</v>
      </c>
      <c r="T54" s="138">
        <f t="shared" si="12"/>
        <v>3506</v>
      </c>
      <c r="U54" s="139">
        <f t="shared" si="13"/>
        <v>0</v>
      </c>
    </row>
    <row r="55" spans="1:21" x14ac:dyDescent="0.25">
      <c r="A55" s="792"/>
      <c r="B55" s="792"/>
      <c r="C55" s="192">
        <v>0</v>
      </c>
      <c r="D55" s="192">
        <v>0</v>
      </c>
      <c r="E55" s="147">
        <f t="shared" si="10"/>
        <v>0</v>
      </c>
      <c r="F55" s="535" t="s">
        <v>14</v>
      </c>
      <c r="G55" s="519">
        <v>253</v>
      </c>
      <c r="H55" s="485">
        <f>'0664'!H55</f>
        <v>7023</v>
      </c>
      <c r="I55" s="120">
        <f t="shared" si="11"/>
        <v>0</v>
      </c>
      <c r="N55" s="863"/>
      <c r="O55" s="863"/>
      <c r="P55" s="865"/>
      <c r="Q55" s="865"/>
      <c r="R55" s="45" t="s">
        <v>14</v>
      </c>
      <c r="S55" s="531">
        <v>253</v>
      </c>
      <c r="T55" s="138">
        <f t="shared" si="12"/>
        <v>7023</v>
      </c>
      <c r="U55" s="139">
        <f t="shared" si="13"/>
        <v>0</v>
      </c>
    </row>
    <row r="56" spans="1:21" x14ac:dyDescent="0.25">
      <c r="A56" s="792"/>
      <c r="B56" s="792"/>
      <c r="C56" s="192">
        <v>0</v>
      </c>
      <c r="D56" s="192">
        <v>0</v>
      </c>
      <c r="E56" s="147">
        <f t="shared" si="10"/>
        <v>0</v>
      </c>
      <c r="F56" s="535" t="s">
        <v>15</v>
      </c>
      <c r="G56" s="519">
        <v>251</v>
      </c>
      <c r="H56" s="485">
        <f>'0664'!H56</f>
        <v>835</v>
      </c>
      <c r="I56" s="120">
        <f t="shared" si="11"/>
        <v>0</v>
      </c>
      <c r="N56" s="863"/>
      <c r="O56" s="863"/>
      <c r="P56" s="865"/>
      <c r="Q56" s="865"/>
      <c r="R56" s="45" t="s">
        <v>15</v>
      </c>
      <c r="S56" s="531">
        <v>251</v>
      </c>
      <c r="T56" s="138">
        <f t="shared" si="12"/>
        <v>835</v>
      </c>
      <c r="U56" s="139">
        <f t="shared" si="13"/>
        <v>0</v>
      </c>
    </row>
    <row r="57" spans="1:21" x14ac:dyDescent="0.25">
      <c r="A57" s="792"/>
      <c r="B57" s="792"/>
      <c r="C57" s="192">
        <v>0</v>
      </c>
      <c r="D57" s="192">
        <v>0</v>
      </c>
      <c r="E57" s="147">
        <f t="shared" si="10"/>
        <v>0</v>
      </c>
      <c r="F57" s="535" t="s">
        <v>15</v>
      </c>
      <c r="G57" s="519">
        <v>252</v>
      </c>
      <c r="H57" s="485">
        <f>'0664'!H57</f>
        <v>3168</v>
      </c>
      <c r="I57" s="120">
        <f t="shared" si="11"/>
        <v>0</v>
      </c>
      <c r="N57" s="863"/>
      <c r="O57" s="863"/>
      <c r="P57" s="865"/>
      <c r="Q57" s="865"/>
      <c r="R57" s="45" t="s">
        <v>15</v>
      </c>
      <c r="S57" s="531">
        <v>252</v>
      </c>
      <c r="T57" s="138">
        <f t="shared" si="12"/>
        <v>3168</v>
      </c>
      <c r="U57" s="139">
        <f t="shared" si="13"/>
        <v>0</v>
      </c>
    </row>
    <row r="58" spans="1:21" ht="16.5" thickBot="1" x14ac:dyDescent="0.3">
      <c r="A58" s="792"/>
      <c r="B58" s="792"/>
      <c r="C58" s="192">
        <v>0</v>
      </c>
      <c r="D58" s="192">
        <v>0</v>
      </c>
      <c r="E58" s="147">
        <f t="shared" si="10"/>
        <v>0</v>
      </c>
      <c r="F58" s="535" t="s">
        <v>15</v>
      </c>
      <c r="G58" s="519">
        <v>253</v>
      </c>
      <c r="H58" s="485">
        <f>'0664'!H58</f>
        <v>6685</v>
      </c>
      <c r="I58" s="120">
        <f t="shared" si="11"/>
        <v>0</v>
      </c>
      <c r="N58" s="863"/>
      <c r="O58" s="863"/>
      <c r="P58" s="866"/>
      <c r="Q58" s="866"/>
      <c r="R58" s="45" t="s">
        <v>15</v>
      </c>
      <c r="S58" s="531">
        <v>253</v>
      </c>
      <c r="T58" s="138">
        <f t="shared" si="12"/>
        <v>6685</v>
      </c>
      <c r="U58" s="141">
        <f t="shared" si="13"/>
        <v>0</v>
      </c>
    </row>
    <row r="59" spans="1:21" ht="16.5" thickBot="1" x14ac:dyDescent="0.3">
      <c r="A59" s="767" t="s">
        <v>16</v>
      </c>
      <c r="B59" s="767"/>
      <c r="C59" s="116">
        <f>SUM(C50:C58)</f>
        <v>32.21</v>
      </c>
      <c r="D59" s="116">
        <f>SUM(D50:D58)</f>
        <v>28.25</v>
      </c>
      <c r="E59" s="116">
        <f>SUM(E50:E58)</f>
        <v>60.46</v>
      </c>
      <c r="F59" s="767" t="s">
        <v>78</v>
      </c>
      <c r="G59" s="767"/>
      <c r="H59" s="767"/>
      <c r="I59" s="116">
        <f>SUM(I50:I58)</f>
        <v>77871.92</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355.53999999999996</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500"/>
      <c r="G63" s="47" t="s">
        <v>13</v>
      </c>
      <c r="H63" s="145">
        <f>ROUND(C62/H62,6)</f>
        <v>1.864E-3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360.27619999999996</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537"/>
      <c r="G66" s="48" t="s">
        <v>13</v>
      </c>
      <c r="H66" s="149">
        <f>ROUND(C65/H65,6)</f>
        <v>1.6800000000000001E-3</v>
      </c>
      <c r="I66" s="149"/>
      <c r="N66" s="845" t="s">
        <v>20</v>
      </c>
      <c r="O66" s="845"/>
      <c r="P66" s="845"/>
      <c r="Q66" s="845"/>
      <c r="R66" s="845"/>
      <c r="S66" s="845"/>
      <c r="T66" s="867">
        <f>ROUND(P65/T65,6)</f>
        <v>0</v>
      </c>
      <c r="U66" s="867"/>
    </row>
    <row r="67" spans="1:21" s="61" customFormat="1" x14ac:dyDescent="0.25">
      <c r="A67" s="500"/>
      <c r="G67" s="47"/>
      <c r="H67" s="150"/>
      <c r="I67" s="150"/>
      <c r="N67" s="510"/>
      <c r="O67" s="510"/>
      <c r="P67" s="510"/>
      <c r="Q67" s="510"/>
      <c r="R67" s="506"/>
      <c r="S67" s="510"/>
      <c r="T67" s="153"/>
      <c r="U67" s="520"/>
    </row>
    <row r="68" spans="1:21" x14ac:dyDescent="0.25">
      <c r="A68" s="764" t="s">
        <v>87</v>
      </c>
      <c r="B68" s="764"/>
      <c r="C68" s="764"/>
      <c r="D68" s="500"/>
      <c r="E68" s="517" t="s">
        <v>3</v>
      </c>
      <c r="F68" s="544">
        <f>'0664'!F68</f>
        <v>42029577</v>
      </c>
      <c r="G68" s="508" t="s">
        <v>6</v>
      </c>
      <c r="H68" s="155">
        <f>H63</f>
        <v>1.864E-3</v>
      </c>
      <c r="I68" s="120">
        <f>ROUND(F68*H68,2)</f>
        <v>78343.13</v>
      </c>
      <c r="N68" s="840" t="s">
        <v>87</v>
      </c>
      <c r="O68" s="840"/>
      <c r="P68" s="840"/>
      <c r="Q68" s="50"/>
      <c r="R68" s="156">
        <f>F68</f>
        <v>42029577</v>
      </c>
      <c r="S68" s="509" t="s">
        <v>6</v>
      </c>
      <c r="T68" s="157">
        <f>T63</f>
        <v>0</v>
      </c>
      <c r="U68" s="115">
        <f>ROUND(R68*T68,0)</f>
        <v>0</v>
      </c>
    </row>
    <row r="69" spans="1:21" x14ac:dyDescent="0.25">
      <c r="A69" s="811" t="s">
        <v>98</v>
      </c>
      <c r="B69" s="764"/>
      <c r="C69" s="764"/>
      <c r="D69" s="500"/>
      <c r="E69" s="517"/>
      <c r="F69" s="202"/>
      <c r="G69" s="508"/>
      <c r="H69" s="155"/>
      <c r="I69" s="120"/>
      <c r="N69" s="840" t="s">
        <v>86</v>
      </c>
      <c r="O69" s="840"/>
      <c r="P69" s="840"/>
      <c r="Q69" s="158"/>
      <c r="R69" s="158"/>
      <c r="S69" s="158"/>
      <c r="T69" s="158"/>
      <c r="U69" s="158"/>
    </row>
    <row r="70" spans="1:21" x14ac:dyDescent="0.25">
      <c r="A70" s="813" t="s">
        <v>143</v>
      </c>
      <c r="B70" s="764"/>
      <c r="C70" s="764"/>
      <c r="D70" s="500"/>
      <c r="E70" s="517" t="s">
        <v>3</v>
      </c>
      <c r="F70" s="544">
        <f>'0664'!F70</f>
        <v>0</v>
      </c>
      <c r="G70" s="508" t="s">
        <v>6</v>
      </c>
      <c r="H70" s="155">
        <f>H63</f>
        <v>1.864E-3</v>
      </c>
      <c r="I70" s="120">
        <f>ROUND(F70*H70,2)</f>
        <v>0</v>
      </c>
      <c r="N70" s="505"/>
      <c r="O70" s="505"/>
      <c r="P70" s="505"/>
      <c r="Q70" s="50"/>
      <c r="R70" s="156">
        <f>F70</f>
        <v>0</v>
      </c>
      <c r="S70" s="509" t="s">
        <v>6</v>
      </c>
      <c r="T70" s="157">
        <f>T63</f>
        <v>0</v>
      </c>
      <c r="U70" s="115">
        <f>ROUND(R70*T70,0)</f>
        <v>0</v>
      </c>
    </row>
    <row r="71" spans="1:21" x14ac:dyDescent="0.25">
      <c r="A71" s="764" t="s">
        <v>85</v>
      </c>
      <c r="B71" s="764"/>
      <c r="C71" s="764"/>
      <c r="D71" s="556" t="s">
        <v>358</v>
      </c>
      <c r="E71" s="610" t="s">
        <v>372</v>
      </c>
      <c r="F71" s="544">
        <f>'0664'!F71</f>
        <v>146607</v>
      </c>
      <c r="G71" s="508" t="s">
        <v>6</v>
      </c>
      <c r="H71" s="155">
        <f>H63</f>
        <v>1.864E-3</v>
      </c>
      <c r="I71" s="120">
        <f>IF(D71="Y",ROUND(F71*H71,2),0)</f>
        <v>273.27999999999997</v>
      </c>
      <c r="N71" s="840" t="s">
        <v>85</v>
      </c>
      <c r="O71" s="840"/>
      <c r="P71" s="840"/>
      <c r="Q71" s="50"/>
      <c r="R71" s="156">
        <f>F71</f>
        <v>146607</v>
      </c>
      <c r="S71" s="509" t="s">
        <v>6</v>
      </c>
      <c r="T71" s="157">
        <f>T63</f>
        <v>0</v>
      </c>
      <c r="U71" s="115">
        <f>ROUND(R71*T71,0)</f>
        <v>0</v>
      </c>
    </row>
    <row r="72" spans="1:21" x14ac:dyDescent="0.25">
      <c r="A72" s="764" t="s">
        <v>84</v>
      </c>
      <c r="B72" s="764"/>
      <c r="C72" s="764"/>
      <c r="D72" s="500"/>
      <c r="E72" s="517" t="s">
        <v>3</v>
      </c>
      <c r="F72" s="544">
        <f>'0664'!F72</f>
        <v>11337910</v>
      </c>
      <c r="G72" s="508" t="s">
        <v>6</v>
      </c>
      <c r="H72" s="155">
        <f>H63</f>
        <v>1.864E-3</v>
      </c>
      <c r="I72" s="120">
        <f>ROUND(F72*H72,2)</f>
        <v>21133.86</v>
      </c>
      <c r="N72" s="840" t="s">
        <v>84</v>
      </c>
      <c r="O72" s="840"/>
      <c r="P72" s="840"/>
      <c r="Q72" s="50"/>
      <c r="R72" s="156">
        <f>F72</f>
        <v>11337910</v>
      </c>
      <c r="S72" s="509" t="s">
        <v>6</v>
      </c>
      <c r="T72" s="157">
        <f>T63</f>
        <v>0</v>
      </c>
      <c r="U72" s="115">
        <f>ROUND(R72*T72,0)</f>
        <v>0</v>
      </c>
    </row>
    <row r="73" spans="1:21" x14ac:dyDescent="0.25">
      <c r="A73" s="764" t="s">
        <v>83</v>
      </c>
      <c r="B73" s="764"/>
      <c r="C73" s="764"/>
      <c r="D73" s="500"/>
      <c r="E73" s="517" t="s">
        <v>3</v>
      </c>
      <c r="F73" s="544">
        <f>'0664'!F73</f>
        <v>13882385</v>
      </c>
      <c r="G73" s="508" t="s">
        <v>6</v>
      </c>
      <c r="H73" s="155">
        <f>H63</f>
        <v>1.864E-3</v>
      </c>
      <c r="I73" s="120">
        <f>ROUND(F73*H73,2)</f>
        <v>25876.77</v>
      </c>
      <c r="N73" s="840" t="s">
        <v>83</v>
      </c>
      <c r="O73" s="840"/>
      <c r="P73" s="840"/>
      <c r="Q73" s="50"/>
      <c r="R73" s="159">
        <f>F73</f>
        <v>13882385</v>
      </c>
      <c r="S73" s="509" t="s">
        <v>6</v>
      </c>
      <c r="T73" s="157">
        <f>T63</f>
        <v>0</v>
      </c>
      <c r="U73" s="115">
        <f>ROUND(R73*T73,0)</f>
        <v>0</v>
      </c>
    </row>
    <row r="74" spans="1:21" x14ac:dyDescent="0.25">
      <c r="A74" s="337" t="s">
        <v>101</v>
      </c>
      <c r="D74" s="500"/>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500"/>
      <c r="C76" s="500"/>
      <c r="D76" s="500"/>
      <c r="E76" s="500"/>
      <c r="F76" s="500"/>
      <c r="G76" s="500"/>
      <c r="H76" s="500"/>
      <c r="I76" s="160"/>
      <c r="N76" s="687" t="s">
        <v>44</v>
      </c>
      <c r="O76" s="505"/>
      <c r="P76" s="505"/>
      <c r="Q76" s="505"/>
      <c r="R76" s="505"/>
      <c r="S76" s="505"/>
      <c r="T76" s="505"/>
      <c r="U76" s="122"/>
    </row>
    <row r="77" spans="1:21" x14ac:dyDescent="0.25">
      <c r="A77" s="765" t="s">
        <v>387</v>
      </c>
      <c r="B77" s="764"/>
      <c r="C77" s="764"/>
      <c r="D77" s="607"/>
      <c r="E77" s="610" t="s">
        <v>3</v>
      </c>
      <c r="F77" s="544">
        <f>'0664'!F77</f>
        <v>7462542</v>
      </c>
      <c r="G77" s="608" t="s">
        <v>6</v>
      </c>
      <c r="H77" s="155">
        <f>H63</f>
        <v>1.864E-3</v>
      </c>
      <c r="I77" s="120">
        <f t="shared" ref="I77:I82" si="14">ROUND(F77*H77,2)</f>
        <v>13910.18</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1.864E-3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500"/>
      <c r="E79" s="517" t="s">
        <v>4</v>
      </c>
      <c r="F79" s="544">
        <f>'0664'!F79</f>
        <v>0</v>
      </c>
      <c r="G79" s="508" t="s">
        <v>6</v>
      </c>
      <c r="H79" s="155">
        <f>H66</f>
        <v>1.6800000000000001E-3</v>
      </c>
      <c r="I79" s="120">
        <f t="shared" si="14"/>
        <v>0</v>
      </c>
      <c r="N79" s="860" t="s">
        <v>414</v>
      </c>
      <c r="O79" s="840"/>
      <c r="P79" s="840"/>
      <c r="Q79" s="50"/>
      <c r="R79" s="159">
        <f t="shared" si="15"/>
        <v>0</v>
      </c>
      <c r="S79" s="509" t="s">
        <v>6</v>
      </c>
      <c r="T79" s="157">
        <f>T66</f>
        <v>0</v>
      </c>
      <c r="U79" s="115">
        <f t="shared" si="16"/>
        <v>0</v>
      </c>
    </row>
    <row r="80" spans="1:21" x14ac:dyDescent="0.25">
      <c r="A80" s="765" t="s">
        <v>415</v>
      </c>
      <c r="B80" s="764"/>
      <c r="C80" s="764"/>
      <c r="D80" s="500"/>
      <c r="E80" s="517" t="s">
        <v>4</v>
      </c>
      <c r="F80" s="544">
        <f>'0664'!F80</f>
        <v>8562788</v>
      </c>
      <c r="G80" s="508" t="s">
        <v>6</v>
      </c>
      <c r="H80" s="155">
        <f>H66</f>
        <v>1.6800000000000001E-3</v>
      </c>
      <c r="I80" s="120">
        <f t="shared" si="14"/>
        <v>14385.48</v>
      </c>
      <c r="N80" s="860" t="s">
        <v>415</v>
      </c>
      <c r="O80" s="840"/>
      <c r="P80" s="840"/>
      <c r="Q80" s="50"/>
      <c r="R80" s="159">
        <f t="shared" si="15"/>
        <v>8562788</v>
      </c>
      <c r="S80" s="509" t="s">
        <v>6</v>
      </c>
      <c r="T80" s="157">
        <f>T66</f>
        <v>0</v>
      </c>
      <c r="U80" s="115">
        <f t="shared" si="16"/>
        <v>0</v>
      </c>
    </row>
    <row r="81" spans="1:21" x14ac:dyDescent="0.25">
      <c r="A81" s="765" t="s">
        <v>419</v>
      </c>
      <c r="B81" s="764"/>
      <c r="C81" s="764"/>
      <c r="D81" s="500"/>
      <c r="E81" s="517" t="s">
        <v>4</v>
      </c>
      <c r="F81" s="544">
        <f>'0664'!F81</f>
        <v>168663228</v>
      </c>
      <c r="G81" s="508" t="s">
        <v>6</v>
      </c>
      <c r="H81" s="155">
        <f>H66</f>
        <v>1.6800000000000001E-3</v>
      </c>
      <c r="I81" s="120">
        <f t="shared" si="14"/>
        <v>283354.21999999997</v>
      </c>
      <c r="N81" s="860" t="s">
        <v>419</v>
      </c>
      <c r="O81" s="840"/>
      <c r="P81" s="840"/>
      <c r="Q81" s="50"/>
      <c r="R81" s="159">
        <f t="shared" si="15"/>
        <v>168663228</v>
      </c>
      <c r="S81" s="509" t="s">
        <v>6</v>
      </c>
      <c r="T81" s="157">
        <f>T66</f>
        <v>0</v>
      </c>
      <c r="U81" s="115">
        <f t="shared" si="16"/>
        <v>0</v>
      </c>
    </row>
    <row r="82" spans="1:21" x14ac:dyDescent="0.25">
      <c r="A82" s="765" t="s">
        <v>420</v>
      </c>
      <c r="B82" s="764"/>
      <c r="C82" s="764"/>
      <c r="D82" s="500"/>
      <c r="E82" s="517" t="s">
        <v>4</v>
      </c>
      <c r="F82" s="544">
        <f>'0664'!F82</f>
        <v>0</v>
      </c>
      <c r="G82" s="508" t="s">
        <v>6</v>
      </c>
      <c r="H82" s="155">
        <f>H66</f>
        <v>1.6800000000000001E-3</v>
      </c>
      <c r="I82" s="120">
        <f t="shared" si="14"/>
        <v>0</v>
      </c>
      <c r="N82" s="860" t="s">
        <v>420</v>
      </c>
      <c r="O82" s="840"/>
      <c r="P82" s="840"/>
      <c r="Q82" s="50"/>
      <c r="R82" s="156">
        <f t="shared" si="15"/>
        <v>0</v>
      </c>
      <c r="S82" s="509" t="s">
        <v>6</v>
      </c>
      <c r="T82" s="157">
        <f>T66</f>
        <v>0</v>
      </c>
      <c r="U82" s="115">
        <f t="shared" si="16"/>
        <v>0</v>
      </c>
    </row>
    <row r="83" spans="1:21" x14ac:dyDescent="0.25">
      <c r="A83" s="717" t="s">
        <v>425</v>
      </c>
      <c r="B83" s="500"/>
      <c r="C83" s="500"/>
      <c r="D83" s="500"/>
      <c r="E83" s="683" t="s">
        <v>45</v>
      </c>
      <c r="F83" s="544"/>
      <c r="G83" s="508"/>
      <c r="H83" s="155"/>
      <c r="I83" s="120">
        <v>48831.22</v>
      </c>
      <c r="N83" s="719" t="s">
        <v>425</v>
      </c>
      <c r="O83" s="505"/>
      <c r="P83" s="505"/>
      <c r="Q83" s="50"/>
      <c r="R83" s="159">
        <f t="shared" si="15"/>
        <v>0</v>
      </c>
      <c r="S83" s="509" t="s">
        <v>6</v>
      </c>
      <c r="T83" s="157">
        <f>T66</f>
        <v>0</v>
      </c>
      <c r="U83" s="115">
        <f>IF($H$116=1,I83,0)</f>
        <v>0</v>
      </c>
    </row>
    <row r="84" spans="1:21" x14ac:dyDescent="0.25">
      <c r="A84" s="765" t="s">
        <v>457</v>
      </c>
      <c r="B84" s="764"/>
      <c r="C84" s="764"/>
      <c r="D84" s="744"/>
      <c r="E84" s="747" t="s">
        <v>3</v>
      </c>
      <c r="F84" s="544">
        <f>'0664'!F84</f>
        <v>21614343</v>
      </c>
      <c r="G84" s="749" t="s">
        <v>6</v>
      </c>
      <c r="H84" s="155">
        <f>H63</f>
        <v>1.864E-3</v>
      </c>
      <c r="I84" s="120">
        <f>ROUND(F84*H84,2)</f>
        <v>40289.14</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500"/>
      <c r="C87" s="780" t="s">
        <v>74</v>
      </c>
      <c r="D87" s="780"/>
      <c r="E87" s="500"/>
      <c r="F87" s="535" t="s">
        <v>37</v>
      </c>
      <c r="G87" s="500"/>
      <c r="H87" s="500"/>
      <c r="I87" s="500"/>
      <c r="N87" s="505"/>
      <c r="O87" s="505"/>
      <c r="P87" s="505"/>
      <c r="Q87" s="505"/>
      <c r="R87" s="505"/>
      <c r="S87" s="505"/>
      <c r="T87" s="505"/>
      <c r="U87" s="505"/>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04"/>
      <c r="B89" s="64" t="s">
        <v>150</v>
      </c>
      <c r="C89" s="781">
        <f>H13+H14+H19+H22+H25</f>
        <v>0</v>
      </c>
      <c r="D89" s="781"/>
      <c r="E89" s="54">
        <f>H8</f>
        <v>1.0424</v>
      </c>
      <c r="F89" s="545">
        <f>'0664'!F89</f>
        <v>966.9</v>
      </c>
      <c r="G89" s="536" t="s">
        <v>13</v>
      </c>
      <c r="H89" s="120">
        <f>ROUND(C89*E89*F89,2)</f>
        <v>0</v>
      </c>
      <c r="I89" s="124"/>
      <c r="N89" s="503"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360.27619999999996</v>
      </c>
      <c r="D90" s="781"/>
      <c r="E90" s="54">
        <f>H8</f>
        <v>1.0424</v>
      </c>
      <c r="F90" s="545">
        <f>'0664'!F90</f>
        <v>923.19</v>
      </c>
      <c r="G90" s="536" t="s">
        <v>13</v>
      </c>
      <c r="H90" s="120">
        <f>ROUND(C90*E90*F90,2)</f>
        <v>346705.77</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53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360.27619999999996</v>
      </c>
      <c r="D92" s="782"/>
      <c r="E92" s="168"/>
      <c r="F92" s="168"/>
      <c r="G92" s="168"/>
      <c r="H92" s="169" t="s">
        <v>145</v>
      </c>
      <c r="I92" s="120">
        <f>IF(A1=75,0,H91+H90+H89)</f>
        <v>346705.77</v>
      </c>
      <c r="N92" s="514"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515"/>
      <c r="B94" s="515"/>
      <c r="C94" s="515"/>
      <c r="D94" s="515"/>
      <c r="E94" s="515"/>
      <c r="F94" s="515"/>
      <c r="G94" s="515"/>
      <c r="H94" s="515"/>
      <c r="I94" s="515"/>
      <c r="N94" s="516"/>
      <c r="O94" s="516"/>
      <c r="P94" s="516"/>
      <c r="Q94" s="516"/>
      <c r="R94" s="516"/>
      <c r="S94" s="516"/>
      <c r="T94" s="516"/>
      <c r="U94" s="516"/>
    </row>
    <row r="95" spans="1:21" x14ac:dyDescent="0.25">
      <c r="A95" s="745" t="s">
        <v>459</v>
      </c>
      <c r="C95" s="517"/>
      <c r="D95" s="500"/>
      <c r="E95" s="683" t="s">
        <v>102</v>
      </c>
      <c r="F95" s="774"/>
      <c r="G95" s="774"/>
      <c r="H95" s="774"/>
      <c r="I95" s="774"/>
      <c r="N95" s="860" t="s">
        <v>459</v>
      </c>
      <c r="O95" s="840"/>
      <c r="P95" s="840"/>
      <c r="Q95" s="879"/>
      <c r="R95" s="879"/>
      <c r="S95" s="879"/>
      <c r="T95" s="879"/>
      <c r="U95" s="122"/>
    </row>
    <row r="96" spans="1:21" x14ac:dyDescent="0.25">
      <c r="B96" s="500"/>
      <c r="C96" s="600" t="s">
        <v>435</v>
      </c>
      <c r="D96" s="669" t="s">
        <v>436</v>
      </c>
      <c r="E96" s="108" t="s">
        <v>153</v>
      </c>
      <c r="F96" s="517"/>
      <c r="G96" s="517"/>
      <c r="H96" s="517"/>
      <c r="I96" s="517"/>
      <c r="N96" s="505"/>
      <c r="O96" s="505"/>
      <c r="P96" s="505"/>
      <c r="Q96" s="518"/>
      <c r="R96" s="518"/>
      <c r="S96" s="518"/>
      <c r="T96" s="518"/>
      <c r="U96" s="122"/>
    </row>
    <row r="97" spans="1:21" x14ac:dyDescent="0.25">
      <c r="B97" s="500"/>
      <c r="C97" s="622" t="s">
        <v>2</v>
      </c>
      <c r="D97" s="622" t="s">
        <v>2</v>
      </c>
      <c r="E97" s="622" t="s">
        <v>2</v>
      </c>
      <c r="F97" s="517"/>
      <c r="G97" s="517"/>
      <c r="H97" s="517"/>
      <c r="I97" s="517"/>
      <c r="N97" s="505"/>
      <c r="O97" s="505"/>
      <c r="P97" s="505"/>
      <c r="Q97" s="518"/>
      <c r="R97" s="518"/>
      <c r="S97" s="518"/>
      <c r="T97" s="518"/>
      <c r="U97" s="122"/>
    </row>
    <row r="98" spans="1:21" x14ac:dyDescent="0.25">
      <c r="A98" s="767" t="s">
        <v>66</v>
      </c>
      <c r="B98" s="767"/>
      <c r="C98" s="192">
        <v>0</v>
      </c>
      <c r="D98" s="192">
        <v>1</v>
      </c>
      <c r="E98" s="193">
        <f>(C98+D98)/2</f>
        <v>0.5</v>
      </c>
      <c r="F98" s="173" t="s">
        <v>39</v>
      </c>
      <c r="G98" s="546">
        <f>'0664'!G98</f>
        <v>486</v>
      </c>
      <c r="I98" s="120">
        <f>ROUND(G98*E98,2)</f>
        <v>243</v>
      </c>
      <c r="N98" s="873" t="s">
        <v>66</v>
      </c>
      <c r="O98" s="873"/>
      <c r="P98" s="874">
        <f>IF(H116=1,E98,0)</f>
        <v>0</v>
      </c>
      <c r="Q98" s="874"/>
      <c r="R98" s="874"/>
      <c r="S98" s="528" t="s">
        <v>39</v>
      </c>
      <c r="T98" s="72">
        <f>G98</f>
        <v>486</v>
      </c>
      <c r="U98" s="115">
        <f>ROUND(T98*P98,0)</f>
        <v>0</v>
      </c>
    </row>
    <row r="99" spans="1:21" x14ac:dyDescent="0.25">
      <c r="A99" s="767" t="s">
        <v>82</v>
      </c>
      <c r="B99" s="767"/>
      <c r="C99" s="192">
        <v>0</v>
      </c>
      <c r="D99" s="192">
        <v>0</v>
      </c>
      <c r="E99" s="193">
        <f>(C99+D99)/2</f>
        <v>0</v>
      </c>
      <c r="F99" s="173" t="s">
        <v>39</v>
      </c>
      <c r="G99" s="546">
        <f>'0664'!G99</f>
        <v>1498</v>
      </c>
      <c r="I99" s="120">
        <f>ROUND(G99*E99,2)</f>
        <v>0</v>
      </c>
      <c r="N99" s="873" t="s">
        <v>82</v>
      </c>
      <c r="O99" s="873"/>
      <c r="P99" s="847"/>
      <c r="Q99" s="847"/>
      <c r="R99" s="847"/>
      <c r="S99" s="528" t="s">
        <v>39</v>
      </c>
      <c r="T99" s="72">
        <f>G99</f>
        <v>1498</v>
      </c>
      <c r="U99" s="115">
        <f>ROUND(T99*P99,0)</f>
        <v>0</v>
      </c>
    </row>
    <row r="100" spans="1:21" x14ac:dyDescent="0.25">
      <c r="A100" s="174"/>
      <c r="B100" s="174"/>
      <c r="C100" s="89"/>
      <c r="D100" s="89"/>
      <c r="E100" s="89"/>
      <c r="F100" s="89"/>
      <c r="G100" s="175"/>
      <c r="H100" s="176"/>
      <c r="I100" s="120"/>
      <c r="N100" s="513"/>
      <c r="O100" s="513"/>
      <c r="P100" s="178"/>
      <c r="Q100" s="178"/>
      <c r="R100" s="178"/>
      <c r="S100" s="528"/>
      <c r="T100" s="72"/>
      <c r="U100" s="122"/>
    </row>
    <row r="101" spans="1:21" x14ac:dyDescent="0.25">
      <c r="A101" s="174"/>
      <c r="B101" s="174"/>
      <c r="C101" s="89"/>
      <c r="D101" s="89"/>
      <c r="E101" s="89"/>
      <c r="F101" s="89"/>
      <c r="G101" s="175"/>
      <c r="H101" s="176"/>
      <c r="I101" s="120"/>
      <c r="N101" s="513"/>
      <c r="O101" s="513"/>
      <c r="P101" s="178"/>
      <c r="Q101" s="178"/>
      <c r="R101" s="178"/>
      <c r="S101" s="528"/>
      <c r="T101" s="72"/>
      <c r="U101" s="122"/>
    </row>
    <row r="102" spans="1:21" hidden="1" x14ac:dyDescent="0.25">
      <c r="A102" s="765" t="s">
        <v>374</v>
      </c>
      <c r="B102" s="764"/>
      <c r="C102" s="764"/>
      <c r="D102" s="500"/>
      <c r="E102" s="686" t="s">
        <v>41</v>
      </c>
      <c r="F102" s="780"/>
      <c r="G102" s="780"/>
      <c r="H102" s="780"/>
      <c r="I102" s="780"/>
      <c r="N102" s="860" t="s">
        <v>383</v>
      </c>
      <c r="O102" s="840"/>
      <c r="P102" s="840"/>
      <c r="Q102" s="840"/>
      <c r="R102" s="840"/>
      <c r="S102" s="840"/>
      <c r="T102" s="840"/>
      <c r="U102" s="840"/>
    </row>
    <row r="103" spans="1:21" hidden="1" x14ac:dyDescent="0.25">
      <c r="B103" s="500"/>
      <c r="C103" s="776" t="s">
        <v>93</v>
      </c>
      <c r="D103" s="776"/>
      <c r="E103" s="776"/>
      <c r="F103" s="519"/>
      <c r="G103" s="519"/>
      <c r="H103" s="536" t="s">
        <v>154</v>
      </c>
      <c r="I103" s="519"/>
      <c r="N103" s="505"/>
      <c r="O103" s="505"/>
      <c r="P103" s="505"/>
      <c r="Q103" s="505"/>
      <c r="R103" s="505"/>
      <c r="S103" s="505"/>
      <c r="T103" s="505"/>
      <c r="U103" s="505"/>
    </row>
    <row r="104" spans="1:21" hidden="1" x14ac:dyDescent="0.25">
      <c r="B104" s="500"/>
      <c r="C104" s="600" t="s">
        <v>392</v>
      </c>
      <c r="D104" s="600" t="s">
        <v>370</v>
      </c>
      <c r="E104" s="185" t="s">
        <v>8</v>
      </c>
      <c r="F104" s="883" t="s">
        <v>155</v>
      </c>
      <c r="G104" s="770"/>
      <c r="H104" s="508" t="s">
        <v>38</v>
      </c>
      <c r="I104" s="519"/>
      <c r="N104" s="505"/>
      <c r="O104" s="505"/>
      <c r="P104" s="505"/>
      <c r="Q104" s="505"/>
      <c r="R104" s="505"/>
      <c r="S104" s="505"/>
      <c r="T104" s="505"/>
      <c r="U104" s="505"/>
    </row>
    <row r="105" spans="1:21" hidden="1" x14ac:dyDescent="0.25">
      <c r="A105" s="776" t="s">
        <v>96</v>
      </c>
      <c r="B105" s="776"/>
      <c r="C105" s="109" t="s">
        <v>2</v>
      </c>
      <c r="D105" s="109" t="s">
        <v>2</v>
      </c>
      <c r="E105" s="512" t="s">
        <v>2</v>
      </c>
      <c r="F105" s="776" t="s">
        <v>37</v>
      </c>
      <c r="G105" s="776"/>
      <c r="H105" s="512" t="s">
        <v>37</v>
      </c>
      <c r="I105" s="512" t="s">
        <v>8</v>
      </c>
      <c r="N105" s="859" t="s">
        <v>67</v>
      </c>
      <c r="O105" s="859"/>
      <c r="P105" s="874" t="s">
        <v>93</v>
      </c>
      <c r="Q105" s="874"/>
      <c r="R105" s="859" t="s">
        <v>68</v>
      </c>
      <c r="S105" s="859"/>
      <c r="T105" s="507" t="s">
        <v>69</v>
      </c>
      <c r="U105" s="507" t="s">
        <v>8</v>
      </c>
    </row>
    <row r="106" spans="1:21" hidden="1" x14ac:dyDescent="0.25">
      <c r="A106" s="771" t="s">
        <v>70</v>
      </c>
      <c r="B106" s="771"/>
      <c r="C106" s="190">
        <v>0</v>
      </c>
      <c r="D106" s="190">
        <v>0</v>
      </c>
      <c r="E106" s="191">
        <f>IF(D$59=0,C106*2,C106+D106)</f>
        <v>0</v>
      </c>
      <c r="F106" s="889">
        <v>0</v>
      </c>
      <c r="G106" s="889"/>
      <c r="H106" s="75">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93">
        <f>IF(D$59=0,C107*2,C107+D107)</f>
        <v>0</v>
      </c>
      <c r="F107" s="810">
        <f>ROUND(F106/2,2)</f>
        <v>0</v>
      </c>
      <c r="G107" s="810"/>
      <c r="H107" s="77">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93">
        <f>IF(D$59=0,C108*2,C108+D108)</f>
        <v>0</v>
      </c>
      <c r="F108" s="773"/>
      <c r="G108" s="773"/>
      <c r="H108" s="79">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508"/>
      <c r="B110" s="508"/>
      <c r="C110" s="81"/>
      <c r="D110" s="81"/>
      <c r="E110" s="81"/>
      <c r="F110" s="81"/>
      <c r="G110" s="81"/>
      <c r="H110" s="81"/>
      <c r="I110" s="120"/>
      <c r="N110" s="509"/>
      <c r="O110" s="509"/>
      <c r="P110" s="82"/>
      <c r="Q110" s="82"/>
      <c r="R110" s="82"/>
      <c r="S110" s="82"/>
      <c r="T110" s="82"/>
      <c r="U110" s="187"/>
    </row>
    <row r="111" spans="1:21" x14ac:dyDescent="0.25">
      <c r="A111" s="765" t="s">
        <v>460</v>
      </c>
      <c r="B111" s="764"/>
      <c r="C111" s="764"/>
      <c r="D111" s="500"/>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500"/>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500"/>
      <c r="C113" s="500"/>
      <c r="D113" s="500"/>
      <c r="E113" s="502"/>
      <c r="F113" s="502"/>
      <c r="G113" s="502"/>
      <c r="H113" s="502"/>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2593472.6800000002</v>
      </c>
      <c r="N114" s="503"/>
      <c r="O114" s="503"/>
      <c r="P114" s="503"/>
      <c r="Q114" s="503"/>
      <c r="R114" s="503"/>
      <c r="S114" s="503"/>
      <c r="T114" s="503"/>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500"/>
      <c r="C117" s="500"/>
      <c r="D117" s="500"/>
      <c r="E117" s="500"/>
      <c r="F117" s="500"/>
      <c r="G117" s="500"/>
      <c r="H117" s="89"/>
      <c r="I117" s="120"/>
      <c r="N117" s="88" t="s">
        <v>108</v>
      </c>
      <c r="O117" s="88"/>
      <c r="P117" s="88"/>
      <c r="Q117" s="88"/>
      <c r="R117" s="88"/>
      <c r="S117" s="88"/>
      <c r="T117" s="88"/>
      <c r="U117" s="88"/>
    </row>
    <row r="118" spans="1:21" x14ac:dyDescent="0.25">
      <c r="A118" s="3" t="s">
        <v>104</v>
      </c>
      <c r="B118" s="500"/>
      <c r="C118" s="500"/>
      <c r="D118" s="500"/>
      <c r="E118" s="500"/>
      <c r="F118" s="500"/>
      <c r="G118" s="396"/>
      <c r="H118" s="188">
        <f>IF(H116=1,I116,I114)</f>
        <v>2593472.6800000002</v>
      </c>
      <c r="I118" s="113">
        <f>ROUND(IF(E29=0,0,IF(E29&gt;250,-(((250/E29)*H118)*IF(G118="H",0.02,0.05)),IF(G118="H",-0.02*H118,-0.05*H118))),2)</f>
        <v>-91180.76</v>
      </c>
      <c r="N118" s="90" t="s">
        <v>109</v>
      </c>
      <c r="O118" s="88"/>
      <c r="P118" s="88"/>
      <c r="Q118" s="88"/>
      <c r="R118" s="88"/>
      <c r="S118" s="88"/>
      <c r="T118" s="88"/>
      <c r="U118" s="88"/>
    </row>
    <row r="119" spans="1:21" x14ac:dyDescent="0.25">
      <c r="B119" s="500"/>
      <c r="C119" s="500"/>
      <c r="D119" s="500"/>
      <c r="E119" s="500"/>
      <c r="F119" s="500"/>
      <c r="G119" s="500"/>
      <c r="H119" s="89"/>
      <c r="I119" s="120"/>
      <c r="N119" s="501"/>
      <c r="O119" s="501"/>
      <c r="P119" s="501"/>
      <c r="Q119" s="501"/>
      <c r="R119" s="501"/>
      <c r="S119" s="501"/>
      <c r="T119" s="501"/>
      <c r="U119" s="501"/>
    </row>
    <row r="120" spans="1:21" x14ac:dyDescent="0.25">
      <c r="A120" s="552" t="s">
        <v>105</v>
      </c>
      <c r="B120" s="553"/>
      <c r="C120" s="553"/>
      <c r="D120" s="553"/>
      <c r="E120" s="553"/>
      <c r="F120" s="553"/>
      <c r="G120" s="553"/>
      <c r="H120" s="554"/>
      <c r="I120" s="555">
        <f>I114+I118</f>
        <v>2502291.9200000004</v>
      </c>
      <c r="N120" s="501"/>
      <c r="O120" s="501"/>
      <c r="P120" s="501"/>
      <c r="Q120" s="501"/>
      <c r="R120" s="501"/>
      <c r="S120" s="501"/>
      <c r="T120" s="501"/>
      <c r="U120" s="501"/>
    </row>
    <row r="121" spans="1:21" x14ac:dyDescent="0.25">
      <c r="B121" s="500"/>
      <c r="C121" s="500"/>
      <c r="D121" s="500"/>
      <c r="E121" s="500"/>
      <c r="F121" s="500"/>
      <c r="G121" s="500"/>
      <c r="H121" s="89"/>
      <c r="I121" s="120"/>
      <c r="N121" s="501"/>
      <c r="O121" s="501"/>
      <c r="P121" s="501"/>
      <c r="Q121" s="501"/>
      <c r="R121" s="501"/>
      <c r="S121" s="501"/>
      <c r="T121" s="501"/>
      <c r="U121" s="501"/>
    </row>
    <row r="122" spans="1:21" x14ac:dyDescent="0.25">
      <c r="A122" s="3" t="s">
        <v>106</v>
      </c>
      <c r="B122" s="500"/>
      <c r="C122" s="189"/>
      <c r="D122" s="500"/>
      <c r="F122" s="500"/>
      <c r="G122" s="500"/>
      <c r="H122" s="89"/>
      <c r="I122" s="424">
        <v>-2512231.7000000002</v>
      </c>
      <c r="N122" s="501"/>
      <c r="O122" s="501"/>
      <c r="P122" s="501"/>
      <c r="Q122" s="501"/>
      <c r="R122" s="501"/>
      <c r="S122" s="501"/>
      <c r="T122" s="501"/>
      <c r="U122" s="501"/>
    </row>
    <row r="123" spans="1:21" x14ac:dyDescent="0.25">
      <c r="B123" s="500"/>
      <c r="C123" s="500"/>
      <c r="D123" s="500"/>
      <c r="E123" s="500"/>
      <c r="F123" s="500"/>
      <c r="G123" s="500"/>
      <c r="H123" s="89"/>
      <c r="I123" s="120"/>
      <c r="N123" s="501"/>
      <c r="O123" s="501"/>
      <c r="P123" s="501"/>
      <c r="Q123" s="501"/>
      <c r="R123" s="501"/>
      <c r="S123" s="501"/>
      <c r="T123" s="501"/>
      <c r="U123" s="501"/>
    </row>
    <row r="124" spans="1:21" x14ac:dyDescent="0.25">
      <c r="A124" s="511" t="s">
        <v>313</v>
      </c>
      <c r="B124" s="500"/>
      <c r="C124" s="500"/>
      <c r="D124" s="500"/>
      <c r="E124" s="500"/>
      <c r="F124" s="500"/>
      <c r="G124" s="500"/>
      <c r="H124" s="89"/>
      <c r="I124" s="120">
        <f>I120+I122</f>
        <v>-9939.7799999997951</v>
      </c>
      <c r="N124" s="501"/>
      <c r="O124" s="501"/>
      <c r="P124" s="501"/>
      <c r="Q124" s="501"/>
      <c r="R124" s="501"/>
      <c r="S124" s="501"/>
      <c r="T124" s="501"/>
      <c r="U124" s="501"/>
    </row>
    <row r="125" spans="1:21" x14ac:dyDescent="0.25">
      <c r="A125" s="511"/>
      <c r="B125" s="500"/>
      <c r="C125" s="500"/>
      <c r="D125" s="500"/>
      <c r="E125" s="500"/>
      <c r="F125" s="500"/>
      <c r="G125" s="500"/>
      <c r="H125" s="89"/>
      <c r="I125" s="120"/>
      <c r="N125" s="501"/>
      <c r="O125" s="501"/>
      <c r="P125" s="501"/>
      <c r="Q125" s="501"/>
      <c r="R125" s="501"/>
      <c r="S125" s="501"/>
      <c r="T125" s="501"/>
      <c r="U125" s="501"/>
    </row>
    <row r="126" spans="1:21" x14ac:dyDescent="0.25">
      <c r="A126" s="511" t="s">
        <v>314</v>
      </c>
      <c r="B126" s="500"/>
      <c r="C126" s="500"/>
      <c r="D126" s="500"/>
      <c r="E126" s="500"/>
      <c r="F126" s="500"/>
      <c r="G126" s="500"/>
      <c r="H126" s="89"/>
      <c r="I126" s="425">
        <f>'0664'!I126</f>
        <v>1</v>
      </c>
      <c r="N126" s="501"/>
      <c r="O126" s="501"/>
      <c r="P126" s="501"/>
      <c r="Q126" s="501"/>
      <c r="R126" s="501"/>
      <c r="S126" s="501"/>
      <c r="T126" s="501"/>
      <c r="U126" s="501"/>
    </row>
    <row r="127" spans="1:21" x14ac:dyDescent="0.25">
      <c r="B127" s="500"/>
      <c r="C127" s="500"/>
      <c r="D127" s="500"/>
      <c r="E127" s="500"/>
      <c r="F127" s="500"/>
      <c r="G127" s="500"/>
      <c r="H127" s="89"/>
      <c r="I127" s="120"/>
      <c r="N127" s="501"/>
      <c r="O127" s="501"/>
      <c r="P127" s="501"/>
      <c r="Q127" s="501"/>
      <c r="R127" s="501"/>
      <c r="S127" s="501"/>
      <c r="T127" s="501"/>
      <c r="U127" s="501"/>
    </row>
    <row r="128" spans="1:21" ht="16.5" thickBot="1" x14ac:dyDescent="0.3">
      <c r="A128" s="3" t="s">
        <v>107</v>
      </c>
      <c r="B128" s="500"/>
      <c r="C128" s="500"/>
      <c r="D128" s="500"/>
      <c r="E128" s="500"/>
      <c r="F128" s="500"/>
      <c r="G128" s="500"/>
      <c r="H128" s="89"/>
      <c r="I128" s="205">
        <f>ROUND(I124/I126,2)</f>
        <v>-9939.7800000000007</v>
      </c>
      <c r="N128" s="501"/>
      <c r="O128" s="501"/>
      <c r="P128" s="501"/>
      <c r="Q128" s="501"/>
      <c r="R128" s="501"/>
      <c r="S128" s="501"/>
      <c r="T128" s="501"/>
      <c r="U128" s="501"/>
    </row>
    <row r="129" spans="1:21" ht="16.5" thickTop="1" x14ac:dyDescent="0.25">
      <c r="B129" s="500"/>
      <c r="C129" s="500"/>
      <c r="D129" s="500"/>
      <c r="E129" s="500"/>
      <c r="F129" s="500"/>
      <c r="G129" s="500"/>
      <c r="H129" s="89"/>
      <c r="I129" s="120"/>
      <c r="N129" s="501"/>
      <c r="O129" s="501"/>
      <c r="P129" s="501"/>
      <c r="Q129" s="501"/>
      <c r="R129" s="501"/>
      <c r="S129" s="501"/>
      <c r="T129" s="501"/>
      <c r="U129" s="501"/>
    </row>
    <row r="130" spans="1:21" ht="16.5" thickBot="1" x14ac:dyDescent="0.3">
      <c r="A130" s="3" t="s">
        <v>123</v>
      </c>
      <c r="B130" s="500"/>
      <c r="C130" s="500"/>
      <c r="D130" s="500"/>
      <c r="E130" s="500"/>
      <c r="F130" s="500"/>
      <c r="G130" s="500"/>
      <c r="H130" s="89"/>
      <c r="I130" s="180">
        <f>ROUND(IF(G118="H",(H118*0.02)+I118,(H118*0.05)+I118),2)</f>
        <v>38492.870000000003</v>
      </c>
      <c r="N130" s="501"/>
      <c r="O130" s="501"/>
      <c r="P130" s="501"/>
      <c r="Q130" s="501"/>
      <c r="R130" s="501"/>
      <c r="S130" s="501"/>
      <c r="T130" s="501"/>
      <c r="U130" s="501"/>
    </row>
    <row r="131" spans="1:21" ht="16.5" thickTop="1" x14ac:dyDescent="0.25">
      <c r="B131" s="500"/>
      <c r="C131" s="500"/>
      <c r="D131" s="500"/>
      <c r="E131" s="500"/>
      <c r="F131" s="500"/>
      <c r="G131" s="500"/>
      <c r="H131" s="89"/>
      <c r="I131" s="181"/>
      <c r="N131" s="501"/>
      <c r="O131" s="501"/>
      <c r="P131" s="501"/>
      <c r="Q131" s="501"/>
      <c r="R131" s="501"/>
      <c r="S131" s="501"/>
      <c r="T131" s="501"/>
      <c r="U131" s="501"/>
    </row>
    <row r="132" spans="1:21" x14ac:dyDescent="0.25">
      <c r="B132" s="500"/>
      <c r="C132" s="500"/>
      <c r="D132" s="500"/>
      <c r="E132" s="500"/>
      <c r="F132" s="500"/>
      <c r="G132" s="500"/>
      <c r="H132" s="89"/>
      <c r="I132" s="120"/>
      <c r="N132" s="501"/>
      <c r="O132" s="501"/>
      <c r="P132" s="501"/>
      <c r="Q132" s="501"/>
      <c r="R132" s="501"/>
      <c r="S132" s="501"/>
      <c r="T132" s="501"/>
      <c r="U132" s="501"/>
    </row>
    <row r="133" spans="1:21" x14ac:dyDescent="0.25">
      <c r="B133" s="500"/>
      <c r="C133" s="500"/>
      <c r="D133" s="500"/>
      <c r="E133" s="500"/>
      <c r="F133" s="500"/>
      <c r="G133" s="500"/>
      <c r="H133" s="89"/>
      <c r="I133" s="181"/>
      <c r="N133" s="501"/>
      <c r="O133" s="501"/>
      <c r="P133" s="501"/>
      <c r="Q133" s="501"/>
      <c r="R133" s="501"/>
      <c r="S133" s="501"/>
      <c r="T133" s="501"/>
      <c r="U133" s="501"/>
    </row>
    <row r="134" spans="1:21" x14ac:dyDescent="0.25">
      <c r="A134" s="492" t="s">
        <v>7</v>
      </c>
      <c r="B134" s="492"/>
      <c r="C134" s="492"/>
      <c r="D134" s="492"/>
      <c r="E134" s="492"/>
      <c r="F134" s="492"/>
      <c r="G134" s="492"/>
      <c r="H134" s="492"/>
      <c r="I134" s="492"/>
      <c r="J134" s="182"/>
      <c r="N134" s="501"/>
      <c r="O134" s="501"/>
      <c r="P134" s="501"/>
      <c r="Q134" s="501"/>
      <c r="R134" s="501"/>
      <c r="S134" s="501"/>
      <c r="T134" s="501"/>
      <c r="U134" s="501"/>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501"/>
      <c r="O136" s="501"/>
      <c r="P136" s="501"/>
      <c r="Q136" s="501"/>
      <c r="R136" s="501"/>
      <c r="S136" s="501"/>
      <c r="T136" s="501"/>
      <c r="U136" s="501"/>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78:P78"/>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R105:S105"/>
    <mergeCell ref="A98:B98"/>
    <mergeCell ref="N98:O98"/>
    <mergeCell ref="P98:R98"/>
    <mergeCell ref="A99:B99"/>
    <mergeCell ref="N99:O99"/>
    <mergeCell ref="P99:R99"/>
    <mergeCell ref="R107:S107"/>
    <mergeCell ref="A102:C102"/>
    <mergeCell ref="F102:I102"/>
    <mergeCell ref="N102:U102"/>
    <mergeCell ref="C103:E103"/>
    <mergeCell ref="F104:G104"/>
    <mergeCell ref="A105:B105"/>
    <mergeCell ref="F105:G105"/>
    <mergeCell ref="N105:O105"/>
    <mergeCell ref="P105:Q105"/>
    <mergeCell ref="A108:B108"/>
    <mergeCell ref="F108:G108"/>
    <mergeCell ref="N108:O108"/>
    <mergeCell ref="P108:Q108"/>
    <mergeCell ref="R108:S108"/>
    <mergeCell ref="A109:B109"/>
    <mergeCell ref="N109:O109"/>
    <mergeCell ref="A106:B106"/>
    <mergeCell ref="F106:G106"/>
    <mergeCell ref="N106:O106"/>
    <mergeCell ref="P106:Q106"/>
    <mergeCell ref="R106:S106"/>
    <mergeCell ref="A107:B107"/>
    <mergeCell ref="F107:G107"/>
    <mergeCell ref="N107:O107"/>
    <mergeCell ref="P107:Q107"/>
    <mergeCell ref="N135:U135"/>
    <mergeCell ref="A111:C111"/>
    <mergeCell ref="F111:H111"/>
    <mergeCell ref="N111:P111"/>
    <mergeCell ref="A112:C112"/>
    <mergeCell ref="F112:H112"/>
    <mergeCell ref="N113:T113"/>
    <mergeCell ref="A114:H114"/>
    <mergeCell ref="A115:G115"/>
    <mergeCell ref="N115:U115"/>
    <mergeCell ref="A116:G116"/>
    <mergeCell ref="N116:U116"/>
    <mergeCell ref="N112:P112"/>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FFFF00"/>
  </sheetPr>
  <dimension ref="A1:U202"/>
  <sheetViews>
    <sheetView showGridLines="0" zoomScale="90" zoomScaleNormal="90" workbookViewId="0">
      <pane ySplit="1" topLeftCell="A86" activePane="bottomLeft" state="frozen"/>
      <selection activeCell="A46" sqref="A46:IV46"/>
      <selection pane="bottomLeft" activeCell="I122" sqref="I122"/>
    </sheetView>
  </sheetViews>
  <sheetFormatPr defaultRowHeight="15.75" x14ac:dyDescent="0.25"/>
  <cols>
    <col min="1" max="1" width="10.28515625" style="500"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50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347</v>
      </c>
      <c r="B2" s="2"/>
      <c r="C2" s="2"/>
      <c r="D2" s="2"/>
      <c r="E2" s="2"/>
      <c r="F2" s="2"/>
      <c r="G2" s="2"/>
      <c r="H2" s="2"/>
      <c r="I2" s="2"/>
      <c r="N2" s="824" t="s">
        <v>23</v>
      </c>
      <c r="O2" s="824"/>
      <c r="P2" s="824"/>
      <c r="Q2" s="824"/>
      <c r="R2" s="824"/>
      <c r="S2" s="824"/>
      <c r="T2" s="824"/>
      <c r="U2" s="824"/>
    </row>
    <row r="3" spans="1:21" x14ac:dyDescent="0.25">
      <c r="A3" s="511"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528"/>
      <c r="O5" s="528"/>
      <c r="P5" s="526"/>
      <c r="Q5" s="526"/>
      <c r="R5" s="5"/>
      <c r="S5" s="5"/>
      <c r="T5" s="5"/>
      <c r="U5" s="5"/>
    </row>
    <row r="6" spans="1:21" ht="12" customHeight="1" x14ac:dyDescent="0.25">
      <c r="A6" s="527"/>
      <c r="B6" s="527"/>
      <c r="C6" s="532"/>
      <c r="D6" s="532"/>
      <c r="E6" s="532"/>
      <c r="F6" s="4"/>
      <c r="G6" s="4"/>
      <c r="H6" s="4"/>
      <c r="I6" s="4"/>
      <c r="N6" s="528"/>
      <c r="O6" s="528"/>
      <c r="P6" s="526"/>
      <c r="Q6" s="526"/>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285"/>
      <c r="G8" s="286"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529"/>
      <c r="O9" s="529"/>
      <c r="P9" s="530"/>
      <c r="Q9" s="530"/>
      <c r="R9" s="14"/>
      <c r="S9" s="14"/>
      <c r="T9" s="15"/>
      <c r="U9" s="721" t="s">
        <v>428</v>
      </c>
    </row>
    <row r="10" spans="1:21" x14ac:dyDescent="0.25">
      <c r="A10" s="7"/>
      <c r="B10" s="7"/>
      <c r="C10" s="600" t="s">
        <v>435</v>
      </c>
      <c r="D10" s="669" t="s">
        <v>436</v>
      </c>
      <c r="E10" s="108" t="s">
        <v>8</v>
      </c>
      <c r="F10" s="806" t="s">
        <v>1</v>
      </c>
      <c r="G10" s="806"/>
      <c r="H10" s="10" t="s">
        <v>74</v>
      </c>
      <c r="I10" s="11" t="s">
        <v>36</v>
      </c>
      <c r="N10" s="529"/>
      <c r="O10" s="529"/>
      <c r="P10" s="530"/>
      <c r="Q10" s="530"/>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525"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92.11</v>
      </c>
      <c r="D13" s="190">
        <v>90.95</v>
      </c>
      <c r="E13" s="245">
        <f>IF(D$29=0,C13*2,C13+D13)</f>
        <v>183.06</v>
      </c>
      <c r="F13" s="819">
        <f>'0664'!F13:G13</f>
        <v>1.1259999999999999</v>
      </c>
      <c r="G13" s="819"/>
      <c r="H13" s="194">
        <f>ROUND(E13*F13,4)</f>
        <v>206.12559999999999</v>
      </c>
      <c r="I13" s="140">
        <f t="shared" ref="I13:I28" si="0">ROUND(ROUND(H13*$C$8,4)*($H$8),2)</f>
        <v>939586.73</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9.5</v>
      </c>
      <c r="D14" s="192">
        <v>10.02</v>
      </c>
      <c r="E14" s="147">
        <f t="shared" ref="E14:E28" si="3">IF(D$29=0,C14*2,C14+D14)</f>
        <v>19.52</v>
      </c>
      <c r="F14" s="814">
        <f>'0664'!F14:G14</f>
        <v>1.1259999999999999</v>
      </c>
      <c r="G14" s="814"/>
      <c r="H14" s="99">
        <f t="shared" ref="H14:H28" si="4">ROUND(E14*F14,4)</f>
        <v>21.979500000000002</v>
      </c>
      <c r="I14" s="120">
        <f t="shared" si="0"/>
        <v>100189.62</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57.81</v>
      </c>
      <c r="D15" s="192">
        <v>57.16</v>
      </c>
      <c r="E15" s="147">
        <f t="shared" si="3"/>
        <v>114.97</v>
      </c>
      <c r="F15" s="814">
        <f>'0664'!F15:G15</f>
        <v>1</v>
      </c>
      <c r="G15" s="814"/>
      <c r="H15" s="99">
        <f t="shared" si="4"/>
        <v>114.97</v>
      </c>
      <c r="I15" s="120">
        <f t="shared" si="0"/>
        <v>524070.21</v>
      </c>
      <c r="N15" s="840" t="s">
        <v>31</v>
      </c>
      <c r="O15" s="840"/>
      <c r="P15" s="841">
        <f t="shared" si="1"/>
        <v>0</v>
      </c>
      <c r="Q15" s="841"/>
      <c r="R15" s="842">
        <v>1</v>
      </c>
      <c r="S15" s="842"/>
      <c r="T15" s="114">
        <f t="shared" si="5"/>
        <v>0</v>
      </c>
      <c r="U15" s="115">
        <f t="shared" si="2"/>
        <v>0</v>
      </c>
    </row>
    <row r="16" spans="1:21" x14ac:dyDescent="0.25">
      <c r="A16" s="764" t="s">
        <v>32</v>
      </c>
      <c r="B16" s="764"/>
      <c r="C16" s="192">
        <v>9.98</v>
      </c>
      <c r="D16" s="192">
        <v>9</v>
      </c>
      <c r="E16" s="147">
        <f t="shared" si="3"/>
        <v>18.98</v>
      </c>
      <c r="F16" s="814">
        <f>'0664'!F16:G16</f>
        <v>1</v>
      </c>
      <c r="G16" s="814"/>
      <c r="H16" s="99">
        <f t="shared" si="4"/>
        <v>18.98</v>
      </c>
      <c r="I16" s="120">
        <f t="shared" si="0"/>
        <v>86516.94</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27.88</v>
      </c>
      <c r="D25" s="192">
        <v>29.02</v>
      </c>
      <c r="E25" s="147">
        <f t="shared" si="3"/>
        <v>56.9</v>
      </c>
      <c r="F25" s="814">
        <f>'0664'!F25:G25</f>
        <v>1.1990000000000001</v>
      </c>
      <c r="G25" s="814"/>
      <c r="H25" s="99">
        <f t="shared" si="4"/>
        <v>68.223100000000002</v>
      </c>
      <c r="I25" s="120">
        <f t="shared" si="0"/>
        <v>310982.82</v>
      </c>
      <c r="N25" s="840" t="s">
        <v>116</v>
      </c>
      <c r="O25" s="840"/>
      <c r="P25" s="841">
        <f t="shared" si="1"/>
        <v>0</v>
      </c>
      <c r="Q25" s="841"/>
      <c r="R25" s="842">
        <v>1</v>
      </c>
      <c r="S25" s="842"/>
      <c r="T25" s="114">
        <f t="shared" si="5"/>
        <v>0</v>
      </c>
      <c r="U25" s="115">
        <f t="shared" si="2"/>
        <v>0</v>
      </c>
    </row>
    <row r="26" spans="1:21" x14ac:dyDescent="0.25">
      <c r="A26" s="764" t="s">
        <v>117</v>
      </c>
      <c r="B26" s="764"/>
      <c r="C26" s="192">
        <v>9.24</v>
      </c>
      <c r="D26" s="192">
        <v>8.91</v>
      </c>
      <c r="E26" s="147">
        <f t="shared" si="3"/>
        <v>18.149999999999999</v>
      </c>
      <c r="F26" s="814">
        <f>'0664'!F26:G26</f>
        <v>1.1990000000000001</v>
      </c>
      <c r="G26" s="814"/>
      <c r="H26" s="99">
        <f t="shared" si="4"/>
        <v>21.761900000000001</v>
      </c>
      <c r="I26" s="120">
        <f t="shared" si="0"/>
        <v>99197.73</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206.52</v>
      </c>
      <c r="D29" s="113">
        <f>SUM(D13:D28)</f>
        <v>205.06</v>
      </c>
      <c r="E29" s="113">
        <f>SUM(E13:E28)</f>
        <v>411.58</v>
      </c>
      <c r="F29" s="820"/>
      <c r="G29" s="820"/>
      <c r="H29" s="118">
        <f>SUM(H13:H28)</f>
        <v>452.04010000000005</v>
      </c>
      <c r="I29" s="113">
        <f>SUM(I13:I28)</f>
        <v>2060544.05</v>
      </c>
      <c r="N29" s="850" t="s">
        <v>5</v>
      </c>
      <c r="O29" s="850"/>
      <c r="P29" s="851">
        <f>SUM(P13:P28)</f>
        <v>0</v>
      </c>
      <c r="Q29" s="851"/>
      <c r="R29" s="852"/>
      <c r="S29" s="852"/>
      <c r="T29" s="119">
        <f>SUM(T13:T28)</f>
        <v>0</v>
      </c>
      <c r="U29" s="115">
        <f>SUM(U13:U28)</f>
        <v>0</v>
      </c>
    </row>
    <row r="30" spans="1:21" x14ac:dyDescent="0.25">
      <c r="A30" s="533"/>
      <c r="B30" s="533"/>
      <c r="C30" s="120"/>
      <c r="D30" s="120"/>
      <c r="E30" s="120"/>
      <c r="F30" s="534"/>
      <c r="G30" s="534"/>
      <c r="H30" s="99"/>
      <c r="I30" s="120"/>
      <c r="N30" s="522"/>
      <c r="O30" s="522"/>
      <c r="P30" s="30"/>
      <c r="Q30" s="30"/>
      <c r="R30" s="523"/>
      <c r="S30" s="523"/>
      <c r="T30" s="121"/>
      <c r="U30" s="122"/>
    </row>
    <row r="31" spans="1:21" x14ac:dyDescent="0.25">
      <c r="A31" s="195" t="s">
        <v>99</v>
      </c>
      <c r="B31" s="533"/>
      <c r="C31" s="120"/>
      <c r="D31" s="120"/>
      <c r="E31" s="120"/>
      <c r="F31" s="534"/>
      <c r="G31" s="534"/>
      <c r="H31" s="99"/>
      <c r="I31" s="120"/>
      <c r="N31" s="522"/>
      <c r="O31" s="522"/>
      <c r="P31" s="30"/>
      <c r="Q31" s="30"/>
      <c r="R31" s="523"/>
      <c r="S31" s="523"/>
      <c r="T31" s="121"/>
      <c r="U31" s="122"/>
    </row>
    <row r="32" spans="1:21" x14ac:dyDescent="0.25">
      <c r="A32" s="195"/>
      <c r="B32" s="533"/>
      <c r="C32" s="120"/>
      <c r="D32" s="120"/>
      <c r="E32" s="120"/>
      <c r="F32" s="534"/>
      <c r="G32" s="534"/>
      <c r="H32" s="99"/>
      <c r="I32" s="120"/>
      <c r="N32" s="522"/>
      <c r="O32" s="522"/>
      <c r="P32" s="30"/>
      <c r="Q32" s="30"/>
      <c r="R32" s="523"/>
      <c r="S32" s="523"/>
      <c r="T32" s="121"/>
      <c r="U32" s="122"/>
    </row>
    <row r="33" spans="1:21" hidden="1" x14ac:dyDescent="0.25">
      <c r="A33" s="195"/>
      <c r="B33" s="533"/>
      <c r="C33" s="120"/>
      <c r="D33" s="120"/>
      <c r="E33" s="120"/>
      <c r="F33" s="887" t="s">
        <v>298</v>
      </c>
      <c r="G33" s="887"/>
      <c r="H33" s="887"/>
      <c r="I33" s="120"/>
      <c r="N33" s="522"/>
      <c r="O33" s="522"/>
      <c r="P33" s="30"/>
      <c r="Q33" s="30"/>
      <c r="R33" s="523"/>
      <c r="S33" s="523"/>
      <c r="T33" s="121"/>
      <c r="U33" s="122"/>
    </row>
    <row r="34" spans="1:21" hidden="1" x14ac:dyDescent="0.25">
      <c r="A34" s="3"/>
      <c r="B34" s="521"/>
      <c r="C34" s="521"/>
      <c r="D34" s="521"/>
      <c r="E34" s="521"/>
      <c r="F34" s="887"/>
      <c r="G34" s="887"/>
      <c r="H34" s="887"/>
      <c r="I34" s="25" t="s">
        <v>75</v>
      </c>
      <c r="N34" s="853" t="s">
        <v>35</v>
      </c>
      <c r="O34" s="853"/>
      <c r="P34" s="853"/>
      <c r="Q34" s="853"/>
      <c r="R34" s="853"/>
      <c r="S34" s="853"/>
      <c r="T34" s="853"/>
      <c r="U34" s="26" t="s">
        <v>75</v>
      </c>
    </row>
    <row r="35" spans="1:21" hidden="1" x14ac:dyDescent="0.25">
      <c r="A35" s="533"/>
      <c r="B35" s="533"/>
      <c r="C35" s="107" t="s">
        <v>126</v>
      </c>
      <c r="D35" s="107" t="s">
        <v>127</v>
      </c>
      <c r="E35" s="108" t="s">
        <v>8</v>
      </c>
      <c r="F35" s="887"/>
      <c r="G35" s="887"/>
      <c r="H35" s="887"/>
      <c r="I35" s="25" t="s">
        <v>36</v>
      </c>
      <c r="N35" s="522"/>
      <c r="O35" s="522"/>
      <c r="P35" s="30"/>
      <c r="Q35" s="30"/>
      <c r="R35" s="523"/>
      <c r="S35" s="523"/>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191">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93">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93">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93">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93">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18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idden="1" x14ac:dyDescent="0.25">
      <c r="A44" s="61"/>
      <c r="B44" s="127"/>
      <c r="C44" s="120"/>
      <c r="D44" s="120"/>
      <c r="E44" s="140"/>
      <c r="F44" s="33"/>
      <c r="G44" s="128"/>
      <c r="H44" s="129"/>
      <c r="I44" s="120"/>
      <c r="N44" s="522"/>
      <c r="O44" s="522"/>
      <c r="P44" s="522"/>
      <c r="Q44" s="522"/>
      <c r="R44" s="35"/>
      <c r="S44" s="523"/>
      <c r="T44" s="523"/>
      <c r="U44" s="122"/>
    </row>
    <row r="45" spans="1:21" ht="16.5" hidden="1" thickBot="1" x14ac:dyDescent="0.3">
      <c r="A45" s="61"/>
      <c r="B45" s="127" t="s">
        <v>129</v>
      </c>
      <c r="C45" s="61"/>
      <c r="D45" s="61"/>
      <c r="E45" s="201">
        <f>H29+E43</f>
        <v>452.04010000000005</v>
      </c>
      <c r="F45" s="36"/>
      <c r="G45" s="128"/>
      <c r="H45" s="129" t="s">
        <v>131</v>
      </c>
      <c r="I45" s="113">
        <f>SUM(I43,I29)</f>
        <v>2060544.05</v>
      </c>
      <c r="N45" s="855" t="s">
        <v>56</v>
      </c>
      <c r="O45" s="855"/>
      <c r="P45" s="855"/>
      <c r="Q45" s="855"/>
      <c r="R45" s="37">
        <f>R43+T29</f>
        <v>0</v>
      </c>
      <c r="S45" s="852" t="s">
        <v>54</v>
      </c>
      <c r="T45" s="852"/>
      <c r="U45" s="130">
        <f>SUM(U43,U29)</f>
        <v>0</v>
      </c>
    </row>
    <row r="46" spans="1:21" hidden="1" x14ac:dyDescent="0.25">
      <c r="A46" s="533"/>
      <c r="B46" s="533"/>
      <c r="C46" s="533"/>
      <c r="D46" s="533"/>
      <c r="E46" s="533"/>
      <c r="F46" s="36"/>
      <c r="G46" s="524"/>
      <c r="H46" s="524"/>
      <c r="I46" s="120"/>
      <c r="N46" s="522"/>
      <c r="O46" s="522"/>
      <c r="P46" s="522"/>
      <c r="Q46" s="522"/>
      <c r="R46" s="37"/>
      <c r="S46" s="523"/>
      <c r="T46" s="523"/>
      <c r="U46" s="122"/>
    </row>
    <row r="47" spans="1:21" x14ac:dyDescent="0.25">
      <c r="A47" s="533"/>
      <c r="B47" s="127" t="s">
        <v>391</v>
      </c>
      <c r="C47" s="671" t="s">
        <v>391</v>
      </c>
      <c r="D47" s="671" t="s">
        <v>391</v>
      </c>
      <c r="E47" s="533"/>
      <c r="F47" s="36"/>
      <c r="G47" s="524"/>
      <c r="H47" s="524"/>
      <c r="I47" s="120"/>
      <c r="N47" s="522"/>
      <c r="O47" s="522"/>
      <c r="P47" s="522"/>
      <c r="Q47" s="522"/>
      <c r="R47" s="37"/>
      <c r="S47" s="523"/>
      <c r="T47" s="523"/>
      <c r="U47" s="122"/>
    </row>
    <row r="48" spans="1:21" x14ac:dyDescent="0.25">
      <c r="A48" s="533"/>
      <c r="B48" s="533"/>
      <c r="C48" s="600" t="s">
        <v>435</v>
      </c>
      <c r="D48" s="669" t="s">
        <v>436</v>
      </c>
      <c r="E48" s="108" t="s">
        <v>8</v>
      </c>
      <c r="F48" s="132" t="s">
        <v>132</v>
      </c>
      <c r="G48" s="133" t="s">
        <v>134</v>
      </c>
      <c r="H48" s="134" t="s">
        <v>135</v>
      </c>
      <c r="I48" s="120"/>
      <c r="N48" s="522"/>
      <c r="O48" s="522"/>
      <c r="P48" s="522"/>
      <c r="Q48" s="522"/>
      <c r="R48" s="37"/>
      <c r="S48" s="523"/>
      <c r="T48" s="523"/>
      <c r="U48" s="122"/>
    </row>
    <row r="49" spans="1:21" x14ac:dyDescent="0.25">
      <c r="A49" s="38" t="s">
        <v>89</v>
      </c>
      <c r="B49" s="38"/>
      <c r="C49" s="622" t="s">
        <v>2</v>
      </c>
      <c r="D49" s="622" t="s">
        <v>2</v>
      </c>
      <c r="E49" s="622" t="s">
        <v>2</v>
      </c>
      <c r="F49" s="525" t="s">
        <v>133</v>
      </c>
      <c r="G49" s="512" t="s">
        <v>133</v>
      </c>
      <c r="H49" s="135" t="s">
        <v>136</v>
      </c>
      <c r="I49" s="38"/>
      <c r="N49" s="845" t="s">
        <v>89</v>
      </c>
      <c r="O49" s="845"/>
      <c r="P49" s="856" t="s">
        <v>2</v>
      </c>
      <c r="Q49" s="856"/>
      <c r="R49" s="39" t="s">
        <v>25</v>
      </c>
      <c r="S49" s="507" t="s">
        <v>26</v>
      </c>
      <c r="T49" s="136" t="s">
        <v>27</v>
      </c>
      <c r="U49" s="39"/>
    </row>
    <row r="50" spans="1:21" x14ac:dyDescent="0.25">
      <c r="A50" s="791" t="s">
        <v>100</v>
      </c>
      <c r="B50" s="791"/>
      <c r="C50" s="192">
        <v>7</v>
      </c>
      <c r="D50" s="192">
        <v>8.6</v>
      </c>
      <c r="E50" s="147">
        <f>IF(D$59=0,C50*2,C50+D50)</f>
        <v>15.6</v>
      </c>
      <c r="F50" s="508" t="s">
        <v>21</v>
      </c>
      <c r="G50" s="519">
        <v>251</v>
      </c>
      <c r="H50" s="485">
        <f>'0664'!H50</f>
        <v>1047</v>
      </c>
      <c r="I50" s="120">
        <f>ROUND(E50*H50,2)</f>
        <v>16333.2</v>
      </c>
      <c r="N50" s="863" t="s">
        <v>28</v>
      </c>
      <c r="O50" s="863"/>
      <c r="P50" s="864"/>
      <c r="Q50" s="864"/>
      <c r="R50" s="509" t="s">
        <v>21</v>
      </c>
      <c r="S50" s="531">
        <v>251</v>
      </c>
      <c r="T50" s="138">
        <f>H50</f>
        <v>1047</v>
      </c>
      <c r="U50" s="139">
        <f>ROUND(P50*T50,0)</f>
        <v>0</v>
      </c>
    </row>
    <row r="51" spans="1:21" x14ac:dyDescent="0.25">
      <c r="A51" s="792"/>
      <c r="B51" s="792"/>
      <c r="C51" s="192">
        <v>2</v>
      </c>
      <c r="D51" s="192">
        <v>1.42</v>
      </c>
      <c r="E51" s="147">
        <f t="shared" ref="E51:E58" si="10">IF(D$59=0,C51*2,C51+D51)</f>
        <v>3.42</v>
      </c>
      <c r="F51" s="519" t="s">
        <v>21</v>
      </c>
      <c r="G51" s="519">
        <v>252</v>
      </c>
      <c r="H51" s="485">
        <f>'0664'!H51</f>
        <v>3380</v>
      </c>
      <c r="I51" s="120">
        <f t="shared" ref="I51:I58" si="11">ROUND(E51*H51,2)</f>
        <v>11559.6</v>
      </c>
      <c r="N51" s="863"/>
      <c r="O51" s="863"/>
      <c r="P51" s="865"/>
      <c r="Q51" s="865"/>
      <c r="R51" s="531" t="s">
        <v>21</v>
      </c>
      <c r="S51" s="531">
        <v>252</v>
      </c>
      <c r="T51" s="138">
        <f t="shared" ref="T51:T58" si="12">H51</f>
        <v>3380</v>
      </c>
      <c r="U51" s="139">
        <f t="shared" ref="U51:U58" si="13">ROUND(P51*T51,0)</f>
        <v>0</v>
      </c>
    </row>
    <row r="52" spans="1:21" x14ac:dyDescent="0.25">
      <c r="A52" s="792"/>
      <c r="B52" s="792"/>
      <c r="C52" s="192">
        <v>0.5</v>
      </c>
      <c r="D52" s="192">
        <v>0</v>
      </c>
      <c r="E52" s="147">
        <f t="shared" si="10"/>
        <v>0.5</v>
      </c>
      <c r="F52" s="519" t="s">
        <v>21</v>
      </c>
      <c r="G52" s="519">
        <v>253</v>
      </c>
      <c r="H52" s="485">
        <f>'0664'!H52</f>
        <v>6896</v>
      </c>
      <c r="I52" s="120">
        <f t="shared" si="11"/>
        <v>3448</v>
      </c>
      <c r="N52" s="863"/>
      <c r="O52" s="863"/>
      <c r="P52" s="865"/>
      <c r="Q52" s="865"/>
      <c r="R52" s="531" t="s">
        <v>21</v>
      </c>
      <c r="S52" s="531">
        <v>253</v>
      </c>
      <c r="T52" s="138">
        <f t="shared" si="12"/>
        <v>6896</v>
      </c>
      <c r="U52" s="139">
        <f t="shared" si="13"/>
        <v>0</v>
      </c>
    </row>
    <row r="53" spans="1:21" x14ac:dyDescent="0.25">
      <c r="A53" s="792"/>
      <c r="B53" s="792"/>
      <c r="C53" s="192">
        <v>9.48</v>
      </c>
      <c r="D53" s="192">
        <v>9</v>
      </c>
      <c r="E53" s="147">
        <f t="shared" si="10"/>
        <v>18.48</v>
      </c>
      <c r="F53" s="535" t="s">
        <v>14</v>
      </c>
      <c r="G53" s="519">
        <v>251</v>
      </c>
      <c r="H53" s="485">
        <f>'0664'!H53</f>
        <v>1173</v>
      </c>
      <c r="I53" s="120">
        <f t="shared" si="11"/>
        <v>21677.040000000001</v>
      </c>
      <c r="N53" s="863"/>
      <c r="O53" s="863"/>
      <c r="P53" s="865"/>
      <c r="Q53" s="865"/>
      <c r="R53" s="45" t="s">
        <v>14</v>
      </c>
      <c r="S53" s="531">
        <v>251</v>
      </c>
      <c r="T53" s="138">
        <f t="shared" si="12"/>
        <v>1173</v>
      </c>
      <c r="U53" s="139">
        <f t="shared" si="13"/>
        <v>0</v>
      </c>
    </row>
    <row r="54" spans="1:21" x14ac:dyDescent="0.25">
      <c r="A54" s="792"/>
      <c r="B54" s="792"/>
      <c r="C54" s="192">
        <v>0.5</v>
      </c>
      <c r="D54" s="192">
        <v>0</v>
      </c>
      <c r="E54" s="147">
        <f t="shared" si="10"/>
        <v>0.5</v>
      </c>
      <c r="F54" s="535" t="s">
        <v>14</v>
      </c>
      <c r="G54" s="519">
        <v>252</v>
      </c>
      <c r="H54" s="485">
        <f>'0664'!H54</f>
        <v>3506</v>
      </c>
      <c r="I54" s="120">
        <f t="shared" si="11"/>
        <v>1753</v>
      </c>
      <c r="N54" s="863"/>
      <c r="O54" s="863"/>
      <c r="P54" s="865"/>
      <c r="Q54" s="865"/>
      <c r="R54" s="45" t="s">
        <v>14</v>
      </c>
      <c r="S54" s="531">
        <v>252</v>
      </c>
      <c r="T54" s="138">
        <f t="shared" si="12"/>
        <v>3506</v>
      </c>
      <c r="U54" s="139">
        <f t="shared" si="13"/>
        <v>0</v>
      </c>
    </row>
    <row r="55" spans="1:21" x14ac:dyDescent="0.25">
      <c r="A55" s="792"/>
      <c r="B55" s="792"/>
      <c r="C55" s="192">
        <v>0</v>
      </c>
      <c r="D55" s="192">
        <v>0</v>
      </c>
      <c r="E55" s="147">
        <f t="shared" si="10"/>
        <v>0</v>
      </c>
      <c r="F55" s="535" t="s">
        <v>14</v>
      </c>
      <c r="G55" s="519">
        <v>253</v>
      </c>
      <c r="H55" s="485">
        <f>'0664'!H55</f>
        <v>7023</v>
      </c>
      <c r="I55" s="120">
        <f t="shared" si="11"/>
        <v>0</v>
      </c>
      <c r="N55" s="863"/>
      <c r="O55" s="863"/>
      <c r="P55" s="865"/>
      <c r="Q55" s="865"/>
      <c r="R55" s="45" t="s">
        <v>14</v>
      </c>
      <c r="S55" s="531">
        <v>253</v>
      </c>
      <c r="T55" s="138">
        <f t="shared" si="12"/>
        <v>7023</v>
      </c>
      <c r="U55" s="139">
        <f t="shared" si="13"/>
        <v>0</v>
      </c>
    </row>
    <row r="56" spans="1:21" x14ac:dyDescent="0.25">
      <c r="A56" s="792"/>
      <c r="B56" s="792"/>
      <c r="C56" s="192">
        <v>0</v>
      </c>
      <c r="D56" s="192">
        <v>0</v>
      </c>
      <c r="E56" s="147">
        <f t="shared" si="10"/>
        <v>0</v>
      </c>
      <c r="F56" s="535" t="s">
        <v>15</v>
      </c>
      <c r="G56" s="519">
        <v>251</v>
      </c>
      <c r="H56" s="485">
        <f>'0664'!H56</f>
        <v>835</v>
      </c>
      <c r="I56" s="120">
        <f t="shared" si="11"/>
        <v>0</v>
      </c>
      <c r="N56" s="863"/>
      <c r="O56" s="863"/>
      <c r="P56" s="865"/>
      <c r="Q56" s="865"/>
      <c r="R56" s="45" t="s">
        <v>15</v>
      </c>
      <c r="S56" s="531">
        <v>251</v>
      </c>
      <c r="T56" s="138">
        <f t="shared" si="12"/>
        <v>835</v>
      </c>
      <c r="U56" s="139">
        <f t="shared" si="13"/>
        <v>0</v>
      </c>
    </row>
    <row r="57" spans="1:21" x14ac:dyDescent="0.25">
      <c r="A57" s="792"/>
      <c r="B57" s="792"/>
      <c r="C57" s="192">
        <v>0</v>
      </c>
      <c r="D57" s="192">
        <v>0</v>
      </c>
      <c r="E57" s="147">
        <f t="shared" si="10"/>
        <v>0</v>
      </c>
      <c r="F57" s="535" t="s">
        <v>15</v>
      </c>
      <c r="G57" s="519">
        <v>252</v>
      </c>
      <c r="H57" s="485">
        <f>'0664'!H57</f>
        <v>3168</v>
      </c>
      <c r="I57" s="120">
        <f t="shared" si="11"/>
        <v>0</v>
      </c>
      <c r="N57" s="863"/>
      <c r="O57" s="863"/>
      <c r="P57" s="865"/>
      <c r="Q57" s="865"/>
      <c r="R57" s="45" t="s">
        <v>15</v>
      </c>
      <c r="S57" s="531">
        <v>252</v>
      </c>
      <c r="T57" s="138">
        <f t="shared" si="12"/>
        <v>3168</v>
      </c>
      <c r="U57" s="139">
        <f t="shared" si="13"/>
        <v>0</v>
      </c>
    </row>
    <row r="58" spans="1:21" ht="16.5" thickBot="1" x14ac:dyDescent="0.3">
      <c r="A58" s="792"/>
      <c r="B58" s="792"/>
      <c r="C58" s="192">
        <v>0</v>
      </c>
      <c r="D58" s="192">
        <v>0</v>
      </c>
      <c r="E58" s="147">
        <f t="shared" si="10"/>
        <v>0</v>
      </c>
      <c r="F58" s="535" t="s">
        <v>15</v>
      </c>
      <c r="G58" s="519">
        <v>253</v>
      </c>
      <c r="H58" s="485">
        <f>'0664'!H58</f>
        <v>6685</v>
      </c>
      <c r="I58" s="120">
        <f t="shared" si="11"/>
        <v>0</v>
      </c>
      <c r="N58" s="863"/>
      <c r="O58" s="863"/>
      <c r="P58" s="866"/>
      <c r="Q58" s="866"/>
      <c r="R58" s="45" t="s">
        <v>15</v>
      </c>
      <c r="S58" s="531">
        <v>253</v>
      </c>
      <c r="T58" s="138">
        <f t="shared" si="12"/>
        <v>6685</v>
      </c>
      <c r="U58" s="141">
        <f t="shared" si="13"/>
        <v>0</v>
      </c>
    </row>
    <row r="59" spans="1:21" ht="16.5" thickBot="1" x14ac:dyDescent="0.3">
      <c r="A59" s="767" t="s">
        <v>16</v>
      </c>
      <c r="B59" s="767"/>
      <c r="C59" s="116">
        <f>SUM(C50:C58)</f>
        <v>19.48</v>
      </c>
      <c r="D59" s="116">
        <f>SUM(D50:D58)</f>
        <v>19.02</v>
      </c>
      <c r="E59" s="116">
        <f>SUM(E50:E58)</f>
        <v>38.5</v>
      </c>
      <c r="F59" s="767" t="s">
        <v>78</v>
      </c>
      <c r="G59" s="767"/>
      <c r="H59" s="767"/>
      <c r="I59" s="116">
        <f>SUM(I50:I58)</f>
        <v>54770.840000000004</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411.58</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500"/>
      <c r="G63" s="47" t="s">
        <v>13</v>
      </c>
      <c r="H63" s="145">
        <f>ROUND(C62/H62,6)</f>
        <v>2.1580000000000002E-3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452.04010000000005</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537"/>
      <c r="G66" s="48" t="s">
        <v>13</v>
      </c>
      <c r="H66" s="149">
        <f>ROUND(C65/H65,6)</f>
        <v>2.1080000000000001E-3</v>
      </c>
      <c r="I66" s="149"/>
      <c r="N66" s="845" t="s">
        <v>20</v>
      </c>
      <c r="O66" s="845"/>
      <c r="P66" s="845"/>
      <c r="Q66" s="845"/>
      <c r="R66" s="845"/>
      <c r="S66" s="845"/>
      <c r="T66" s="867">
        <f>ROUND(P65/T65,6)</f>
        <v>0</v>
      </c>
      <c r="U66" s="867"/>
    </row>
    <row r="67" spans="1:21" s="61" customFormat="1" x14ac:dyDescent="0.25">
      <c r="A67" s="500"/>
      <c r="G67" s="47"/>
      <c r="H67" s="150"/>
      <c r="I67" s="150"/>
      <c r="N67" s="510"/>
      <c r="O67" s="510"/>
      <c r="P67" s="510"/>
      <c r="Q67" s="510"/>
      <c r="R67" s="506"/>
      <c r="S67" s="510"/>
      <c r="T67" s="153"/>
      <c r="U67" s="520"/>
    </row>
    <row r="68" spans="1:21" x14ac:dyDescent="0.25">
      <c r="A68" s="764" t="s">
        <v>87</v>
      </c>
      <c r="B68" s="764"/>
      <c r="C68" s="764"/>
      <c r="D68" s="500"/>
      <c r="E68" s="517" t="s">
        <v>3</v>
      </c>
      <c r="F68" s="544">
        <f>'0664'!F68</f>
        <v>42029577</v>
      </c>
      <c r="G68" s="508" t="s">
        <v>6</v>
      </c>
      <c r="H68" s="155">
        <f>H63</f>
        <v>2.1580000000000002E-3</v>
      </c>
      <c r="I68" s="120">
        <f>ROUND(F68*H68,2)</f>
        <v>90699.83</v>
      </c>
      <c r="N68" s="840" t="s">
        <v>87</v>
      </c>
      <c r="O68" s="840"/>
      <c r="P68" s="840"/>
      <c r="Q68" s="50"/>
      <c r="R68" s="156">
        <f>F68</f>
        <v>42029577</v>
      </c>
      <c r="S68" s="509" t="s">
        <v>6</v>
      </c>
      <c r="T68" s="157">
        <f>T63</f>
        <v>0</v>
      </c>
      <c r="U68" s="115">
        <f>ROUND(R68*T68,0)</f>
        <v>0</v>
      </c>
    </row>
    <row r="69" spans="1:21" x14ac:dyDescent="0.25">
      <c r="A69" s="811" t="s">
        <v>98</v>
      </c>
      <c r="B69" s="764"/>
      <c r="C69" s="764"/>
      <c r="D69" s="500"/>
      <c r="E69" s="517"/>
      <c r="F69" s="202"/>
      <c r="G69" s="508"/>
      <c r="H69" s="155"/>
      <c r="I69" s="120"/>
      <c r="N69" s="840" t="s">
        <v>86</v>
      </c>
      <c r="O69" s="840"/>
      <c r="P69" s="840"/>
      <c r="Q69" s="158"/>
      <c r="R69" s="158"/>
      <c r="S69" s="158"/>
      <c r="T69" s="158"/>
      <c r="U69" s="158"/>
    </row>
    <row r="70" spans="1:21" x14ac:dyDescent="0.25">
      <c r="A70" s="813" t="s">
        <v>143</v>
      </c>
      <c r="B70" s="764"/>
      <c r="C70" s="764"/>
      <c r="D70" s="500"/>
      <c r="E70" s="517" t="s">
        <v>3</v>
      </c>
      <c r="F70" s="544">
        <f>'0664'!F70</f>
        <v>0</v>
      </c>
      <c r="G70" s="508" t="s">
        <v>6</v>
      </c>
      <c r="H70" s="155">
        <f>H63</f>
        <v>2.1580000000000002E-3</v>
      </c>
      <c r="I70" s="120">
        <f>ROUND(F70*H70,2)</f>
        <v>0</v>
      </c>
      <c r="N70" s="505"/>
      <c r="O70" s="505"/>
      <c r="P70" s="505"/>
      <c r="Q70" s="50"/>
      <c r="R70" s="156">
        <f>F70</f>
        <v>0</v>
      </c>
      <c r="S70" s="509" t="s">
        <v>6</v>
      </c>
      <c r="T70" s="157">
        <f>T63</f>
        <v>0</v>
      </c>
      <c r="U70" s="115">
        <f>ROUND(R70*T70,0)</f>
        <v>0</v>
      </c>
    </row>
    <row r="71" spans="1:21" x14ac:dyDescent="0.25">
      <c r="A71" s="764" t="s">
        <v>85</v>
      </c>
      <c r="B71" s="764"/>
      <c r="C71" s="764"/>
      <c r="D71" s="556" t="s">
        <v>358</v>
      </c>
      <c r="E71" s="610" t="s">
        <v>372</v>
      </c>
      <c r="F71" s="544">
        <f>'0664'!F71</f>
        <v>146607</v>
      </c>
      <c r="G71" s="508" t="s">
        <v>6</v>
      </c>
      <c r="H71" s="155">
        <f>H63</f>
        <v>2.1580000000000002E-3</v>
      </c>
      <c r="I71" s="120">
        <f>IF(D71="Y",ROUND(F71*H71,2),0)</f>
        <v>316.38</v>
      </c>
      <c r="N71" s="840" t="s">
        <v>85</v>
      </c>
      <c r="O71" s="840"/>
      <c r="P71" s="840"/>
      <c r="Q71" s="50"/>
      <c r="R71" s="156">
        <f>F71</f>
        <v>146607</v>
      </c>
      <c r="S71" s="509" t="s">
        <v>6</v>
      </c>
      <c r="T71" s="157">
        <f>T63</f>
        <v>0</v>
      </c>
      <c r="U71" s="115">
        <f>ROUND(R71*T71,0)</f>
        <v>0</v>
      </c>
    </row>
    <row r="72" spans="1:21" x14ac:dyDescent="0.25">
      <c r="A72" s="764" t="s">
        <v>84</v>
      </c>
      <c r="B72" s="764"/>
      <c r="C72" s="764"/>
      <c r="D72" s="500"/>
      <c r="E72" s="517" t="s">
        <v>3</v>
      </c>
      <c r="F72" s="544">
        <f>'0664'!F72</f>
        <v>11337910</v>
      </c>
      <c r="G72" s="508" t="s">
        <v>6</v>
      </c>
      <c r="H72" s="155">
        <f>H63</f>
        <v>2.1580000000000002E-3</v>
      </c>
      <c r="I72" s="120">
        <f>ROUND(F72*H72,2)</f>
        <v>24467.21</v>
      </c>
      <c r="N72" s="840" t="s">
        <v>84</v>
      </c>
      <c r="O72" s="840"/>
      <c r="P72" s="840"/>
      <c r="Q72" s="50"/>
      <c r="R72" s="156">
        <f>F72</f>
        <v>11337910</v>
      </c>
      <c r="S72" s="509" t="s">
        <v>6</v>
      </c>
      <c r="T72" s="157">
        <f>T63</f>
        <v>0</v>
      </c>
      <c r="U72" s="115">
        <f>ROUND(R72*T72,0)</f>
        <v>0</v>
      </c>
    </row>
    <row r="73" spans="1:21" x14ac:dyDescent="0.25">
      <c r="A73" s="764" t="s">
        <v>83</v>
      </c>
      <c r="B73" s="764"/>
      <c r="C73" s="764"/>
      <c r="D73" s="500"/>
      <c r="E73" s="517" t="s">
        <v>3</v>
      </c>
      <c r="F73" s="544">
        <f>'0664'!F73</f>
        <v>13882385</v>
      </c>
      <c r="G73" s="508" t="s">
        <v>6</v>
      </c>
      <c r="H73" s="155">
        <f>H63</f>
        <v>2.1580000000000002E-3</v>
      </c>
      <c r="I73" s="120">
        <f>ROUND(F73*H73,2)</f>
        <v>29958.19</v>
      </c>
      <c r="N73" s="840" t="s">
        <v>83</v>
      </c>
      <c r="O73" s="840"/>
      <c r="P73" s="840"/>
      <c r="Q73" s="50"/>
      <c r="R73" s="159">
        <f>F73</f>
        <v>13882385</v>
      </c>
      <c r="S73" s="509" t="s">
        <v>6</v>
      </c>
      <c r="T73" s="157">
        <f>T63</f>
        <v>0</v>
      </c>
      <c r="U73" s="115">
        <f>ROUND(R73*T73,0)</f>
        <v>0</v>
      </c>
    </row>
    <row r="74" spans="1:21" x14ac:dyDescent="0.25">
      <c r="A74" s="337" t="s">
        <v>101</v>
      </c>
      <c r="D74" s="500"/>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500"/>
      <c r="C76" s="500"/>
      <c r="D76" s="500"/>
      <c r="E76" s="500"/>
      <c r="F76" s="500"/>
      <c r="G76" s="500"/>
      <c r="H76" s="500"/>
      <c r="I76" s="160"/>
      <c r="N76" s="687" t="s">
        <v>44</v>
      </c>
      <c r="O76" s="505"/>
      <c r="P76" s="505"/>
      <c r="Q76" s="505"/>
      <c r="R76" s="505"/>
      <c r="S76" s="505"/>
      <c r="T76" s="505"/>
      <c r="U76" s="122"/>
    </row>
    <row r="77" spans="1:21" x14ac:dyDescent="0.25">
      <c r="A77" s="765" t="s">
        <v>387</v>
      </c>
      <c r="B77" s="764"/>
      <c r="C77" s="764"/>
      <c r="D77" s="607"/>
      <c r="E77" s="610" t="s">
        <v>3</v>
      </c>
      <c r="F77" s="544">
        <f>'0664'!F77</f>
        <v>7462542</v>
      </c>
      <c r="G77" s="608" t="s">
        <v>6</v>
      </c>
      <c r="H77" s="155">
        <f>H63</f>
        <v>2.1580000000000002E-3</v>
      </c>
      <c r="I77" s="120">
        <f t="shared" ref="I77:I82" si="14">ROUND(F77*H77,2)</f>
        <v>16104.17</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2.1580000000000002E-3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500"/>
      <c r="E79" s="517" t="s">
        <v>4</v>
      </c>
      <c r="F79" s="544">
        <f>'0664'!F79</f>
        <v>0</v>
      </c>
      <c r="G79" s="508" t="s">
        <v>6</v>
      </c>
      <c r="H79" s="155">
        <f>H66</f>
        <v>2.1080000000000001E-3</v>
      </c>
      <c r="I79" s="120">
        <f t="shared" si="14"/>
        <v>0</v>
      </c>
      <c r="N79" s="860" t="s">
        <v>414</v>
      </c>
      <c r="O79" s="840"/>
      <c r="P79" s="840"/>
      <c r="Q79" s="50"/>
      <c r="R79" s="159">
        <f t="shared" si="15"/>
        <v>0</v>
      </c>
      <c r="S79" s="509" t="s">
        <v>6</v>
      </c>
      <c r="T79" s="157">
        <f>T66</f>
        <v>0</v>
      </c>
      <c r="U79" s="115">
        <f t="shared" si="16"/>
        <v>0</v>
      </c>
    </row>
    <row r="80" spans="1:21" x14ac:dyDescent="0.25">
      <c r="A80" s="765" t="s">
        <v>415</v>
      </c>
      <c r="B80" s="764"/>
      <c r="C80" s="764"/>
      <c r="D80" s="500"/>
      <c r="E80" s="517" t="s">
        <v>4</v>
      </c>
      <c r="F80" s="544">
        <f>'0664'!F80</f>
        <v>8562788</v>
      </c>
      <c r="G80" s="508" t="s">
        <v>6</v>
      </c>
      <c r="H80" s="155">
        <f>H66</f>
        <v>2.1080000000000001E-3</v>
      </c>
      <c r="I80" s="120">
        <f t="shared" si="14"/>
        <v>18050.36</v>
      </c>
      <c r="N80" s="860" t="s">
        <v>415</v>
      </c>
      <c r="O80" s="840"/>
      <c r="P80" s="840"/>
      <c r="Q80" s="50"/>
      <c r="R80" s="159">
        <f t="shared" si="15"/>
        <v>8562788</v>
      </c>
      <c r="S80" s="509" t="s">
        <v>6</v>
      </c>
      <c r="T80" s="157">
        <f>T66</f>
        <v>0</v>
      </c>
      <c r="U80" s="115">
        <f t="shared" si="16"/>
        <v>0</v>
      </c>
    </row>
    <row r="81" spans="1:21" x14ac:dyDescent="0.25">
      <c r="A81" s="765" t="s">
        <v>419</v>
      </c>
      <c r="B81" s="764"/>
      <c r="C81" s="764"/>
      <c r="D81" s="500"/>
      <c r="E81" s="517" t="s">
        <v>4</v>
      </c>
      <c r="F81" s="544">
        <f>'0664'!F81</f>
        <v>168663228</v>
      </c>
      <c r="G81" s="508" t="s">
        <v>6</v>
      </c>
      <c r="H81" s="155">
        <f>H66</f>
        <v>2.1080000000000001E-3</v>
      </c>
      <c r="I81" s="120">
        <f t="shared" si="14"/>
        <v>355542.08</v>
      </c>
      <c r="N81" s="860" t="s">
        <v>419</v>
      </c>
      <c r="O81" s="840"/>
      <c r="P81" s="840"/>
      <c r="Q81" s="50"/>
      <c r="R81" s="159">
        <f t="shared" si="15"/>
        <v>168663228</v>
      </c>
      <c r="S81" s="509" t="s">
        <v>6</v>
      </c>
      <c r="T81" s="157">
        <f>T66</f>
        <v>0</v>
      </c>
      <c r="U81" s="115">
        <f t="shared" si="16"/>
        <v>0</v>
      </c>
    </row>
    <row r="82" spans="1:21" x14ac:dyDescent="0.25">
      <c r="A82" s="765" t="s">
        <v>420</v>
      </c>
      <c r="B82" s="764"/>
      <c r="C82" s="764"/>
      <c r="D82" s="500"/>
      <c r="E82" s="517" t="s">
        <v>4</v>
      </c>
      <c r="F82" s="544">
        <f>'0664'!F82</f>
        <v>0</v>
      </c>
      <c r="G82" s="508" t="s">
        <v>6</v>
      </c>
      <c r="H82" s="155">
        <f>H66</f>
        <v>2.1080000000000001E-3</v>
      </c>
      <c r="I82" s="120">
        <f t="shared" si="14"/>
        <v>0</v>
      </c>
      <c r="N82" s="860" t="s">
        <v>420</v>
      </c>
      <c r="O82" s="840"/>
      <c r="P82" s="840"/>
      <c r="Q82" s="50"/>
      <c r="R82" s="156">
        <f t="shared" si="15"/>
        <v>0</v>
      </c>
      <c r="S82" s="509" t="s">
        <v>6</v>
      </c>
      <c r="T82" s="157">
        <f>T66</f>
        <v>0</v>
      </c>
      <c r="U82" s="115">
        <f t="shared" si="16"/>
        <v>0</v>
      </c>
    </row>
    <row r="83" spans="1:21" x14ac:dyDescent="0.25">
      <c r="A83" s="717" t="s">
        <v>425</v>
      </c>
      <c r="B83" s="500"/>
      <c r="C83" s="500"/>
      <c r="D83" s="500"/>
      <c r="E83" s="683" t="s">
        <v>45</v>
      </c>
      <c r="F83" s="544"/>
      <c r="G83" s="508"/>
      <c r="H83" s="155"/>
      <c r="I83" s="120">
        <v>67157.509999999995</v>
      </c>
      <c r="N83" s="719" t="s">
        <v>425</v>
      </c>
      <c r="O83" s="505"/>
      <c r="P83" s="505"/>
      <c r="Q83" s="50"/>
      <c r="R83" s="159">
        <f t="shared" si="15"/>
        <v>0</v>
      </c>
      <c r="S83" s="509" t="s">
        <v>6</v>
      </c>
      <c r="T83" s="157">
        <f>T66</f>
        <v>0</v>
      </c>
      <c r="U83" s="115">
        <f>IF($H$116=1,I83,0)</f>
        <v>0</v>
      </c>
    </row>
    <row r="84" spans="1:21" x14ac:dyDescent="0.25">
      <c r="A84" s="765" t="s">
        <v>457</v>
      </c>
      <c r="B84" s="764"/>
      <c r="C84" s="764"/>
      <c r="D84" s="744"/>
      <c r="E84" s="747" t="s">
        <v>3</v>
      </c>
      <c r="F84" s="544">
        <f>'0664'!F84</f>
        <v>21614343</v>
      </c>
      <c r="G84" s="749" t="s">
        <v>6</v>
      </c>
      <c r="H84" s="155">
        <f>H63</f>
        <v>2.1580000000000002E-3</v>
      </c>
      <c r="I84" s="120">
        <f>ROUND(F84*H84,2)</f>
        <v>46643.75</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500"/>
      <c r="C87" s="780" t="s">
        <v>74</v>
      </c>
      <c r="D87" s="780"/>
      <c r="E87" s="500"/>
      <c r="F87" s="535" t="s">
        <v>37</v>
      </c>
      <c r="G87" s="500"/>
      <c r="H87" s="500"/>
      <c r="I87" s="500"/>
      <c r="N87" s="505"/>
      <c r="O87" s="505"/>
      <c r="P87" s="505"/>
      <c r="Q87" s="505"/>
      <c r="R87" s="505"/>
      <c r="S87" s="505"/>
      <c r="T87" s="505"/>
      <c r="U87" s="505"/>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04"/>
      <c r="B89" s="64" t="s">
        <v>150</v>
      </c>
      <c r="C89" s="781">
        <f>H13+H14+H19+H22+H25</f>
        <v>296.32819999999998</v>
      </c>
      <c r="D89" s="781"/>
      <c r="E89" s="54">
        <f>H8</f>
        <v>1.0424</v>
      </c>
      <c r="F89" s="545">
        <f>'0664'!F89</f>
        <v>966.9</v>
      </c>
      <c r="G89" s="536" t="s">
        <v>13</v>
      </c>
      <c r="H89" s="120">
        <f>ROUND(C89*E89*F89,2)</f>
        <v>298668.17</v>
      </c>
      <c r="I89" s="124"/>
      <c r="N89" s="503"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155.71189999999999</v>
      </c>
      <c r="D90" s="781"/>
      <c r="E90" s="54">
        <f>H8</f>
        <v>1.0424</v>
      </c>
      <c r="F90" s="545">
        <f>'0664'!F90</f>
        <v>923.19</v>
      </c>
      <c r="G90" s="536" t="s">
        <v>13</v>
      </c>
      <c r="H90" s="120">
        <f>ROUND(C90*E90*F90,2)</f>
        <v>149846.74</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53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452.04009999999994</v>
      </c>
      <c r="D92" s="782"/>
      <c r="E92" s="168"/>
      <c r="F92" s="168"/>
      <c r="G92" s="168"/>
      <c r="H92" s="169" t="s">
        <v>145</v>
      </c>
      <c r="I92" s="120">
        <f>IF(A1=75,0,H91+H90+H89)</f>
        <v>448514.91</v>
      </c>
      <c r="N92" s="514"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515"/>
      <c r="B94" s="515"/>
      <c r="C94" s="515"/>
      <c r="D94" s="515"/>
      <c r="E94" s="515"/>
      <c r="F94" s="515"/>
      <c r="G94" s="515"/>
      <c r="H94" s="515"/>
      <c r="I94" s="515"/>
      <c r="N94" s="516"/>
      <c r="O94" s="516"/>
      <c r="P94" s="516"/>
      <c r="Q94" s="516"/>
      <c r="R94" s="516"/>
      <c r="S94" s="516"/>
      <c r="T94" s="516"/>
      <c r="U94" s="516"/>
    </row>
    <row r="95" spans="1:21" x14ac:dyDescent="0.25">
      <c r="A95" s="745" t="s">
        <v>459</v>
      </c>
      <c r="C95" s="517"/>
      <c r="D95" s="500"/>
      <c r="E95" s="683" t="s">
        <v>102</v>
      </c>
      <c r="F95" s="774"/>
      <c r="G95" s="774"/>
      <c r="H95" s="774"/>
      <c r="I95" s="774"/>
      <c r="N95" s="860" t="s">
        <v>459</v>
      </c>
      <c r="O95" s="840"/>
      <c r="P95" s="840"/>
      <c r="Q95" s="879"/>
      <c r="R95" s="879"/>
      <c r="S95" s="879"/>
      <c r="T95" s="879"/>
      <c r="U95" s="122"/>
    </row>
    <row r="96" spans="1:21" x14ac:dyDescent="0.25">
      <c r="B96" s="500"/>
      <c r="C96" s="600" t="s">
        <v>435</v>
      </c>
      <c r="D96" s="669" t="s">
        <v>436</v>
      </c>
      <c r="E96" s="108" t="s">
        <v>153</v>
      </c>
      <c r="F96" s="517"/>
      <c r="G96" s="517"/>
      <c r="H96" s="517"/>
      <c r="I96" s="517"/>
      <c r="N96" s="505"/>
      <c r="O96" s="505"/>
      <c r="P96" s="505"/>
      <c r="Q96" s="518"/>
      <c r="R96" s="518"/>
      <c r="S96" s="518"/>
      <c r="T96" s="518"/>
      <c r="U96" s="122"/>
    </row>
    <row r="97" spans="1:21" x14ac:dyDescent="0.25">
      <c r="B97" s="500"/>
      <c r="C97" s="622" t="s">
        <v>2</v>
      </c>
      <c r="D97" s="622" t="s">
        <v>2</v>
      </c>
      <c r="E97" s="622" t="s">
        <v>2</v>
      </c>
      <c r="F97" s="517"/>
      <c r="G97" s="517"/>
      <c r="H97" s="517"/>
      <c r="I97" s="517"/>
      <c r="N97" s="505"/>
      <c r="O97" s="505"/>
      <c r="P97" s="505"/>
      <c r="Q97" s="518"/>
      <c r="R97" s="518"/>
      <c r="S97" s="518"/>
      <c r="T97" s="518"/>
      <c r="U97" s="122"/>
    </row>
    <row r="98" spans="1:21" x14ac:dyDescent="0.25">
      <c r="A98" s="767" t="s">
        <v>66</v>
      </c>
      <c r="B98" s="767"/>
      <c r="C98" s="192">
        <v>0</v>
      </c>
      <c r="D98" s="192">
        <v>0</v>
      </c>
      <c r="E98" s="193">
        <f>(C98+D98)/2</f>
        <v>0</v>
      </c>
      <c r="F98" s="173" t="s">
        <v>39</v>
      </c>
      <c r="G98" s="546">
        <f>'0664'!G98</f>
        <v>486</v>
      </c>
      <c r="I98" s="120">
        <f>ROUND(G98*E98,2)</f>
        <v>0</v>
      </c>
      <c r="N98" s="873" t="s">
        <v>66</v>
      </c>
      <c r="O98" s="873"/>
      <c r="P98" s="874">
        <f>IF(H116=1,E98,0)</f>
        <v>0</v>
      </c>
      <c r="Q98" s="874"/>
      <c r="R98" s="874"/>
      <c r="S98" s="528" t="s">
        <v>39</v>
      </c>
      <c r="T98" s="72">
        <f>G98</f>
        <v>486</v>
      </c>
      <c r="U98" s="115">
        <f>ROUND(T98*P98,0)</f>
        <v>0</v>
      </c>
    </row>
    <row r="99" spans="1:21" x14ac:dyDescent="0.25">
      <c r="A99" s="767" t="s">
        <v>82</v>
      </c>
      <c r="B99" s="767"/>
      <c r="C99" s="192">
        <v>0</v>
      </c>
      <c r="D99" s="192">
        <v>0</v>
      </c>
      <c r="E99" s="193">
        <f>(C99+D99)/2</f>
        <v>0</v>
      </c>
      <c r="F99" s="173" t="s">
        <v>39</v>
      </c>
      <c r="G99" s="546">
        <f>'0664'!G99</f>
        <v>1498</v>
      </c>
      <c r="I99" s="120">
        <f>ROUND(G99*E99,2)</f>
        <v>0</v>
      </c>
      <c r="N99" s="873" t="s">
        <v>82</v>
      </c>
      <c r="O99" s="873"/>
      <c r="P99" s="847"/>
      <c r="Q99" s="847"/>
      <c r="R99" s="847"/>
      <c r="S99" s="528" t="s">
        <v>39</v>
      </c>
      <c r="T99" s="72">
        <f>G99</f>
        <v>1498</v>
      </c>
      <c r="U99" s="115">
        <f>ROUND(T99*P99,0)</f>
        <v>0</v>
      </c>
    </row>
    <row r="100" spans="1:21" x14ac:dyDescent="0.25">
      <c r="A100" s="174"/>
      <c r="B100" s="174"/>
      <c r="C100" s="89"/>
      <c r="D100" s="89"/>
      <c r="E100" s="89"/>
      <c r="F100" s="89"/>
      <c r="G100" s="175"/>
      <c r="H100" s="176"/>
      <c r="I100" s="120"/>
      <c r="N100" s="513"/>
      <c r="O100" s="513"/>
      <c r="P100" s="178"/>
      <c r="Q100" s="178"/>
      <c r="R100" s="178"/>
      <c r="S100" s="528"/>
      <c r="T100" s="72"/>
      <c r="U100" s="122"/>
    </row>
    <row r="101" spans="1:21" x14ac:dyDescent="0.25">
      <c r="A101" s="174"/>
      <c r="B101" s="174"/>
      <c r="C101" s="89"/>
      <c r="D101" s="89"/>
      <c r="E101" s="89"/>
      <c r="F101" s="89"/>
      <c r="G101" s="175"/>
      <c r="H101" s="176"/>
      <c r="I101" s="120"/>
      <c r="N101" s="513"/>
      <c r="O101" s="513"/>
      <c r="P101" s="178"/>
      <c r="Q101" s="178"/>
      <c r="R101" s="178"/>
      <c r="S101" s="528"/>
      <c r="T101" s="72"/>
      <c r="U101" s="122"/>
    </row>
    <row r="102" spans="1:21" hidden="1" x14ac:dyDescent="0.25">
      <c r="A102" s="765" t="s">
        <v>374</v>
      </c>
      <c r="B102" s="764"/>
      <c r="C102" s="764"/>
      <c r="D102" s="500"/>
      <c r="E102" s="686" t="s">
        <v>41</v>
      </c>
      <c r="F102" s="780"/>
      <c r="G102" s="780"/>
      <c r="H102" s="780"/>
      <c r="I102" s="780"/>
      <c r="N102" s="860" t="s">
        <v>383</v>
      </c>
      <c r="O102" s="840"/>
      <c r="P102" s="840"/>
      <c r="Q102" s="840"/>
      <c r="R102" s="840"/>
      <c r="S102" s="840"/>
      <c r="T102" s="840"/>
      <c r="U102" s="840"/>
    </row>
    <row r="103" spans="1:21" hidden="1" x14ac:dyDescent="0.25">
      <c r="B103" s="500"/>
      <c r="C103" s="776" t="s">
        <v>93</v>
      </c>
      <c r="D103" s="776"/>
      <c r="E103" s="776"/>
      <c r="F103" s="519"/>
      <c r="G103" s="519"/>
      <c r="H103" s="536" t="s">
        <v>154</v>
      </c>
      <c r="I103" s="519"/>
      <c r="N103" s="505"/>
      <c r="O103" s="505"/>
      <c r="P103" s="505"/>
      <c r="Q103" s="505"/>
      <c r="R103" s="505"/>
      <c r="S103" s="505"/>
      <c r="T103" s="505"/>
      <c r="U103" s="505"/>
    </row>
    <row r="104" spans="1:21" hidden="1" x14ac:dyDescent="0.25">
      <c r="B104" s="500"/>
      <c r="C104" s="600" t="s">
        <v>392</v>
      </c>
      <c r="D104" s="600" t="s">
        <v>370</v>
      </c>
      <c r="E104" s="185" t="s">
        <v>8</v>
      </c>
      <c r="F104" s="883" t="s">
        <v>155</v>
      </c>
      <c r="G104" s="770"/>
      <c r="H104" s="508" t="s">
        <v>38</v>
      </c>
      <c r="I104" s="519"/>
      <c r="N104" s="505"/>
      <c r="O104" s="505"/>
      <c r="P104" s="505"/>
      <c r="Q104" s="505"/>
      <c r="R104" s="505"/>
      <c r="S104" s="505"/>
      <c r="T104" s="505"/>
      <c r="U104" s="505"/>
    </row>
    <row r="105" spans="1:21" hidden="1" x14ac:dyDescent="0.25">
      <c r="A105" s="776" t="s">
        <v>96</v>
      </c>
      <c r="B105" s="776"/>
      <c r="C105" s="109" t="s">
        <v>2</v>
      </c>
      <c r="D105" s="109" t="s">
        <v>2</v>
      </c>
      <c r="E105" s="512" t="s">
        <v>2</v>
      </c>
      <c r="F105" s="776" t="s">
        <v>37</v>
      </c>
      <c r="G105" s="776"/>
      <c r="H105" s="512" t="s">
        <v>37</v>
      </c>
      <c r="I105" s="512" t="s">
        <v>8</v>
      </c>
      <c r="N105" s="859" t="s">
        <v>67</v>
      </c>
      <c r="O105" s="859"/>
      <c r="P105" s="874" t="s">
        <v>93</v>
      </c>
      <c r="Q105" s="874"/>
      <c r="R105" s="859" t="s">
        <v>68</v>
      </c>
      <c r="S105" s="859"/>
      <c r="T105" s="507" t="s">
        <v>69</v>
      </c>
      <c r="U105" s="507" t="s">
        <v>8</v>
      </c>
    </row>
    <row r="106" spans="1:21" hidden="1" x14ac:dyDescent="0.25">
      <c r="A106" s="771" t="s">
        <v>70</v>
      </c>
      <c r="B106" s="771"/>
      <c r="C106" s="190">
        <v>0</v>
      </c>
      <c r="D106" s="190">
        <v>0</v>
      </c>
      <c r="E106" s="191">
        <f>IF(D$59=0,C106*2,C106+D106)</f>
        <v>0</v>
      </c>
      <c r="F106" s="889">
        <v>0</v>
      </c>
      <c r="G106" s="889"/>
      <c r="H106" s="75">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93">
        <f>IF(D$59=0,C107*2,C107+D107)</f>
        <v>0</v>
      </c>
      <c r="F107" s="810">
        <f>ROUND(F106/2,2)</f>
        <v>0</v>
      </c>
      <c r="G107" s="810"/>
      <c r="H107" s="77">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93">
        <f>IF(D$59=0,C108*2,C108+D108)</f>
        <v>0</v>
      </c>
      <c r="F108" s="773"/>
      <c r="G108" s="773"/>
      <c r="H108" s="79">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508"/>
      <c r="B110" s="508"/>
      <c r="C110" s="81"/>
      <c r="D110" s="81"/>
      <c r="E110" s="81"/>
      <c r="F110" s="81"/>
      <c r="G110" s="81"/>
      <c r="H110" s="81"/>
      <c r="I110" s="120"/>
      <c r="N110" s="509"/>
      <c r="O110" s="509"/>
      <c r="P110" s="82"/>
      <c r="Q110" s="82"/>
      <c r="R110" s="82"/>
      <c r="S110" s="82"/>
      <c r="T110" s="82"/>
      <c r="U110" s="187"/>
    </row>
    <row r="111" spans="1:21" x14ac:dyDescent="0.25">
      <c r="A111" s="765" t="s">
        <v>460</v>
      </c>
      <c r="B111" s="764"/>
      <c r="C111" s="764"/>
      <c r="D111" s="500"/>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500"/>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500"/>
      <c r="C113" s="500"/>
      <c r="D113" s="500"/>
      <c r="E113" s="502"/>
      <c r="F113" s="502"/>
      <c r="G113" s="502"/>
      <c r="H113" s="502"/>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3212769.2800000003</v>
      </c>
      <c r="N114" s="503"/>
      <c r="O114" s="503"/>
      <c r="P114" s="503"/>
      <c r="Q114" s="503"/>
      <c r="R114" s="503"/>
      <c r="S114" s="503"/>
      <c r="T114" s="503"/>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500"/>
      <c r="C117" s="500"/>
      <c r="D117" s="500"/>
      <c r="E117" s="500"/>
      <c r="F117" s="500"/>
      <c r="G117" s="500"/>
      <c r="H117" s="89"/>
      <c r="I117" s="120"/>
      <c r="N117" s="88" t="s">
        <v>108</v>
      </c>
      <c r="O117" s="88"/>
      <c r="P117" s="88"/>
      <c r="Q117" s="88"/>
      <c r="R117" s="88"/>
      <c r="S117" s="88"/>
      <c r="T117" s="88"/>
      <c r="U117" s="88"/>
    </row>
    <row r="118" spans="1:21" x14ac:dyDescent="0.25">
      <c r="A118" s="3" t="s">
        <v>104</v>
      </c>
      <c r="B118" s="500"/>
      <c r="C118" s="500"/>
      <c r="D118" s="500"/>
      <c r="E118" s="500"/>
      <c r="F118" s="500"/>
      <c r="G118" s="396"/>
      <c r="H118" s="188">
        <f>IF(H116=1,I116,I114)</f>
        <v>3212769.2800000003</v>
      </c>
      <c r="I118" s="113">
        <f>ROUND(IF(E29=0,0,IF(E29&gt;250,-(((250/E29)*H118)*IF(G118="H",0.02,0.05)),IF(G118="H",-0.02*H118,-0.05*H118))),2)</f>
        <v>-97574.27</v>
      </c>
      <c r="N118" s="90" t="s">
        <v>109</v>
      </c>
      <c r="O118" s="88"/>
      <c r="P118" s="88"/>
      <c r="Q118" s="88"/>
      <c r="R118" s="88"/>
      <c r="S118" s="88"/>
      <c r="T118" s="88"/>
      <c r="U118" s="88"/>
    </row>
    <row r="119" spans="1:21" x14ac:dyDescent="0.25">
      <c r="B119" s="500"/>
      <c r="C119" s="500"/>
      <c r="D119" s="500"/>
      <c r="E119" s="500"/>
      <c r="F119" s="500"/>
      <c r="G119" s="500"/>
      <c r="H119" s="89"/>
      <c r="I119" s="120"/>
      <c r="N119" s="501"/>
      <c r="O119" s="501"/>
      <c r="P119" s="501"/>
      <c r="Q119" s="501"/>
      <c r="R119" s="501"/>
      <c r="S119" s="501"/>
      <c r="T119" s="501"/>
      <c r="U119" s="501"/>
    </row>
    <row r="120" spans="1:21" x14ac:dyDescent="0.25">
      <c r="A120" s="552" t="s">
        <v>105</v>
      </c>
      <c r="B120" s="553"/>
      <c r="C120" s="553"/>
      <c r="D120" s="553"/>
      <c r="E120" s="553"/>
      <c r="F120" s="553"/>
      <c r="G120" s="553"/>
      <c r="H120" s="554"/>
      <c r="I120" s="555">
        <f>I114+I118</f>
        <v>3115195.0100000002</v>
      </c>
      <c r="N120" s="501"/>
      <c r="O120" s="501"/>
      <c r="P120" s="501"/>
      <c r="Q120" s="501"/>
      <c r="R120" s="501"/>
      <c r="S120" s="501"/>
      <c r="T120" s="501"/>
      <c r="U120" s="501"/>
    </row>
    <row r="121" spans="1:21" x14ac:dyDescent="0.25">
      <c r="B121" s="500"/>
      <c r="C121" s="500"/>
      <c r="D121" s="500"/>
      <c r="E121" s="500"/>
      <c r="F121" s="500"/>
      <c r="G121" s="500"/>
      <c r="H121" s="89"/>
      <c r="I121" s="120"/>
      <c r="N121" s="501"/>
      <c r="O121" s="501"/>
      <c r="P121" s="501"/>
      <c r="Q121" s="501"/>
      <c r="R121" s="501"/>
      <c r="S121" s="501"/>
      <c r="T121" s="501"/>
      <c r="U121" s="501"/>
    </row>
    <row r="122" spans="1:21" x14ac:dyDescent="0.25">
      <c r="A122" s="3" t="s">
        <v>106</v>
      </c>
      <c r="B122" s="500"/>
      <c r="C122" s="189"/>
      <c r="D122" s="500"/>
      <c r="F122" s="500"/>
      <c r="G122" s="500"/>
      <c r="H122" s="89"/>
      <c r="I122" s="424">
        <v>-3114962.79</v>
      </c>
      <c r="N122" s="501"/>
      <c r="O122" s="501"/>
      <c r="P122" s="501"/>
      <c r="Q122" s="501"/>
      <c r="R122" s="501"/>
      <c r="S122" s="501"/>
      <c r="T122" s="501"/>
      <c r="U122" s="501"/>
    </row>
    <row r="123" spans="1:21" x14ac:dyDescent="0.25">
      <c r="B123" s="500"/>
      <c r="C123" s="500"/>
      <c r="D123" s="500"/>
      <c r="E123" s="500"/>
      <c r="F123" s="500"/>
      <c r="G123" s="500"/>
      <c r="H123" s="89"/>
      <c r="I123" s="120"/>
      <c r="N123" s="501"/>
      <c r="O123" s="501"/>
      <c r="P123" s="501"/>
      <c r="Q123" s="501"/>
      <c r="R123" s="501"/>
      <c r="S123" s="501"/>
      <c r="T123" s="501"/>
      <c r="U123" s="501"/>
    </row>
    <row r="124" spans="1:21" x14ac:dyDescent="0.25">
      <c r="A124" s="511" t="s">
        <v>313</v>
      </c>
      <c r="B124" s="500"/>
      <c r="C124" s="500"/>
      <c r="D124" s="500"/>
      <c r="E124" s="500"/>
      <c r="F124" s="500"/>
      <c r="G124" s="500"/>
      <c r="H124" s="89"/>
      <c r="I124" s="120">
        <f>I120+I122</f>
        <v>232.22000000020489</v>
      </c>
      <c r="N124" s="501"/>
      <c r="O124" s="501"/>
      <c r="P124" s="501"/>
      <c r="Q124" s="501"/>
      <c r="R124" s="501"/>
      <c r="S124" s="501"/>
      <c r="T124" s="501"/>
      <c r="U124" s="501"/>
    </row>
    <row r="125" spans="1:21" x14ac:dyDescent="0.25">
      <c r="A125" s="511"/>
      <c r="B125" s="500"/>
      <c r="C125" s="500"/>
      <c r="D125" s="500"/>
      <c r="E125" s="500"/>
      <c r="F125" s="500"/>
      <c r="G125" s="500"/>
      <c r="H125" s="89"/>
      <c r="I125" s="120"/>
      <c r="N125" s="501"/>
      <c r="O125" s="501"/>
      <c r="P125" s="501"/>
      <c r="Q125" s="501"/>
      <c r="R125" s="501"/>
      <c r="S125" s="501"/>
      <c r="T125" s="501"/>
      <c r="U125" s="501"/>
    </row>
    <row r="126" spans="1:21" x14ac:dyDescent="0.25">
      <c r="A126" s="511" t="s">
        <v>314</v>
      </c>
      <c r="B126" s="500"/>
      <c r="C126" s="500"/>
      <c r="D126" s="500"/>
      <c r="E126" s="500"/>
      <c r="F126" s="500"/>
      <c r="G126" s="500"/>
      <c r="H126" s="89"/>
      <c r="I126" s="425">
        <f>'0664'!I126</f>
        <v>1</v>
      </c>
      <c r="N126" s="501"/>
      <c r="O126" s="501"/>
      <c r="P126" s="501"/>
      <c r="Q126" s="501"/>
      <c r="R126" s="501"/>
      <c r="S126" s="501"/>
      <c r="T126" s="501"/>
      <c r="U126" s="501"/>
    </row>
    <row r="127" spans="1:21" x14ac:dyDescent="0.25">
      <c r="B127" s="500"/>
      <c r="C127" s="500"/>
      <c r="D127" s="500"/>
      <c r="E127" s="500"/>
      <c r="F127" s="500"/>
      <c r="G127" s="500"/>
      <c r="H127" s="89"/>
      <c r="I127" s="120"/>
      <c r="N127" s="501"/>
      <c r="O127" s="501"/>
      <c r="P127" s="501"/>
      <c r="Q127" s="501"/>
      <c r="R127" s="501"/>
      <c r="S127" s="501"/>
      <c r="T127" s="501"/>
      <c r="U127" s="501"/>
    </row>
    <row r="128" spans="1:21" ht="16.5" thickBot="1" x14ac:dyDescent="0.3">
      <c r="A128" s="3" t="s">
        <v>107</v>
      </c>
      <c r="B128" s="500"/>
      <c r="C128" s="500"/>
      <c r="D128" s="500"/>
      <c r="E128" s="500"/>
      <c r="F128" s="500"/>
      <c r="G128" s="500"/>
      <c r="H128" s="89"/>
      <c r="I128" s="205">
        <f>ROUND(I124/I126,2)</f>
        <v>232.22</v>
      </c>
      <c r="N128" s="501"/>
      <c r="O128" s="501"/>
      <c r="P128" s="501"/>
      <c r="Q128" s="501"/>
      <c r="R128" s="501"/>
      <c r="S128" s="501"/>
      <c r="T128" s="501"/>
      <c r="U128" s="501"/>
    </row>
    <row r="129" spans="1:21" ht="16.5" thickTop="1" x14ac:dyDescent="0.25">
      <c r="B129" s="500"/>
      <c r="C129" s="500"/>
      <c r="D129" s="500"/>
      <c r="E129" s="500"/>
      <c r="F129" s="500"/>
      <c r="G129" s="500"/>
      <c r="H129" s="89"/>
      <c r="I129" s="120"/>
      <c r="N129" s="501"/>
      <c r="O129" s="501"/>
      <c r="P129" s="501"/>
      <c r="Q129" s="501"/>
      <c r="R129" s="501"/>
      <c r="S129" s="501"/>
      <c r="T129" s="501"/>
      <c r="U129" s="501"/>
    </row>
    <row r="130" spans="1:21" ht="16.5" thickBot="1" x14ac:dyDescent="0.3">
      <c r="A130" s="3" t="s">
        <v>123</v>
      </c>
      <c r="B130" s="500"/>
      <c r="C130" s="500"/>
      <c r="D130" s="500"/>
      <c r="E130" s="500"/>
      <c r="F130" s="500"/>
      <c r="G130" s="500"/>
      <c r="H130" s="89"/>
      <c r="I130" s="180">
        <f>ROUND(IF(G118="H",(H118*0.02)+I118,(H118*0.05)+I118),2)</f>
        <v>63064.19</v>
      </c>
      <c r="N130" s="501"/>
      <c r="O130" s="501"/>
      <c r="P130" s="501"/>
      <c r="Q130" s="501"/>
      <c r="R130" s="501"/>
      <c r="S130" s="501"/>
      <c r="T130" s="501"/>
      <c r="U130" s="501"/>
    </row>
    <row r="131" spans="1:21" ht="16.5" thickTop="1" x14ac:dyDescent="0.25">
      <c r="B131" s="500"/>
      <c r="C131" s="500"/>
      <c r="D131" s="500"/>
      <c r="E131" s="500"/>
      <c r="F131" s="500"/>
      <c r="G131" s="500"/>
      <c r="H131" s="89"/>
      <c r="I131" s="181"/>
      <c r="N131" s="501"/>
      <c r="O131" s="501"/>
      <c r="P131" s="501"/>
      <c r="Q131" s="501"/>
      <c r="R131" s="501"/>
      <c r="S131" s="501"/>
      <c r="T131" s="501"/>
      <c r="U131" s="501"/>
    </row>
    <row r="132" spans="1:21" x14ac:dyDescent="0.25">
      <c r="B132" s="500"/>
      <c r="C132" s="500"/>
      <c r="D132" s="500"/>
      <c r="E132" s="500"/>
      <c r="F132" s="500"/>
      <c r="G132" s="500"/>
      <c r="H132" s="89"/>
      <c r="I132" s="120"/>
      <c r="N132" s="501"/>
      <c r="O132" s="501"/>
      <c r="P132" s="501"/>
      <c r="Q132" s="501"/>
      <c r="R132" s="501"/>
      <c r="S132" s="501"/>
      <c r="T132" s="501"/>
      <c r="U132" s="501"/>
    </row>
    <row r="133" spans="1:21" x14ac:dyDescent="0.25">
      <c r="B133" s="500"/>
      <c r="C133" s="500"/>
      <c r="D133" s="500"/>
      <c r="E133" s="500"/>
      <c r="F133" s="500"/>
      <c r="G133" s="500"/>
      <c r="H133" s="89"/>
      <c r="I133" s="181"/>
      <c r="N133" s="501"/>
      <c r="O133" s="501"/>
      <c r="P133" s="501"/>
      <c r="Q133" s="501"/>
      <c r="R133" s="501"/>
      <c r="S133" s="501"/>
      <c r="T133" s="501"/>
      <c r="U133" s="501"/>
    </row>
    <row r="134" spans="1:21" x14ac:dyDescent="0.25">
      <c r="A134" s="492" t="s">
        <v>7</v>
      </c>
      <c r="B134" s="492"/>
      <c r="C134" s="492"/>
      <c r="D134" s="492"/>
      <c r="E134" s="492"/>
      <c r="F134" s="492"/>
      <c r="G134" s="492"/>
      <c r="H134" s="492"/>
      <c r="I134" s="492"/>
      <c r="J134" s="182"/>
      <c r="N134" s="501"/>
      <c r="O134" s="501"/>
      <c r="P134" s="501"/>
      <c r="Q134" s="501"/>
      <c r="R134" s="501"/>
      <c r="S134" s="501"/>
      <c r="T134" s="501"/>
      <c r="U134" s="501"/>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501"/>
      <c r="O136" s="501"/>
      <c r="P136" s="501"/>
      <c r="Q136" s="501"/>
      <c r="R136" s="501"/>
      <c r="S136" s="501"/>
      <c r="T136" s="501"/>
      <c r="U136" s="501"/>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78:P78"/>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R105:S105"/>
    <mergeCell ref="A98:B98"/>
    <mergeCell ref="N98:O98"/>
    <mergeCell ref="P98:R98"/>
    <mergeCell ref="A99:B99"/>
    <mergeCell ref="N99:O99"/>
    <mergeCell ref="P99:R99"/>
    <mergeCell ref="R107:S107"/>
    <mergeCell ref="A102:C102"/>
    <mergeCell ref="F102:I102"/>
    <mergeCell ref="N102:U102"/>
    <mergeCell ref="C103:E103"/>
    <mergeCell ref="F104:G104"/>
    <mergeCell ref="A105:B105"/>
    <mergeCell ref="F105:G105"/>
    <mergeCell ref="N105:O105"/>
    <mergeCell ref="P105:Q105"/>
    <mergeCell ref="A108:B108"/>
    <mergeCell ref="F108:G108"/>
    <mergeCell ref="N108:O108"/>
    <mergeCell ref="P108:Q108"/>
    <mergeCell ref="R108:S108"/>
    <mergeCell ref="A109:B109"/>
    <mergeCell ref="N109:O109"/>
    <mergeCell ref="A106:B106"/>
    <mergeCell ref="F106:G106"/>
    <mergeCell ref="N106:O106"/>
    <mergeCell ref="P106:Q106"/>
    <mergeCell ref="R106:S106"/>
    <mergeCell ref="A107:B107"/>
    <mergeCell ref="F107:G107"/>
    <mergeCell ref="N107:O107"/>
    <mergeCell ref="P107:Q107"/>
    <mergeCell ref="N135:U135"/>
    <mergeCell ref="A111:C111"/>
    <mergeCell ref="F111:H111"/>
    <mergeCell ref="N111:P111"/>
    <mergeCell ref="A112:C112"/>
    <mergeCell ref="F112:H112"/>
    <mergeCell ref="N113:T113"/>
    <mergeCell ref="A114:H114"/>
    <mergeCell ref="A115:G115"/>
    <mergeCell ref="N115:U115"/>
    <mergeCell ref="A116:G116"/>
    <mergeCell ref="N116:U116"/>
    <mergeCell ref="N112:P112"/>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tabColor rgb="FFFFFF00"/>
  </sheetPr>
  <dimension ref="A1:U202"/>
  <sheetViews>
    <sheetView showGridLines="0" zoomScale="90" zoomScaleNormal="90" workbookViewId="0">
      <pane ySplit="1" topLeftCell="A101" activePane="bottomLeft" state="frozen"/>
      <selection activeCell="A46" sqref="A46:IV46"/>
      <selection pane="bottomLeft" activeCell="I122" sqref="I122"/>
    </sheetView>
  </sheetViews>
  <sheetFormatPr defaultRowHeight="15.75" x14ac:dyDescent="0.25"/>
  <cols>
    <col min="1" max="1" width="10.28515625" style="565"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565"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339</v>
      </c>
      <c r="B2" s="2"/>
      <c r="C2" s="2"/>
      <c r="D2" s="2"/>
      <c r="E2" s="2"/>
      <c r="F2" s="2"/>
      <c r="G2" s="2"/>
      <c r="H2" s="2"/>
      <c r="I2" s="2"/>
      <c r="N2" s="824" t="s">
        <v>23</v>
      </c>
      <c r="O2" s="824"/>
      <c r="P2" s="824"/>
      <c r="Q2" s="824"/>
      <c r="R2" s="824"/>
      <c r="S2" s="824"/>
      <c r="T2" s="824"/>
      <c r="U2" s="824"/>
    </row>
    <row r="3" spans="1:21" x14ac:dyDescent="0.25">
      <c r="A3" s="578"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559"/>
      <c r="O5" s="559"/>
      <c r="P5" s="560"/>
      <c r="Q5" s="560"/>
      <c r="R5" s="5"/>
      <c r="S5" s="5"/>
      <c r="T5" s="5"/>
      <c r="U5" s="5"/>
    </row>
    <row r="6" spans="1:21" ht="12" customHeight="1" x14ac:dyDescent="0.25">
      <c r="A6" s="561"/>
      <c r="B6" s="561"/>
      <c r="C6" s="558"/>
      <c r="D6" s="558"/>
      <c r="E6" s="558"/>
      <c r="F6" s="4"/>
      <c r="G6" s="4"/>
      <c r="H6" s="4"/>
      <c r="I6" s="4"/>
      <c r="N6" s="559"/>
      <c r="O6" s="559"/>
      <c r="P6" s="560"/>
      <c r="Q6" s="560"/>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285"/>
      <c r="G8" s="286"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562"/>
      <c r="O9" s="562"/>
      <c r="P9" s="563"/>
      <c r="Q9" s="563"/>
      <c r="R9" s="14"/>
      <c r="S9" s="14"/>
      <c r="T9" s="15"/>
      <c r="U9" s="721" t="s">
        <v>428</v>
      </c>
    </row>
    <row r="10" spans="1:21" x14ac:dyDescent="0.25">
      <c r="A10" s="7"/>
      <c r="B10" s="7"/>
      <c r="C10" s="600" t="s">
        <v>435</v>
      </c>
      <c r="D10" s="669" t="s">
        <v>436</v>
      </c>
      <c r="E10" s="108" t="s">
        <v>8</v>
      </c>
      <c r="F10" s="806" t="s">
        <v>1</v>
      </c>
      <c r="G10" s="806"/>
      <c r="H10" s="10" t="s">
        <v>74</v>
      </c>
      <c r="I10" s="11" t="s">
        <v>36</v>
      </c>
      <c r="N10" s="562"/>
      <c r="O10" s="562"/>
      <c r="P10" s="563"/>
      <c r="Q10" s="563"/>
      <c r="R10" s="839" t="s">
        <v>1</v>
      </c>
      <c r="S10" s="839"/>
      <c r="T10" s="15" t="s">
        <v>74</v>
      </c>
      <c r="U10" s="16" t="s">
        <v>36</v>
      </c>
    </row>
    <row r="11" spans="1:21" x14ac:dyDescent="0.25">
      <c r="A11" s="797" t="s">
        <v>1</v>
      </c>
      <c r="B11" s="797"/>
      <c r="C11" s="624"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564"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1.5</v>
      </c>
      <c r="D13" s="190">
        <v>0</v>
      </c>
      <c r="E13" s="245">
        <f>IF(D$29=0,C13*2,C13+D13)</f>
        <v>1.5</v>
      </c>
      <c r="F13" s="819">
        <f>'0664'!F13:G13</f>
        <v>1.1259999999999999</v>
      </c>
      <c r="G13" s="819"/>
      <c r="H13" s="194">
        <f>ROUND(E13*F13,4)</f>
        <v>1.6890000000000001</v>
      </c>
      <c r="I13" s="140">
        <f t="shared" ref="I13:I28" si="0">ROUND(ROUND(H13*$C$8,4)*($H$8),2)</f>
        <v>7699</v>
      </c>
      <c r="N13" s="843" t="s">
        <v>29</v>
      </c>
      <c r="O13" s="843"/>
      <c r="P13" s="841">
        <f t="shared" ref="P13:P28" si="1">IF($H$116=1,E13,0)</f>
        <v>1.5</v>
      </c>
      <c r="Q13" s="841"/>
      <c r="R13" s="844">
        <v>1</v>
      </c>
      <c r="S13" s="844"/>
      <c r="T13" s="114">
        <f>ROUND(P13*R13,4)</f>
        <v>1.5</v>
      </c>
      <c r="U13" s="115">
        <f t="shared" ref="U13:U28" si="2">ROUND(ROUND(T13*$C$8,4)*($H$8),0)</f>
        <v>6837</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0.95</v>
      </c>
      <c r="D16" s="192">
        <v>1</v>
      </c>
      <c r="E16" s="147">
        <f t="shared" si="3"/>
        <v>1.95</v>
      </c>
      <c r="F16" s="814">
        <f>'0664'!F16:G16</f>
        <v>1</v>
      </c>
      <c r="G16" s="814"/>
      <c r="H16" s="99">
        <f t="shared" si="4"/>
        <v>1.95</v>
      </c>
      <c r="I16" s="120">
        <f t="shared" si="0"/>
        <v>8888.73</v>
      </c>
      <c r="J16" s="81" t="str">
        <f>IF(ROUND(E16,2)=ROUND(SUM(E53:E55),2)," ","CHECK 4-8 LINES BELOW")</f>
        <v xml:space="preserve"> </v>
      </c>
      <c r="N16" s="840" t="s">
        <v>32</v>
      </c>
      <c r="O16" s="840"/>
      <c r="P16" s="841">
        <f t="shared" si="1"/>
        <v>1.95</v>
      </c>
      <c r="Q16" s="841"/>
      <c r="R16" s="842">
        <v>1</v>
      </c>
      <c r="S16" s="842"/>
      <c r="T16" s="114">
        <f t="shared" si="5"/>
        <v>1.95</v>
      </c>
      <c r="U16" s="115">
        <f t="shared" si="2"/>
        <v>8889</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10.5</v>
      </c>
      <c r="D19" s="192">
        <v>13.98</v>
      </c>
      <c r="E19" s="147">
        <f t="shared" si="3"/>
        <v>24.48</v>
      </c>
      <c r="F19" s="814">
        <f>'0664'!F19:G19</f>
        <v>3.6480000000000001</v>
      </c>
      <c r="G19" s="814"/>
      <c r="H19" s="99">
        <f t="shared" si="4"/>
        <v>89.302999999999997</v>
      </c>
      <c r="I19" s="120">
        <f t="shared" si="0"/>
        <v>407071.77</v>
      </c>
      <c r="N19" s="840" t="s">
        <v>110</v>
      </c>
      <c r="O19" s="840"/>
      <c r="P19" s="841">
        <f t="shared" si="1"/>
        <v>24.48</v>
      </c>
      <c r="Q19" s="841"/>
      <c r="R19" s="842">
        <v>1</v>
      </c>
      <c r="S19" s="842"/>
      <c r="T19" s="114">
        <f t="shared" si="5"/>
        <v>24.48</v>
      </c>
      <c r="U19" s="115">
        <f t="shared" si="2"/>
        <v>111588</v>
      </c>
    </row>
    <row r="20" spans="1:21" x14ac:dyDescent="0.25">
      <c r="A20" s="764" t="s">
        <v>111</v>
      </c>
      <c r="B20" s="764"/>
      <c r="C20" s="192">
        <v>11.5</v>
      </c>
      <c r="D20" s="192">
        <v>11.5</v>
      </c>
      <c r="E20" s="147">
        <f t="shared" si="3"/>
        <v>23</v>
      </c>
      <c r="F20" s="814">
        <f>'0664'!F20:G20</f>
        <v>3.6480000000000001</v>
      </c>
      <c r="G20" s="814"/>
      <c r="H20" s="99">
        <f t="shared" si="4"/>
        <v>83.903999999999996</v>
      </c>
      <c r="I20" s="120">
        <f t="shared" si="0"/>
        <v>382461.4</v>
      </c>
      <c r="N20" s="840" t="s">
        <v>111</v>
      </c>
      <c r="O20" s="840"/>
      <c r="P20" s="841">
        <f t="shared" si="1"/>
        <v>23</v>
      </c>
      <c r="Q20" s="841"/>
      <c r="R20" s="842">
        <v>1</v>
      </c>
      <c r="S20" s="842"/>
      <c r="T20" s="114">
        <f t="shared" si="5"/>
        <v>23</v>
      </c>
      <c r="U20" s="115">
        <f t="shared" si="2"/>
        <v>104841</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8</v>
      </c>
      <c r="D22" s="192">
        <v>8.5</v>
      </c>
      <c r="E22" s="147">
        <f t="shared" si="3"/>
        <v>16.5</v>
      </c>
      <c r="F22" s="814">
        <f>'0664'!F22:G22</f>
        <v>5.34</v>
      </c>
      <c r="G22" s="814"/>
      <c r="H22" s="99">
        <f t="shared" si="4"/>
        <v>88.11</v>
      </c>
      <c r="I22" s="120">
        <f t="shared" si="0"/>
        <v>401633.7</v>
      </c>
      <c r="N22" s="840" t="s">
        <v>113</v>
      </c>
      <c r="O22" s="840"/>
      <c r="P22" s="841">
        <f t="shared" si="1"/>
        <v>16.5</v>
      </c>
      <c r="Q22" s="841"/>
      <c r="R22" s="842">
        <v>1</v>
      </c>
      <c r="S22" s="842"/>
      <c r="T22" s="114">
        <f t="shared" si="5"/>
        <v>16.5</v>
      </c>
      <c r="U22" s="115">
        <f t="shared" si="2"/>
        <v>75212</v>
      </c>
    </row>
    <row r="23" spans="1:21" x14ac:dyDescent="0.25">
      <c r="A23" s="764" t="s">
        <v>114</v>
      </c>
      <c r="B23" s="764"/>
      <c r="C23" s="192">
        <v>5.5</v>
      </c>
      <c r="D23" s="192">
        <v>6</v>
      </c>
      <c r="E23" s="147">
        <f t="shared" si="3"/>
        <v>11.5</v>
      </c>
      <c r="F23" s="814">
        <f>'0664'!F23:G23</f>
        <v>5.34</v>
      </c>
      <c r="G23" s="814"/>
      <c r="H23" s="99">
        <f t="shared" si="4"/>
        <v>61.41</v>
      </c>
      <c r="I23" s="120">
        <f t="shared" si="0"/>
        <v>279926.52</v>
      </c>
      <c r="N23" s="840" t="s">
        <v>114</v>
      </c>
      <c r="O23" s="840"/>
      <c r="P23" s="841">
        <f t="shared" si="1"/>
        <v>11.5</v>
      </c>
      <c r="Q23" s="841"/>
      <c r="R23" s="842">
        <v>1</v>
      </c>
      <c r="S23" s="842"/>
      <c r="T23" s="114">
        <f t="shared" si="5"/>
        <v>11.5</v>
      </c>
      <c r="U23" s="115">
        <f t="shared" si="2"/>
        <v>52421</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37.950000000000003</v>
      </c>
      <c r="D29" s="113">
        <f>SUM(D13:D28)</f>
        <v>40.980000000000004</v>
      </c>
      <c r="E29" s="113">
        <f>SUM(E13:E28)</f>
        <v>78.930000000000007</v>
      </c>
      <c r="F29" s="820"/>
      <c r="G29" s="820"/>
      <c r="H29" s="118">
        <f>SUM(H13:H28)</f>
        <v>326.36599999999999</v>
      </c>
      <c r="I29" s="113">
        <f>SUM(I13:I28)</f>
        <v>1487681.12</v>
      </c>
      <c r="N29" s="850" t="s">
        <v>5</v>
      </c>
      <c r="O29" s="850"/>
      <c r="P29" s="851">
        <f>SUM(P13:P28)</f>
        <v>78.930000000000007</v>
      </c>
      <c r="Q29" s="851"/>
      <c r="R29" s="852"/>
      <c r="S29" s="852"/>
      <c r="T29" s="119">
        <f>SUM(T13:T28)</f>
        <v>78.930000000000007</v>
      </c>
      <c r="U29" s="115">
        <f>SUM(U13:U28)</f>
        <v>359788</v>
      </c>
    </row>
    <row r="30" spans="1:21" x14ac:dyDescent="0.25">
      <c r="A30" s="593"/>
      <c r="B30" s="593"/>
      <c r="C30" s="120"/>
      <c r="D30" s="120"/>
      <c r="E30" s="120"/>
      <c r="F30" s="592"/>
      <c r="G30" s="592"/>
      <c r="H30" s="99"/>
      <c r="I30" s="120"/>
      <c r="N30" s="573"/>
      <c r="O30" s="573"/>
      <c r="P30" s="30"/>
      <c r="Q30" s="30"/>
      <c r="R30" s="570"/>
      <c r="S30" s="570"/>
      <c r="T30" s="121"/>
      <c r="U30" s="122"/>
    </row>
    <row r="31" spans="1:21" x14ac:dyDescent="0.25">
      <c r="A31" s="195" t="s">
        <v>99</v>
      </c>
      <c r="B31" s="593"/>
      <c r="C31" s="120"/>
      <c r="D31" s="120"/>
      <c r="E31" s="120"/>
      <c r="F31" s="592"/>
      <c r="G31" s="592"/>
      <c r="H31" s="99"/>
      <c r="I31" s="120"/>
      <c r="N31" s="573"/>
      <c r="O31" s="573"/>
      <c r="P31" s="30"/>
      <c r="Q31" s="30"/>
      <c r="R31" s="570"/>
      <c r="S31" s="570"/>
      <c r="T31" s="121"/>
      <c r="U31" s="122"/>
    </row>
    <row r="32" spans="1:21" hidden="1" x14ac:dyDescent="0.25">
      <c r="A32" s="195"/>
      <c r="B32" s="593"/>
      <c r="C32" s="120"/>
      <c r="D32" s="120"/>
      <c r="E32" s="120"/>
      <c r="F32" s="592"/>
      <c r="G32" s="592"/>
      <c r="H32" s="99"/>
      <c r="I32" s="120"/>
      <c r="N32" s="573"/>
      <c r="O32" s="573"/>
      <c r="P32" s="30"/>
      <c r="Q32" s="30"/>
      <c r="R32" s="570"/>
      <c r="S32" s="570"/>
      <c r="T32" s="121"/>
      <c r="U32" s="122"/>
    </row>
    <row r="33" spans="1:21" hidden="1" x14ac:dyDescent="0.25">
      <c r="A33" s="195"/>
      <c r="B33" s="593"/>
      <c r="C33" s="120"/>
      <c r="D33" s="120"/>
      <c r="E33" s="120"/>
      <c r="F33" s="887" t="s">
        <v>298</v>
      </c>
      <c r="G33" s="887"/>
      <c r="H33" s="887"/>
      <c r="I33" s="120"/>
      <c r="N33" s="573"/>
      <c r="O33" s="573"/>
      <c r="P33" s="30"/>
      <c r="Q33" s="30"/>
      <c r="R33" s="570"/>
      <c r="S33" s="570"/>
      <c r="T33" s="121"/>
      <c r="U33" s="122"/>
    </row>
    <row r="34" spans="1:21" hidden="1" x14ac:dyDescent="0.25">
      <c r="A34" s="3"/>
      <c r="B34" s="567"/>
      <c r="C34" s="567"/>
      <c r="D34" s="567"/>
      <c r="E34" s="567"/>
      <c r="F34" s="887"/>
      <c r="G34" s="887"/>
      <c r="H34" s="887"/>
      <c r="I34" s="25" t="s">
        <v>75</v>
      </c>
      <c r="N34" s="853" t="s">
        <v>35</v>
      </c>
      <c r="O34" s="853"/>
      <c r="P34" s="853"/>
      <c r="Q34" s="853"/>
      <c r="R34" s="853"/>
      <c r="S34" s="853"/>
      <c r="T34" s="853"/>
      <c r="U34" s="26" t="s">
        <v>75</v>
      </c>
    </row>
    <row r="35" spans="1:21" hidden="1" x14ac:dyDescent="0.25">
      <c r="A35" s="593"/>
      <c r="B35" s="593"/>
      <c r="C35" s="107" t="s">
        <v>126</v>
      </c>
      <c r="D35" s="107" t="s">
        <v>127</v>
      </c>
      <c r="E35" s="108" t="s">
        <v>8</v>
      </c>
      <c r="F35" s="887"/>
      <c r="G35" s="887"/>
      <c r="H35" s="887"/>
      <c r="I35" s="25" t="s">
        <v>36</v>
      </c>
      <c r="N35" s="573"/>
      <c r="O35" s="573"/>
      <c r="P35" s="30"/>
      <c r="Q35" s="30"/>
      <c r="R35" s="570"/>
      <c r="S35" s="570"/>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191">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93">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93">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93">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93">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18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idden="1" x14ac:dyDescent="0.25">
      <c r="A44" s="61"/>
      <c r="B44" s="127"/>
      <c r="C44" s="120"/>
      <c r="D44" s="120"/>
      <c r="E44" s="140"/>
      <c r="F44" s="33"/>
      <c r="G44" s="128"/>
      <c r="H44" s="129"/>
      <c r="I44" s="120"/>
      <c r="N44" s="573"/>
      <c r="O44" s="573"/>
      <c r="P44" s="573"/>
      <c r="Q44" s="573"/>
      <c r="R44" s="35"/>
      <c r="S44" s="570"/>
      <c r="T44" s="570"/>
      <c r="U44" s="122"/>
    </row>
    <row r="45" spans="1:21" ht="16.5" hidden="1" thickBot="1" x14ac:dyDescent="0.3">
      <c r="A45" s="61"/>
      <c r="B45" s="127" t="s">
        <v>129</v>
      </c>
      <c r="C45" s="61"/>
      <c r="D45" s="61"/>
      <c r="E45" s="201">
        <f>H29+E43</f>
        <v>326.36599999999999</v>
      </c>
      <c r="F45" s="36"/>
      <c r="G45" s="128"/>
      <c r="H45" s="129" t="s">
        <v>131</v>
      </c>
      <c r="I45" s="113">
        <f>SUM(I43,I29)</f>
        <v>1487681.12</v>
      </c>
      <c r="N45" s="855" t="s">
        <v>56</v>
      </c>
      <c r="O45" s="855"/>
      <c r="P45" s="855"/>
      <c r="Q45" s="855"/>
      <c r="R45" s="37">
        <f>R43+T29</f>
        <v>78.930000000000007</v>
      </c>
      <c r="S45" s="852" t="s">
        <v>54</v>
      </c>
      <c r="T45" s="852"/>
      <c r="U45" s="130">
        <f>SUM(U43,U29)</f>
        <v>359788</v>
      </c>
    </row>
    <row r="46" spans="1:21" hidden="1" x14ac:dyDescent="0.25">
      <c r="A46" s="593"/>
      <c r="B46" s="593"/>
      <c r="C46" s="593"/>
      <c r="D46" s="593"/>
      <c r="E46" s="593"/>
      <c r="F46" s="36"/>
      <c r="G46" s="569"/>
      <c r="H46" s="569"/>
      <c r="I46" s="120"/>
      <c r="N46" s="573"/>
      <c r="O46" s="573"/>
      <c r="P46" s="573"/>
      <c r="Q46" s="573"/>
      <c r="R46" s="37"/>
      <c r="S46" s="570"/>
      <c r="T46" s="570"/>
      <c r="U46" s="122"/>
    </row>
    <row r="47" spans="1:21" x14ac:dyDescent="0.25">
      <c r="A47" s="593"/>
      <c r="B47" s="127" t="s">
        <v>391</v>
      </c>
      <c r="C47" s="671" t="s">
        <v>391</v>
      </c>
      <c r="D47" s="671" t="s">
        <v>391</v>
      </c>
      <c r="E47" s="593"/>
      <c r="F47" s="36"/>
      <c r="G47" s="569"/>
      <c r="H47" s="569"/>
      <c r="I47" s="120"/>
      <c r="N47" s="573"/>
      <c r="O47" s="573"/>
      <c r="P47" s="573"/>
      <c r="Q47" s="573"/>
      <c r="R47" s="37"/>
      <c r="S47" s="570"/>
      <c r="T47" s="570"/>
      <c r="U47" s="122"/>
    </row>
    <row r="48" spans="1:21" x14ac:dyDescent="0.25">
      <c r="A48" s="593"/>
      <c r="B48" s="593"/>
      <c r="C48" s="600" t="s">
        <v>435</v>
      </c>
      <c r="D48" s="669" t="s">
        <v>436</v>
      </c>
      <c r="E48" s="108" t="s">
        <v>8</v>
      </c>
      <c r="F48" s="132" t="s">
        <v>132</v>
      </c>
      <c r="G48" s="133" t="s">
        <v>134</v>
      </c>
      <c r="H48" s="134" t="s">
        <v>135</v>
      </c>
      <c r="I48" s="120"/>
      <c r="N48" s="573"/>
      <c r="O48" s="573"/>
      <c r="P48" s="573"/>
      <c r="Q48" s="573"/>
      <c r="R48" s="37"/>
      <c r="S48" s="570"/>
      <c r="T48" s="570"/>
      <c r="U48" s="122"/>
    </row>
    <row r="49" spans="1:21" x14ac:dyDescent="0.25">
      <c r="A49" s="38" t="s">
        <v>89</v>
      </c>
      <c r="B49" s="38"/>
      <c r="C49" s="624" t="s">
        <v>2</v>
      </c>
      <c r="D49" s="622" t="s">
        <v>2</v>
      </c>
      <c r="E49" s="622" t="s">
        <v>2</v>
      </c>
      <c r="F49" s="564" t="s">
        <v>133</v>
      </c>
      <c r="G49" s="576" t="s">
        <v>133</v>
      </c>
      <c r="H49" s="135" t="s">
        <v>136</v>
      </c>
      <c r="I49" s="38"/>
      <c r="N49" s="845" t="s">
        <v>89</v>
      </c>
      <c r="O49" s="845"/>
      <c r="P49" s="856" t="s">
        <v>2</v>
      </c>
      <c r="Q49" s="856"/>
      <c r="R49" s="39" t="s">
        <v>25</v>
      </c>
      <c r="S49" s="577" t="s">
        <v>26</v>
      </c>
      <c r="T49" s="136" t="s">
        <v>27</v>
      </c>
      <c r="U49" s="39"/>
    </row>
    <row r="50" spans="1:21" x14ac:dyDescent="0.25">
      <c r="A50" s="791" t="s">
        <v>100</v>
      </c>
      <c r="B50" s="791"/>
      <c r="C50" s="192">
        <v>0</v>
      </c>
      <c r="D50" s="192">
        <v>0</v>
      </c>
      <c r="E50" s="147">
        <f>IF(D$59=0,C50*2,C50+D50)</f>
        <v>0</v>
      </c>
      <c r="F50" s="587" t="s">
        <v>21</v>
      </c>
      <c r="G50" s="580">
        <v>251</v>
      </c>
      <c r="H50" s="485">
        <f>'0664'!H50</f>
        <v>1047</v>
      </c>
      <c r="I50" s="120">
        <f>ROUND(E50*H50,2)</f>
        <v>0</v>
      </c>
      <c r="N50" s="863" t="s">
        <v>28</v>
      </c>
      <c r="O50" s="863"/>
      <c r="P50" s="864"/>
      <c r="Q50" s="864"/>
      <c r="R50" s="571" t="s">
        <v>21</v>
      </c>
      <c r="S50" s="557">
        <v>251</v>
      </c>
      <c r="T50" s="138">
        <f>H50</f>
        <v>1047</v>
      </c>
      <c r="U50" s="139">
        <f>ROUND(P50*T50,0)</f>
        <v>0</v>
      </c>
    </row>
    <row r="51" spans="1:21" x14ac:dyDescent="0.25">
      <c r="A51" s="792"/>
      <c r="B51" s="792"/>
      <c r="C51" s="192">
        <v>0</v>
      </c>
      <c r="D51" s="192">
        <v>0</v>
      </c>
      <c r="E51" s="147">
        <f t="shared" ref="E51:E58" si="10">IF(D$59=0,C51*2,C51+D51)</f>
        <v>0</v>
      </c>
      <c r="F51" s="580" t="s">
        <v>21</v>
      </c>
      <c r="G51" s="580">
        <v>252</v>
      </c>
      <c r="H51" s="485">
        <f>'0664'!H51</f>
        <v>3380</v>
      </c>
      <c r="I51" s="120">
        <f t="shared" ref="I51:I58" si="11">ROUND(E51*H51,2)</f>
        <v>0</v>
      </c>
      <c r="N51" s="863"/>
      <c r="O51" s="863"/>
      <c r="P51" s="865"/>
      <c r="Q51" s="865"/>
      <c r="R51" s="557" t="s">
        <v>21</v>
      </c>
      <c r="S51" s="557">
        <v>252</v>
      </c>
      <c r="T51" s="138">
        <f t="shared" ref="T51:T58" si="12">H51</f>
        <v>3380</v>
      </c>
      <c r="U51" s="139">
        <f t="shared" ref="U51:U58" si="13">ROUND(P51*T51,0)</f>
        <v>0</v>
      </c>
    </row>
    <row r="52" spans="1:21" x14ac:dyDescent="0.25">
      <c r="A52" s="792"/>
      <c r="B52" s="792"/>
      <c r="C52" s="192">
        <v>0</v>
      </c>
      <c r="D52" s="192">
        <v>0</v>
      </c>
      <c r="E52" s="147">
        <f t="shared" si="10"/>
        <v>0</v>
      </c>
      <c r="F52" s="580" t="s">
        <v>21</v>
      </c>
      <c r="G52" s="580">
        <v>253</v>
      </c>
      <c r="H52" s="485">
        <f>'0664'!H52</f>
        <v>6896</v>
      </c>
      <c r="I52" s="120">
        <f t="shared" si="11"/>
        <v>0</v>
      </c>
      <c r="N52" s="863"/>
      <c r="O52" s="863"/>
      <c r="P52" s="865"/>
      <c r="Q52" s="865"/>
      <c r="R52" s="557" t="s">
        <v>21</v>
      </c>
      <c r="S52" s="557">
        <v>253</v>
      </c>
      <c r="T52" s="138">
        <f t="shared" si="12"/>
        <v>6896</v>
      </c>
      <c r="U52" s="139">
        <f t="shared" si="13"/>
        <v>0</v>
      </c>
    </row>
    <row r="53" spans="1:21" x14ac:dyDescent="0.25">
      <c r="A53" s="792"/>
      <c r="B53" s="792"/>
      <c r="C53" s="192">
        <v>0</v>
      </c>
      <c r="D53" s="192">
        <v>0</v>
      </c>
      <c r="E53" s="147">
        <f t="shared" si="10"/>
        <v>0</v>
      </c>
      <c r="F53" s="590" t="s">
        <v>14</v>
      </c>
      <c r="G53" s="580">
        <v>251</v>
      </c>
      <c r="H53" s="485">
        <f>'0664'!H53</f>
        <v>1173</v>
      </c>
      <c r="I53" s="120">
        <f t="shared" si="11"/>
        <v>0</v>
      </c>
      <c r="N53" s="863"/>
      <c r="O53" s="863"/>
      <c r="P53" s="865"/>
      <c r="Q53" s="865"/>
      <c r="R53" s="45" t="s">
        <v>14</v>
      </c>
      <c r="S53" s="557">
        <v>251</v>
      </c>
      <c r="T53" s="138">
        <f t="shared" si="12"/>
        <v>1173</v>
      </c>
      <c r="U53" s="139">
        <f t="shared" si="13"/>
        <v>0</v>
      </c>
    </row>
    <row r="54" spans="1:21" x14ac:dyDescent="0.25">
      <c r="A54" s="792"/>
      <c r="B54" s="792"/>
      <c r="C54" s="192">
        <v>0</v>
      </c>
      <c r="D54" s="192">
        <v>0</v>
      </c>
      <c r="E54" s="147">
        <f t="shared" si="10"/>
        <v>0</v>
      </c>
      <c r="F54" s="590" t="s">
        <v>14</v>
      </c>
      <c r="G54" s="580">
        <v>252</v>
      </c>
      <c r="H54" s="485">
        <f>'0664'!H54</f>
        <v>3506</v>
      </c>
      <c r="I54" s="120">
        <f t="shared" si="11"/>
        <v>0</v>
      </c>
      <c r="N54" s="863"/>
      <c r="O54" s="863"/>
      <c r="P54" s="865"/>
      <c r="Q54" s="865"/>
      <c r="R54" s="45" t="s">
        <v>14</v>
      </c>
      <c r="S54" s="557">
        <v>252</v>
      </c>
      <c r="T54" s="138">
        <f t="shared" si="12"/>
        <v>3506</v>
      </c>
      <c r="U54" s="139">
        <f t="shared" si="13"/>
        <v>0</v>
      </c>
    </row>
    <row r="55" spans="1:21" x14ac:dyDescent="0.25">
      <c r="A55" s="792"/>
      <c r="B55" s="792"/>
      <c r="C55" s="192">
        <v>0.95</v>
      </c>
      <c r="D55" s="192">
        <v>1</v>
      </c>
      <c r="E55" s="147">
        <f t="shared" si="10"/>
        <v>1.95</v>
      </c>
      <c r="F55" s="590" t="s">
        <v>14</v>
      </c>
      <c r="G55" s="580">
        <v>253</v>
      </c>
      <c r="H55" s="485">
        <f>'0664'!H55</f>
        <v>7023</v>
      </c>
      <c r="I55" s="120">
        <f t="shared" si="11"/>
        <v>13694.85</v>
      </c>
      <c r="N55" s="863"/>
      <c r="O55" s="863"/>
      <c r="P55" s="865"/>
      <c r="Q55" s="865"/>
      <c r="R55" s="45" t="s">
        <v>14</v>
      </c>
      <c r="S55" s="557">
        <v>253</v>
      </c>
      <c r="T55" s="138">
        <f t="shared" si="12"/>
        <v>7023</v>
      </c>
      <c r="U55" s="139">
        <f t="shared" si="13"/>
        <v>0</v>
      </c>
    </row>
    <row r="56" spans="1:21" x14ac:dyDescent="0.25">
      <c r="A56" s="792"/>
      <c r="B56" s="792"/>
      <c r="C56" s="192">
        <v>0</v>
      </c>
      <c r="D56" s="192">
        <v>0</v>
      </c>
      <c r="E56" s="147">
        <f t="shared" si="10"/>
        <v>0</v>
      </c>
      <c r="F56" s="590" t="s">
        <v>15</v>
      </c>
      <c r="G56" s="580">
        <v>251</v>
      </c>
      <c r="H56" s="485">
        <f>'0664'!H56</f>
        <v>835</v>
      </c>
      <c r="I56" s="120">
        <f t="shared" si="11"/>
        <v>0</v>
      </c>
      <c r="N56" s="863"/>
      <c r="O56" s="863"/>
      <c r="P56" s="865"/>
      <c r="Q56" s="865"/>
      <c r="R56" s="45" t="s">
        <v>15</v>
      </c>
      <c r="S56" s="557">
        <v>251</v>
      </c>
      <c r="T56" s="138">
        <f t="shared" si="12"/>
        <v>835</v>
      </c>
      <c r="U56" s="139">
        <f t="shared" si="13"/>
        <v>0</v>
      </c>
    </row>
    <row r="57" spans="1:21" x14ac:dyDescent="0.25">
      <c r="A57" s="792"/>
      <c r="B57" s="792"/>
      <c r="C57" s="192">
        <v>0</v>
      </c>
      <c r="D57" s="192">
        <v>0</v>
      </c>
      <c r="E57" s="147">
        <f t="shared" si="10"/>
        <v>0</v>
      </c>
      <c r="F57" s="590" t="s">
        <v>15</v>
      </c>
      <c r="G57" s="580">
        <v>252</v>
      </c>
      <c r="H57" s="485">
        <f>'0664'!H57</f>
        <v>3168</v>
      </c>
      <c r="I57" s="120">
        <f t="shared" si="11"/>
        <v>0</v>
      </c>
      <c r="N57" s="863"/>
      <c r="O57" s="863"/>
      <c r="P57" s="865"/>
      <c r="Q57" s="865"/>
      <c r="R57" s="45" t="s">
        <v>15</v>
      </c>
      <c r="S57" s="557">
        <v>252</v>
      </c>
      <c r="T57" s="138">
        <f t="shared" si="12"/>
        <v>3168</v>
      </c>
      <c r="U57" s="139">
        <f t="shared" si="13"/>
        <v>0</v>
      </c>
    </row>
    <row r="58" spans="1:21" ht="16.5" thickBot="1" x14ac:dyDescent="0.3">
      <c r="A58" s="792"/>
      <c r="B58" s="792"/>
      <c r="C58" s="192">
        <v>0</v>
      </c>
      <c r="D58" s="192">
        <v>0</v>
      </c>
      <c r="E58" s="147">
        <f t="shared" si="10"/>
        <v>0</v>
      </c>
      <c r="F58" s="590" t="s">
        <v>15</v>
      </c>
      <c r="G58" s="580">
        <v>253</v>
      </c>
      <c r="H58" s="485">
        <f>'0664'!H58</f>
        <v>6685</v>
      </c>
      <c r="I58" s="120">
        <f t="shared" si="11"/>
        <v>0</v>
      </c>
      <c r="N58" s="863"/>
      <c r="O58" s="863"/>
      <c r="P58" s="866"/>
      <c r="Q58" s="866"/>
      <c r="R58" s="45" t="s">
        <v>15</v>
      </c>
      <c r="S58" s="557">
        <v>253</v>
      </c>
      <c r="T58" s="138">
        <f t="shared" si="12"/>
        <v>6685</v>
      </c>
      <c r="U58" s="141">
        <f t="shared" si="13"/>
        <v>0</v>
      </c>
    </row>
    <row r="59" spans="1:21" ht="16.5" thickBot="1" x14ac:dyDescent="0.3">
      <c r="A59" s="767" t="s">
        <v>16</v>
      </c>
      <c r="B59" s="767"/>
      <c r="C59" s="116">
        <f>SUM(C50:C58)</f>
        <v>0.95</v>
      </c>
      <c r="D59" s="116">
        <f>SUM(D50:D58)</f>
        <v>1</v>
      </c>
      <c r="E59" s="116">
        <f>SUM(E50:E58)</f>
        <v>1.95</v>
      </c>
      <c r="F59" s="767" t="s">
        <v>78</v>
      </c>
      <c r="G59" s="767"/>
      <c r="H59" s="767"/>
      <c r="I59" s="116">
        <f>SUM(I50:I58)</f>
        <v>13694.85</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78.930000000000007</v>
      </c>
      <c r="D62" s="882" t="s">
        <v>137</v>
      </c>
      <c r="E62" s="882"/>
      <c r="F62" s="882"/>
      <c r="G62" s="882"/>
      <c r="H62" s="542">
        <f>'0664'!H62</f>
        <v>190754.06</v>
      </c>
      <c r="I62" s="144"/>
      <c r="N62" s="860" t="s">
        <v>327</v>
      </c>
      <c r="O62" s="840"/>
      <c r="P62" s="46">
        <f>P29</f>
        <v>78.930000000000007</v>
      </c>
      <c r="Q62" s="861" t="s">
        <v>79</v>
      </c>
      <c r="R62" s="861"/>
      <c r="S62" s="861"/>
      <c r="T62" s="862">
        <f>H62</f>
        <v>190754.06</v>
      </c>
      <c r="U62" s="862"/>
    </row>
    <row r="63" spans="1:21" x14ac:dyDescent="0.25">
      <c r="B63" s="565"/>
      <c r="G63" s="47" t="s">
        <v>13</v>
      </c>
      <c r="H63" s="145">
        <f>ROUND(C62/H62,6)</f>
        <v>4.1399999999999998E-4</v>
      </c>
      <c r="I63" s="146"/>
      <c r="N63" s="840" t="s">
        <v>19</v>
      </c>
      <c r="O63" s="840"/>
      <c r="P63" s="840"/>
      <c r="Q63" s="840"/>
      <c r="R63" s="840"/>
      <c r="S63" s="840"/>
      <c r="T63" s="868">
        <f>ROUND(P62/T62,6)</f>
        <v>4.1399999999999998E-4</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326.36599999999999</v>
      </c>
      <c r="D65" s="882" t="s">
        <v>142</v>
      </c>
      <c r="E65" s="882"/>
      <c r="F65" s="882"/>
      <c r="G65" s="882"/>
      <c r="H65" s="543">
        <f>'0664'!H65</f>
        <v>214462.41</v>
      </c>
      <c r="I65" s="147"/>
      <c r="N65" s="840" t="s">
        <v>81</v>
      </c>
      <c r="O65" s="840"/>
      <c r="P65" s="46">
        <f>R45</f>
        <v>78.930000000000007</v>
      </c>
      <c r="Q65" s="861" t="s">
        <v>80</v>
      </c>
      <c r="R65" s="861"/>
      <c r="S65" s="861"/>
      <c r="T65" s="862">
        <f>H65</f>
        <v>214462.41</v>
      </c>
      <c r="U65" s="862"/>
    </row>
    <row r="66" spans="1:21" s="38" customFormat="1" x14ac:dyDescent="0.25">
      <c r="A66" s="594"/>
      <c r="G66" s="48" t="s">
        <v>13</v>
      </c>
      <c r="H66" s="149">
        <f>ROUND(C65/H65,6)</f>
        <v>1.5219999999999999E-3</v>
      </c>
      <c r="I66" s="149"/>
      <c r="N66" s="845" t="s">
        <v>20</v>
      </c>
      <c r="O66" s="845"/>
      <c r="P66" s="845"/>
      <c r="Q66" s="845"/>
      <c r="R66" s="845"/>
      <c r="S66" s="845"/>
      <c r="T66" s="867">
        <f>ROUND(P65/T65,6)</f>
        <v>3.68E-4</v>
      </c>
      <c r="U66" s="867"/>
    </row>
    <row r="67" spans="1:21" s="61" customFormat="1" x14ac:dyDescent="0.25">
      <c r="A67" s="565"/>
      <c r="G67" s="47"/>
      <c r="H67" s="150"/>
      <c r="I67" s="150"/>
      <c r="N67" s="572"/>
      <c r="O67" s="572"/>
      <c r="P67" s="572"/>
      <c r="Q67" s="572"/>
      <c r="R67" s="568"/>
      <c r="S67" s="572"/>
      <c r="T67" s="153"/>
      <c r="U67" s="579"/>
    </row>
    <row r="68" spans="1:21" x14ac:dyDescent="0.25">
      <c r="A68" s="764" t="s">
        <v>87</v>
      </c>
      <c r="B68" s="764"/>
      <c r="C68" s="764"/>
      <c r="D68" s="565"/>
      <c r="E68" s="584" t="s">
        <v>3</v>
      </c>
      <c r="F68" s="544">
        <f>'0664'!F68</f>
        <v>42029577</v>
      </c>
      <c r="G68" s="587" t="s">
        <v>6</v>
      </c>
      <c r="H68" s="155">
        <f>H63</f>
        <v>4.1399999999999998E-4</v>
      </c>
      <c r="I68" s="120">
        <f>ROUND(F68*H68,2)</f>
        <v>17400.240000000002</v>
      </c>
      <c r="N68" s="840" t="s">
        <v>87</v>
      </c>
      <c r="O68" s="840"/>
      <c r="P68" s="840"/>
      <c r="Q68" s="50"/>
      <c r="R68" s="156">
        <f>F68</f>
        <v>42029577</v>
      </c>
      <c r="S68" s="571" t="s">
        <v>6</v>
      </c>
      <c r="T68" s="157">
        <f>T63</f>
        <v>4.1399999999999998E-4</v>
      </c>
      <c r="U68" s="115">
        <f>ROUND(R68*T68,0)</f>
        <v>17400</v>
      </c>
    </row>
    <row r="69" spans="1:21" x14ac:dyDescent="0.25">
      <c r="A69" s="811" t="s">
        <v>98</v>
      </c>
      <c r="B69" s="764"/>
      <c r="C69" s="764"/>
      <c r="D69" s="565"/>
      <c r="E69" s="584"/>
      <c r="F69" s="202"/>
      <c r="G69" s="587"/>
      <c r="H69" s="155"/>
      <c r="I69" s="120"/>
      <c r="N69" s="840" t="s">
        <v>86</v>
      </c>
      <c r="O69" s="840"/>
      <c r="P69" s="840"/>
      <c r="Q69" s="158"/>
      <c r="R69" s="158"/>
      <c r="S69" s="158"/>
      <c r="T69" s="158"/>
      <c r="U69" s="158"/>
    </row>
    <row r="70" spans="1:21" x14ac:dyDescent="0.25">
      <c r="A70" s="813" t="s">
        <v>143</v>
      </c>
      <c r="B70" s="764"/>
      <c r="C70" s="764"/>
      <c r="D70" s="565"/>
      <c r="E70" s="584" t="s">
        <v>3</v>
      </c>
      <c r="F70" s="544">
        <f>'0664'!F70</f>
        <v>0</v>
      </c>
      <c r="G70" s="587" t="s">
        <v>6</v>
      </c>
      <c r="H70" s="155">
        <f>H63</f>
        <v>4.1399999999999998E-4</v>
      </c>
      <c r="I70" s="120">
        <f>ROUND(F70*H70,2)</f>
        <v>0</v>
      </c>
      <c r="N70" s="566"/>
      <c r="O70" s="566"/>
      <c r="P70" s="566"/>
      <c r="Q70" s="50"/>
      <c r="R70" s="156">
        <f>F70</f>
        <v>0</v>
      </c>
      <c r="S70" s="571" t="s">
        <v>6</v>
      </c>
      <c r="T70" s="157">
        <f>T63</f>
        <v>4.1399999999999998E-4</v>
      </c>
      <c r="U70" s="115">
        <f>ROUND(R70*T70,0)</f>
        <v>0</v>
      </c>
    </row>
    <row r="71" spans="1:21" x14ac:dyDescent="0.25">
      <c r="A71" s="764" t="s">
        <v>85</v>
      </c>
      <c r="B71" s="764"/>
      <c r="C71" s="764"/>
      <c r="D71" s="556" t="s">
        <v>358</v>
      </c>
      <c r="E71" s="610" t="s">
        <v>372</v>
      </c>
      <c r="F71" s="544">
        <f>'0664'!F71</f>
        <v>146607</v>
      </c>
      <c r="G71" s="587" t="s">
        <v>6</v>
      </c>
      <c r="H71" s="155">
        <f>H63</f>
        <v>4.1399999999999998E-4</v>
      </c>
      <c r="I71" s="120">
        <f>IF(D71="Y",ROUND(F71*H71,2),0)</f>
        <v>60.7</v>
      </c>
      <c r="N71" s="840" t="s">
        <v>85</v>
      </c>
      <c r="O71" s="840"/>
      <c r="P71" s="840"/>
      <c r="Q71" s="50"/>
      <c r="R71" s="156">
        <f>F71</f>
        <v>146607</v>
      </c>
      <c r="S71" s="571" t="s">
        <v>6</v>
      </c>
      <c r="T71" s="157">
        <f>T63</f>
        <v>4.1399999999999998E-4</v>
      </c>
      <c r="U71" s="115">
        <f>ROUND(R71*T71,0)</f>
        <v>61</v>
      </c>
    </row>
    <row r="72" spans="1:21" x14ac:dyDescent="0.25">
      <c r="A72" s="764" t="s">
        <v>84</v>
      </c>
      <c r="B72" s="764"/>
      <c r="C72" s="764"/>
      <c r="D72" s="565"/>
      <c r="E72" s="584" t="s">
        <v>3</v>
      </c>
      <c r="F72" s="544">
        <f>'0664'!F72</f>
        <v>11337910</v>
      </c>
      <c r="G72" s="587" t="s">
        <v>6</v>
      </c>
      <c r="H72" s="155">
        <f>H63</f>
        <v>4.1399999999999998E-4</v>
      </c>
      <c r="I72" s="120">
        <f>ROUND(F72*H72,2)</f>
        <v>4693.8900000000003</v>
      </c>
      <c r="N72" s="840" t="s">
        <v>84</v>
      </c>
      <c r="O72" s="840"/>
      <c r="P72" s="840"/>
      <c r="Q72" s="50"/>
      <c r="R72" s="156">
        <f>F72</f>
        <v>11337910</v>
      </c>
      <c r="S72" s="571" t="s">
        <v>6</v>
      </c>
      <c r="T72" s="157">
        <f>T63</f>
        <v>4.1399999999999998E-4</v>
      </c>
      <c r="U72" s="115">
        <f>ROUND(R72*T72,0)</f>
        <v>4694</v>
      </c>
    </row>
    <row r="73" spans="1:21" x14ac:dyDescent="0.25">
      <c r="A73" s="764" t="s">
        <v>83</v>
      </c>
      <c r="B73" s="764"/>
      <c r="C73" s="764"/>
      <c r="D73" s="565"/>
      <c r="E73" s="584" t="s">
        <v>3</v>
      </c>
      <c r="F73" s="544">
        <f>'0664'!F73</f>
        <v>13882385</v>
      </c>
      <c r="G73" s="587" t="s">
        <v>6</v>
      </c>
      <c r="H73" s="155">
        <f>H63</f>
        <v>4.1399999999999998E-4</v>
      </c>
      <c r="I73" s="120">
        <f>ROUND(F73*H73,2)</f>
        <v>5747.31</v>
      </c>
      <c r="N73" s="840" t="s">
        <v>83</v>
      </c>
      <c r="O73" s="840"/>
      <c r="P73" s="840"/>
      <c r="Q73" s="50"/>
      <c r="R73" s="159">
        <f>F73</f>
        <v>13882385</v>
      </c>
      <c r="S73" s="571" t="s">
        <v>6</v>
      </c>
      <c r="T73" s="157">
        <f>T63</f>
        <v>4.1399999999999998E-4</v>
      </c>
      <c r="U73" s="115">
        <f>ROUND(R73*T73,0)</f>
        <v>5747</v>
      </c>
    </row>
    <row r="74" spans="1:21" x14ac:dyDescent="0.25">
      <c r="A74" s="337" t="s">
        <v>101</v>
      </c>
      <c r="D74" s="565"/>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565"/>
      <c r="C76" s="565"/>
      <c r="D76" s="565"/>
      <c r="E76" s="565"/>
      <c r="F76" s="565"/>
      <c r="G76" s="565"/>
      <c r="H76" s="565"/>
      <c r="I76" s="160"/>
      <c r="N76" s="687" t="s">
        <v>44</v>
      </c>
      <c r="O76" s="566"/>
      <c r="P76" s="566"/>
      <c r="Q76" s="566"/>
      <c r="R76" s="566"/>
      <c r="S76" s="566"/>
      <c r="T76" s="566"/>
      <c r="U76" s="122"/>
    </row>
    <row r="77" spans="1:21" x14ac:dyDescent="0.25">
      <c r="A77" s="765" t="s">
        <v>387</v>
      </c>
      <c r="B77" s="764"/>
      <c r="C77" s="764"/>
      <c r="D77" s="607"/>
      <c r="E77" s="610" t="s">
        <v>3</v>
      </c>
      <c r="F77" s="544">
        <f>'0664'!F77</f>
        <v>7462542</v>
      </c>
      <c r="G77" s="608" t="s">
        <v>6</v>
      </c>
      <c r="H77" s="155">
        <f>H63</f>
        <v>4.1399999999999998E-4</v>
      </c>
      <c r="I77" s="120">
        <f t="shared" ref="I77:I82" si="14">ROUND(F77*H77,2)</f>
        <v>3089.49</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4.1399999999999998E-4</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565"/>
      <c r="E79" s="584" t="s">
        <v>4</v>
      </c>
      <c r="F79" s="544">
        <f>'0664'!F79</f>
        <v>0</v>
      </c>
      <c r="G79" s="587" t="s">
        <v>6</v>
      </c>
      <c r="H79" s="155">
        <f>H66</f>
        <v>1.5219999999999999E-3</v>
      </c>
      <c r="I79" s="120">
        <f t="shared" si="14"/>
        <v>0</v>
      </c>
      <c r="N79" s="860" t="s">
        <v>414</v>
      </c>
      <c r="O79" s="840"/>
      <c r="P79" s="840"/>
      <c r="Q79" s="50"/>
      <c r="R79" s="159">
        <f t="shared" si="15"/>
        <v>0</v>
      </c>
      <c r="S79" s="571" t="s">
        <v>6</v>
      </c>
      <c r="T79" s="157">
        <f>T66</f>
        <v>3.68E-4</v>
      </c>
      <c r="U79" s="115">
        <f t="shared" si="16"/>
        <v>0</v>
      </c>
    </row>
    <row r="80" spans="1:21" x14ac:dyDescent="0.25">
      <c r="A80" s="765" t="s">
        <v>415</v>
      </c>
      <c r="B80" s="764"/>
      <c r="C80" s="764"/>
      <c r="D80" s="565"/>
      <c r="E80" s="584" t="s">
        <v>4</v>
      </c>
      <c r="F80" s="544">
        <f>'0664'!F80</f>
        <v>8562788</v>
      </c>
      <c r="G80" s="587" t="s">
        <v>6</v>
      </c>
      <c r="H80" s="155">
        <f>H66</f>
        <v>1.5219999999999999E-3</v>
      </c>
      <c r="I80" s="120">
        <f t="shared" si="14"/>
        <v>13032.56</v>
      </c>
      <c r="N80" s="860" t="s">
        <v>415</v>
      </c>
      <c r="O80" s="840"/>
      <c r="P80" s="840"/>
      <c r="Q80" s="50"/>
      <c r="R80" s="159">
        <f t="shared" si="15"/>
        <v>8562788</v>
      </c>
      <c r="S80" s="571" t="s">
        <v>6</v>
      </c>
      <c r="T80" s="157">
        <f>T66</f>
        <v>3.68E-4</v>
      </c>
      <c r="U80" s="115">
        <f t="shared" si="16"/>
        <v>3151</v>
      </c>
    </row>
    <row r="81" spans="1:21" x14ac:dyDescent="0.25">
      <c r="A81" s="765" t="s">
        <v>419</v>
      </c>
      <c r="B81" s="764"/>
      <c r="C81" s="764"/>
      <c r="D81" s="565"/>
      <c r="E81" s="584" t="s">
        <v>4</v>
      </c>
      <c r="F81" s="544">
        <f>'0664'!F81</f>
        <v>168663228</v>
      </c>
      <c r="G81" s="587" t="s">
        <v>6</v>
      </c>
      <c r="H81" s="155">
        <f>H66</f>
        <v>1.5219999999999999E-3</v>
      </c>
      <c r="I81" s="120">
        <f t="shared" si="14"/>
        <v>256705.43</v>
      </c>
      <c r="N81" s="860" t="s">
        <v>419</v>
      </c>
      <c r="O81" s="840"/>
      <c r="P81" s="840"/>
      <c r="Q81" s="50"/>
      <c r="R81" s="159">
        <f t="shared" si="15"/>
        <v>168663228</v>
      </c>
      <c r="S81" s="571" t="s">
        <v>6</v>
      </c>
      <c r="T81" s="157">
        <f>T66</f>
        <v>3.68E-4</v>
      </c>
      <c r="U81" s="115">
        <f t="shared" si="16"/>
        <v>62068</v>
      </c>
    </row>
    <row r="82" spans="1:21" x14ac:dyDescent="0.25">
      <c r="A82" s="765" t="s">
        <v>420</v>
      </c>
      <c r="B82" s="764"/>
      <c r="C82" s="764"/>
      <c r="D82" s="565"/>
      <c r="E82" s="584" t="s">
        <v>4</v>
      </c>
      <c r="F82" s="544">
        <f>'0664'!F82</f>
        <v>0</v>
      </c>
      <c r="G82" s="587" t="s">
        <v>6</v>
      </c>
      <c r="H82" s="155">
        <f>H66</f>
        <v>1.5219999999999999E-3</v>
      </c>
      <c r="I82" s="120">
        <f t="shared" si="14"/>
        <v>0</v>
      </c>
      <c r="N82" s="860" t="s">
        <v>420</v>
      </c>
      <c r="O82" s="840"/>
      <c r="P82" s="840"/>
      <c r="Q82" s="50"/>
      <c r="R82" s="156">
        <f t="shared" si="15"/>
        <v>0</v>
      </c>
      <c r="S82" s="571" t="s">
        <v>6</v>
      </c>
      <c r="T82" s="157">
        <f>T66</f>
        <v>3.68E-4</v>
      </c>
      <c r="U82" s="115">
        <f t="shared" si="16"/>
        <v>0</v>
      </c>
    </row>
    <row r="83" spans="1:21" x14ac:dyDescent="0.25">
      <c r="A83" s="717" t="s">
        <v>425</v>
      </c>
      <c r="B83" s="565"/>
      <c r="C83" s="565"/>
      <c r="D83" s="565"/>
      <c r="E83" s="683" t="s">
        <v>45</v>
      </c>
      <c r="F83" s="544"/>
      <c r="G83" s="587"/>
      <c r="H83" s="155"/>
      <c r="I83" s="120">
        <v>60542.93</v>
      </c>
      <c r="N83" s="719" t="s">
        <v>425</v>
      </c>
      <c r="O83" s="566"/>
      <c r="P83" s="566"/>
      <c r="Q83" s="50"/>
      <c r="R83" s="159">
        <f t="shared" si="15"/>
        <v>0</v>
      </c>
      <c r="S83" s="571" t="s">
        <v>6</v>
      </c>
      <c r="T83" s="157">
        <f>T66</f>
        <v>3.68E-4</v>
      </c>
      <c r="U83" s="115">
        <f>IF($H$116=1,I83,0)</f>
        <v>60542.93</v>
      </c>
    </row>
    <row r="84" spans="1:21" x14ac:dyDescent="0.25">
      <c r="A84" s="765" t="s">
        <v>457</v>
      </c>
      <c r="B84" s="764"/>
      <c r="C84" s="764"/>
      <c r="D84" s="744"/>
      <c r="E84" s="747" t="s">
        <v>3</v>
      </c>
      <c r="F84" s="544">
        <f>'0664'!F84</f>
        <v>21614343</v>
      </c>
      <c r="G84" s="749" t="s">
        <v>6</v>
      </c>
      <c r="H84" s="155">
        <f>H63</f>
        <v>4.1399999999999998E-4</v>
      </c>
      <c r="I84" s="120">
        <f>ROUND(F84*H84,2)</f>
        <v>8948.34</v>
      </c>
      <c r="N84" s="860" t="s">
        <v>457</v>
      </c>
      <c r="O84" s="840"/>
      <c r="P84" s="840"/>
      <c r="Q84" s="50"/>
      <c r="R84" s="156">
        <f>F84</f>
        <v>21614343</v>
      </c>
      <c r="S84" s="751" t="s">
        <v>6</v>
      </c>
      <c r="T84" s="157">
        <f>T68</f>
        <v>4.1399999999999998E-4</v>
      </c>
      <c r="U84" s="115">
        <f>ROUND(R84*T84,0)</f>
        <v>8948</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565"/>
      <c r="C87" s="780" t="s">
        <v>74</v>
      </c>
      <c r="D87" s="780"/>
      <c r="E87" s="565"/>
      <c r="F87" s="590" t="s">
        <v>37</v>
      </c>
      <c r="G87" s="565"/>
      <c r="H87" s="565"/>
      <c r="I87" s="565"/>
      <c r="N87" s="566"/>
      <c r="O87" s="566"/>
      <c r="P87" s="566"/>
      <c r="Q87" s="566"/>
      <c r="R87" s="566"/>
      <c r="S87" s="566"/>
      <c r="T87" s="566"/>
      <c r="U87" s="566"/>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74"/>
      <c r="B89" s="64" t="s">
        <v>150</v>
      </c>
      <c r="C89" s="781">
        <f>H13+H14+H19+H22+H25</f>
        <v>179.10199999999998</v>
      </c>
      <c r="D89" s="781"/>
      <c r="E89" s="54">
        <f>H8</f>
        <v>1.0424</v>
      </c>
      <c r="F89" s="545">
        <f>'0664'!F89</f>
        <v>966.9</v>
      </c>
      <c r="G89" s="591" t="s">
        <v>13</v>
      </c>
      <c r="H89" s="120">
        <f>ROUND(C89*E89*F89,2)</f>
        <v>180516.29</v>
      </c>
      <c r="I89" s="124"/>
      <c r="N89" s="575" t="s">
        <v>22</v>
      </c>
      <c r="O89" s="57">
        <f>T13+T14+T19+T22+T25</f>
        <v>42.480000000000004</v>
      </c>
      <c r="P89" s="875">
        <f>T8</f>
        <v>1.0424</v>
      </c>
      <c r="Q89" s="875"/>
      <c r="R89" s="58">
        <f>F89</f>
        <v>966.9</v>
      </c>
      <c r="S89" s="59" t="s">
        <v>13</v>
      </c>
      <c r="T89" s="159">
        <f>ROUND(O89*P89*R89,0)</f>
        <v>42815</v>
      </c>
      <c r="U89" s="121"/>
    </row>
    <row r="90" spans="1:21" x14ac:dyDescent="0.25">
      <c r="A90" s="60"/>
      <c r="B90" s="60" t="s">
        <v>149</v>
      </c>
      <c r="C90" s="781">
        <f>H15+H16+H20+H23+H26</f>
        <v>147.26400000000001</v>
      </c>
      <c r="D90" s="781"/>
      <c r="E90" s="54">
        <f>H8</f>
        <v>1.0424</v>
      </c>
      <c r="F90" s="545">
        <f>'0664'!F90</f>
        <v>923.19</v>
      </c>
      <c r="G90" s="591" t="s">
        <v>13</v>
      </c>
      <c r="H90" s="120">
        <f>ROUND(C90*E90*F90,2)</f>
        <v>141717.04</v>
      </c>
      <c r="I90" s="61"/>
      <c r="N90" s="62" t="s">
        <v>14</v>
      </c>
      <c r="O90" s="57">
        <f>T15+T16+T20+T23+T26</f>
        <v>36.450000000000003</v>
      </c>
      <c r="P90" s="875">
        <f>T8</f>
        <v>1.0424</v>
      </c>
      <c r="Q90" s="875"/>
      <c r="R90" s="58">
        <f>F90</f>
        <v>923.19</v>
      </c>
      <c r="S90" s="59" t="s">
        <v>13</v>
      </c>
      <c r="T90" s="159">
        <f>ROUND(O90*P90*R90,0)</f>
        <v>35077</v>
      </c>
      <c r="U90" s="63"/>
    </row>
    <row r="91" spans="1:21" ht="16.5" thickBot="1" x14ac:dyDescent="0.3">
      <c r="A91" s="64"/>
      <c r="B91" s="64" t="s">
        <v>148</v>
      </c>
      <c r="C91" s="781">
        <f>H17+H18+H21+H24+H27+H28</f>
        <v>0</v>
      </c>
      <c r="D91" s="781"/>
      <c r="E91" s="54">
        <f>H8</f>
        <v>1.0424</v>
      </c>
      <c r="F91" s="545">
        <f>'0664'!F91</f>
        <v>925.42</v>
      </c>
      <c r="G91" s="591"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326.36599999999999</v>
      </c>
      <c r="D92" s="782"/>
      <c r="E92" s="168"/>
      <c r="F92" s="168"/>
      <c r="G92" s="168"/>
      <c r="H92" s="169" t="s">
        <v>145</v>
      </c>
      <c r="I92" s="120">
        <f>IF(A1=75,0,H91+H90+H89)</f>
        <v>322233.33</v>
      </c>
      <c r="N92" s="581" t="s">
        <v>122</v>
      </c>
      <c r="O92" s="69">
        <f>SUM(O89:O91)</f>
        <v>78.930000000000007</v>
      </c>
      <c r="P92" s="876" t="s">
        <v>18</v>
      </c>
      <c r="Q92" s="877"/>
      <c r="R92" s="877"/>
      <c r="S92" s="877"/>
      <c r="T92" s="877"/>
      <c r="U92" s="115">
        <f>IF(N1=75,0,T91+T90+T89)</f>
        <v>77892</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582"/>
      <c r="B94" s="582"/>
      <c r="C94" s="582"/>
      <c r="D94" s="582"/>
      <c r="E94" s="582"/>
      <c r="F94" s="582"/>
      <c r="G94" s="582"/>
      <c r="H94" s="582"/>
      <c r="I94" s="582"/>
      <c r="N94" s="583"/>
      <c r="O94" s="583"/>
      <c r="P94" s="583"/>
      <c r="Q94" s="583"/>
      <c r="R94" s="583"/>
      <c r="S94" s="583"/>
      <c r="T94" s="583"/>
      <c r="U94" s="583"/>
    </row>
    <row r="95" spans="1:21" x14ac:dyDescent="0.25">
      <c r="A95" s="745" t="s">
        <v>459</v>
      </c>
      <c r="C95" s="584"/>
      <c r="D95" s="565"/>
      <c r="E95" s="683" t="s">
        <v>102</v>
      </c>
      <c r="F95" s="774"/>
      <c r="G95" s="774"/>
      <c r="H95" s="774"/>
      <c r="I95" s="774"/>
      <c r="N95" s="860" t="s">
        <v>459</v>
      </c>
      <c r="O95" s="840"/>
      <c r="P95" s="840"/>
      <c r="Q95" s="879"/>
      <c r="R95" s="879"/>
      <c r="S95" s="879"/>
      <c r="T95" s="879"/>
      <c r="U95" s="122"/>
    </row>
    <row r="96" spans="1:21" x14ac:dyDescent="0.25">
      <c r="B96" s="565"/>
      <c r="C96" s="600" t="s">
        <v>435</v>
      </c>
      <c r="D96" s="669" t="s">
        <v>436</v>
      </c>
      <c r="E96" s="108" t="s">
        <v>153</v>
      </c>
      <c r="F96" s="584"/>
      <c r="G96" s="584"/>
      <c r="H96" s="584"/>
      <c r="I96" s="584"/>
      <c r="N96" s="566"/>
      <c r="O96" s="566"/>
      <c r="P96" s="566"/>
      <c r="Q96" s="585"/>
      <c r="R96" s="585"/>
      <c r="S96" s="585"/>
      <c r="T96" s="585"/>
      <c r="U96" s="122"/>
    </row>
    <row r="97" spans="1:21" x14ac:dyDescent="0.25">
      <c r="B97" s="565"/>
      <c r="C97" s="624" t="s">
        <v>2</v>
      </c>
      <c r="D97" s="622" t="s">
        <v>2</v>
      </c>
      <c r="E97" s="622" t="s">
        <v>2</v>
      </c>
      <c r="F97" s="584"/>
      <c r="G97" s="584"/>
      <c r="H97" s="584"/>
      <c r="I97" s="584"/>
      <c r="N97" s="566"/>
      <c r="O97" s="566"/>
      <c r="P97" s="566"/>
      <c r="Q97" s="585"/>
      <c r="R97" s="585"/>
      <c r="S97" s="585"/>
      <c r="T97" s="585"/>
      <c r="U97" s="122"/>
    </row>
    <row r="98" spans="1:21" x14ac:dyDescent="0.25">
      <c r="A98" s="767" t="s">
        <v>66</v>
      </c>
      <c r="B98" s="767"/>
      <c r="C98" s="192">
        <v>0</v>
      </c>
      <c r="D98" s="192">
        <v>2</v>
      </c>
      <c r="E98" s="193">
        <f>(C98+D98)/2</f>
        <v>1</v>
      </c>
      <c r="F98" s="173" t="s">
        <v>39</v>
      </c>
      <c r="G98" s="546">
        <f>'0664'!G98</f>
        <v>486</v>
      </c>
      <c r="I98" s="120">
        <f>ROUND(G98*E98,2)</f>
        <v>486</v>
      </c>
      <c r="N98" s="873" t="s">
        <v>66</v>
      </c>
      <c r="O98" s="873"/>
      <c r="P98" s="874">
        <f>IF(H116=1,E98,0)</f>
        <v>1</v>
      </c>
      <c r="Q98" s="874"/>
      <c r="R98" s="874"/>
      <c r="S98" s="559" t="s">
        <v>39</v>
      </c>
      <c r="T98" s="72">
        <f>G98</f>
        <v>486</v>
      </c>
      <c r="U98" s="115">
        <f>ROUND(T98*P98,0)</f>
        <v>486</v>
      </c>
    </row>
    <row r="99" spans="1:21" x14ac:dyDescent="0.25">
      <c r="A99" s="767" t="s">
        <v>82</v>
      </c>
      <c r="B99" s="767"/>
      <c r="C99" s="192">
        <v>0</v>
      </c>
      <c r="D99" s="192">
        <v>0</v>
      </c>
      <c r="E99" s="193">
        <f>(C99+D99)/2</f>
        <v>0</v>
      </c>
      <c r="F99" s="173" t="s">
        <v>39</v>
      </c>
      <c r="G99" s="546">
        <f>'0664'!G99</f>
        <v>1498</v>
      </c>
      <c r="I99" s="120">
        <f>ROUND(G99*E99,2)</f>
        <v>0</v>
      </c>
      <c r="N99" s="873" t="s">
        <v>82</v>
      </c>
      <c r="O99" s="873"/>
      <c r="P99" s="847"/>
      <c r="Q99" s="847"/>
      <c r="R99" s="847"/>
      <c r="S99" s="559" t="s">
        <v>39</v>
      </c>
      <c r="T99" s="72">
        <f>G99</f>
        <v>1498</v>
      </c>
      <c r="U99" s="115">
        <f>ROUND(T99*P99,0)</f>
        <v>0</v>
      </c>
    </row>
    <row r="100" spans="1:21" x14ac:dyDescent="0.25">
      <c r="A100" s="174"/>
      <c r="B100" s="174"/>
      <c r="C100" s="89"/>
      <c r="D100" s="89"/>
      <c r="E100" s="89"/>
      <c r="F100" s="89"/>
      <c r="G100" s="175"/>
      <c r="H100" s="176"/>
      <c r="I100" s="120"/>
      <c r="N100" s="586"/>
      <c r="O100" s="586"/>
      <c r="P100" s="178"/>
      <c r="Q100" s="178"/>
      <c r="R100" s="178"/>
      <c r="S100" s="559"/>
      <c r="T100" s="72"/>
      <c r="U100" s="122"/>
    </row>
    <row r="101" spans="1:21" x14ac:dyDescent="0.25">
      <c r="A101" s="174"/>
      <c r="B101" s="174"/>
      <c r="C101" s="89"/>
      <c r="D101" s="89"/>
      <c r="E101" s="89"/>
      <c r="F101" s="89"/>
      <c r="G101" s="175"/>
      <c r="H101" s="176"/>
      <c r="I101" s="120"/>
      <c r="N101" s="586"/>
      <c r="O101" s="586"/>
      <c r="P101" s="178"/>
      <c r="Q101" s="178"/>
      <c r="R101" s="178"/>
      <c r="S101" s="559"/>
      <c r="T101" s="72"/>
      <c r="U101" s="122"/>
    </row>
    <row r="102" spans="1:21" hidden="1" x14ac:dyDescent="0.25">
      <c r="A102" s="765" t="s">
        <v>374</v>
      </c>
      <c r="B102" s="764"/>
      <c r="C102" s="764"/>
      <c r="D102" s="565"/>
      <c r="E102" s="686" t="s">
        <v>41</v>
      </c>
      <c r="F102" s="780"/>
      <c r="G102" s="780"/>
      <c r="H102" s="780"/>
      <c r="I102" s="780"/>
      <c r="N102" s="860" t="s">
        <v>383</v>
      </c>
      <c r="O102" s="840"/>
      <c r="P102" s="840"/>
      <c r="Q102" s="840"/>
      <c r="R102" s="840"/>
      <c r="S102" s="840"/>
      <c r="T102" s="840"/>
      <c r="U102" s="840"/>
    </row>
    <row r="103" spans="1:21" hidden="1" x14ac:dyDescent="0.25">
      <c r="B103" s="565"/>
      <c r="C103" s="776" t="s">
        <v>93</v>
      </c>
      <c r="D103" s="776"/>
      <c r="E103" s="776"/>
      <c r="F103" s="580"/>
      <c r="G103" s="580"/>
      <c r="H103" s="591" t="s">
        <v>154</v>
      </c>
      <c r="I103" s="580"/>
      <c r="N103" s="566"/>
      <c r="O103" s="566"/>
      <c r="P103" s="566"/>
      <c r="Q103" s="566"/>
      <c r="R103" s="566"/>
      <c r="S103" s="566"/>
      <c r="T103" s="566"/>
      <c r="U103" s="566"/>
    </row>
    <row r="104" spans="1:21" hidden="1" x14ac:dyDescent="0.25">
      <c r="B104" s="565"/>
      <c r="C104" s="600" t="s">
        <v>392</v>
      </c>
      <c r="D104" s="600" t="s">
        <v>370</v>
      </c>
      <c r="E104" s="185" t="s">
        <v>8</v>
      </c>
      <c r="F104" s="883" t="s">
        <v>155</v>
      </c>
      <c r="G104" s="770"/>
      <c r="H104" s="587" t="s">
        <v>38</v>
      </c>
      <c r="I104" s="580"/>
      <c r="N104" s="566"/>
      <c r="O104" s="566"/>
      <c r="P104" s="566"/>
      <c r="Q104" s="566"/>
      <c r="R104" s="566"/>
      <c r="S104" s="566"/>
      <c r="T104" s="566"/>
      <c r="U104" s="566"/>
    </row>
    <row r="105" spans="1:21" hidden="1" x14ac:dyDescent="0.25">
      <c r="A105" s="776" t="s">
        <v>96</v>
      </c>
      <c r="B105" s="776"/>
      <c r="C105" s="109" t="s">
        <v>2</v>
      </c>
      <c r="D105" s="109" t="s">
        <v>2</v>
      </c>
      <c r="E105" s="576" t="s">
        <v>2</v>
      </c>
      <c r="F105" s="776" t="s">
        <v>37</v>
      </c>
      <c r="G105" s="776"/>
      <c r="H105" s="576" t="s">
        <v>37</v>
      </c>
      <c r="I105" s="576" t="s">
        <v>8</v>
      </c>
      <c r="N105" s="859" t="s">
        <v>67</v>
      </c>
      <c r="O105" s="859"/>
      <c r="P105" s="874" t="s">
        <v>93</v>
      </c>
      <c r="Q105" s="874"/>
      <c r="R105" s="859" t="s">
        <v>68</v>
      </c>
      <c r="S105" s="859"/>
      <c r="T105" s="577" t="s">
        <v>69</v>
      </c>
      <c r="U105" s="577" t="s">
        <v>8</v>
      </c>
    </row>
    <row r="106" spans="1:21" hidden="1" x14ac:dyDescent="0.25">
      <c r="A106" s="771" t="s">
        <v>70</v>
      </c>
      <c r="B106" s="771"/>
      <c r="C106" s="190">
        <v>0</v>
      </c>
      <c r="D106" s="190">
        <v>0</v>
      </c>
      <c r="E106" s="191">
        <f>IF(D$59=0,C106*2,C106+D106)</f>
        <v>0</v>
      </c>
      <c r="F106" s="889">
        <v>0</v>
      </c>
      <c r="G106" s="889"/>
      <c r="H106" s="75">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93">
        <f>IF(D$59=0,C107*2,C107+D107)</f>
        <v>0</v>
      </c>
      <c r="F107" s="810">
        <f>ROUND(F106/2,2)</f>
        <v>0</v>
      </c>
      <c r="G107" s="810"/>
      <c r="H107" s="77">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93">
        <f>IF(D$59=0,C108*2,C108+D108)</f>
        <v>0</v>
      </c>
      <c r="F108" s="773"/>
      <c r="G108" s="773"/>
      <c r="H108" s="79">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587"/>
      <c r="B110" s="587"/>
      <c r="C110" s="81"/>
      <c r="D110" s="81"/>
      <c r="E110" s="81"/>
      <c r="F110" s="81"/>
      <c r="G110" s="81"/>
      <c r="H110" s="81"/>
      <c r="I110" s="120"/>
      <c r="N110" s="571"/>
      <c r="O110" s="571"/>
      <c r="P110" s="82"/>
      <c r="Q110" s="82"/>
      <c r="R110" s="82"/>
      <c r="S110" s="82"/>
      <c r="T110" s="82"/>
      <c r="U110" s="187"/>
    </row>
    <row r="111" spans="1:21" x14ac:dyDescent="0.25">
      <c r="A111" s="765" t="s">
        <v>460</v>
      </c>
      <c r="B111" s="764"/>
      <c r="C111" s="764"/>
      <c r="D111" s="565"/>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565"/>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565"/>
      <c r="C113" s="565"/>
      <c r="D113" s="565"/>
      <c r="E113" s="588"/>
      <c r="F113" s="588"/>
      <c r="G113" s="588"/>
      <c r="H113" s="588"/>
      <c r="I113" s="147"/>
      <c r="N113" s="857" t="s">
        <v>42</v>
      </c>
      <c r="O113" s="857"/>
      <c r="P113" s="857"/>
      <c r="Q113" s="857"/>
      <c r="R113" s="857"/>
      <c r="S113" s="857"/>
      <c r="T113" s="857"/>
      <c r="U113" s="179">
        <f>SUM(U111,U109,U99,U98,U92,U78,U77,U75,U74,U73,U72,U71,U70,U68,U59,U45,U79,U80,U83,U81,U82,U112)</f>
        <v>591829.93000000005</v>
      </c>
    </row>
    <row r="114" spans="1:21" ht="16.5" thickTop="1" x14ac:dyDescent="0.25">
      <c r="A114" s="767" t="s">
        <v>8</v>
      </c>
      <c r="B114" s="767"/>
      <c r="C114" s="767"/>
      <c r="D114" s="767"/>
      <c r="E114" s="767"/>
      <c r="F114" s="767"/>
      <c r="G114" s="767"/>
      <c r="H114" s="767"/>
      <c r="I114" s="120">
        <f>SUM(I112,I111,I109,I99,I98,I92,I84,I82,I81,I83,I80,I79,I78,I77,I75,I74,I73,I72,I71,I70,I68,I59,I45)</f>
        <v>2194316.1900000004</v>
      </c>
      <c r="N114" s="575"/>
      <c r="O114" s="575"/>
      <c r="P114" s="575"/>
      <c r="Q114" s="575"/>
      <c r="R114" s="575"/>
      <c r="S114" s="575"/>
      <c r="T114" s="575"/>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f>IF(E29=0,"",IF((E14+E16+SUM(E18:E24))/E29&gt;0.75,1,""))</f>
        <v>1</v>
      </c>
      <c r="I116" s="147">
        <f>U113</f>
        <v>591829.93000000005</v>
      </c>
      <c r="N116" s="880" t="s">
        <v>7</v>
      </c>
      <c r="O116" s="880"/>
      <c r="P116" s="880"/>
      <c r="Q116" s="880"/>
      <c r="R116" s="880"/>
      <c r="S116" s="880"/>
      <c r="T116" s="880"/>
      <c r="U116" s="880"/>
    </row>
    <row r="117" spans="1:21" x14ac:dyDescent="0.25">
      <c r="B117" s="565"/>
      <c r="C117" s="565"/>
      <c r="D117" s="565"/>
      <c r="E117" s="565"/>
      <c r="F117" s="565"/>
      <c r="G117" s="565"/>
      <c r="H117" s="89"/>
      <c r="I117" s="120"/>
      <c r="N117" s="88" t="s">
        <v>108</v>
      </c>
      <c r="O117" s="88"/>
      <c r="P117" s="88"/>
      <c r="Q117" s="88"/>
      <c r="R117" s="88"/>
      <c r="S117" s="88"/>
      <c r="T117" s="88"/>
      <c r="U117" s="88"/>
    </row>
    <row r="118" spans="1:21" x14ac:dyDescent="0.25">
      <c r="A118" s="3" t="s">
        <v>104</v>
      </c>
      <c r="B118" s="565"/>
      <c r="C118" s="565"/>
      <c r="D118" s="565"/>
      <c r="E118" s="565"/>
      <c r="F118" s="565"/>
      <c r="G118" s="396"/>
      <c r="H118" s="188">
        <f>IF(H116=1,I116,I114)</f>
        <v>591829.93000000005</v>
      </c>
      <c r="I118" s="113">
        <f>ROUND(IF(E29=0,0,IF(E29&gt;250,-(((250/E29)*H118)*IF(G118="H",0.02,0.05)),IF(G118="H",-0.02*H118,-0.05*H118))),2)</f>
        <v>-29591.5</v>
      </c>
      <c r="N118" s="90" t="s">
        <v>109</v>
      </c>
      <c r="O118" s="88"/>
      <c r="P118" s="88"/>
      <c r="Q118" s="88"/>
      <c r="R118" s="88"/>
      <c r="S118" s="88"/>
      <c r="T118" s="88"/>
      <c r="U118" s="88"/>
    </row>
    <row r="119" spans="1:21" x14ac:dyDescent="0.25">
      <c r="B119" s="565"/>
      <c r="C119" s="565"/>
      <c r="D119" s="565"/>
      <c r="E119" s="565"/>
      <c r="F119" s="565"/>
      <c r="G119" s="565"/>
      <c r="H119" s="89"/>
      <c r="I119" s="120"/>
      <c r="N119" s="589"/>
      <c r="O119" s="589"/>
      <c r="P119" s="589"/>
      <c r="Q119" s="589"/>
      <c r="R119" s="589"/>
      <c r="S119" s="589"/>
      <c r="T119" s="589"/>
      <c r="U119" s="589"/>
    </row>
    <row r="120" spans="1:21" x14ac:dyDescent="0.25">
      <c r="A120" s="552" t="s">
        <v>105</v>
      </c>
      <c r="B120" s="553"/>
      <c r="C120" s="553"/>
      <c r="D120" s="553"/>
      <c r="E120" s="553"/>
      <c r="F120" s="553"/>
      <c r="G120" s="553"/>
      <c r="H120" s="554"/>
      <c r="I120" s="555">
        <f>I114+I118</f>
        <v>2164724.6900000004</v>
      </c>
      <c r="N120" s="589"/>
      <c r="O120" s="589"/>
      <c r="P120" s="589"/>
      <c r="Q120" s="589"/>
      <c r="R120" s="589"/>
      <c r="S120" s="589"/>
      <c r="T120" s="589"/>
      <c r="U120" s="589"/>
    </row>
    <row r="121" spans="1:21" x14ac:dyDescent="0.25">
      <c r="B121" s="565"/>
      <c r="C121" s="565"/>
      <c r="D121" s="565"/>
      <c r="E121" s="565"/>
      <c r="F121" s="565"/>
      <c r="G121" s="565"/>
      <c r="H121" s="89"/>
      <c r="I121" s="120"/>
      <c r="N121" s="589"/>
      <c r="O121" s="589"/>
      <c r="P121" s="589"/>
      <c r="Q121" s="589"/>
      <c r="R121" s="589"/>
      <c r="S121" s="589"/>
      <c r="T121" s="589"/>
      <c r="U121" s="589"/>
    </row>
    <row r="122" spans="1:21" x14ac:dyDescent="0.25">
      <c r="A122" s="3" t="s">
        <v>106</v>
      </c>
      <c r="B122" s="565"/>
      <c r="C122" s="189"/>
      <c r="D122" s="565"/>
      <c r="F122" s="565"/>
      <c r="G122" s="565"/>
      <c r="H122" s="89"/>
      <c r="I122" s="424">
        <v>-2165471.25</v>
      </c>
      <c r="N122" s="589"/>
      <c r="O122" s="589"/>
      <c r="P122" s="589"/>
      <c r="Q122" s="589"/>
      <c r="R122" s="589"/>
      <c r="S122" s="589"/>
      <c r="T122" s="589"/>
      <c r="U122" s="589"/>
    </row>
    <row r="123" spans="1:21" x14ac:dyDescent="0.25">
      <c r="B123" s="565"/>
      <c r="C123" s="565"/>
      <c r="D123" s="565"/>
      <c r="E123" s="565"/>
      <c r="F123" s="565"/>
      <c r="G123" s="565"/>
      <c r="H123" s="89"/>
      <c r="I123" s="120"/>
      <c r="N123" s="589"/>
      <c r="O123" s="589"/>
      <c r="P123" s="589"/>
      <c r="Q123" s="589"/>
      <c r="R123" s="589"/>
      <c r="S123" s="589"/>
      <c r="T123" s="589"/>
      <c r="U123" s="589"/>
    </row>
    <row r="124" spans="1:21" x14ac:dyDescent="0.25">
      <c r="A124" s="578" t="s">
        <v>313</v>
      </c>
      <c r="B124" s="565"/>
      <c r="C124" s="565"/>
      <c r="D124" s="565"/>
      <c r="E124" s="565"/>
      <c r="F124" s="565"/>
      <c r="G124" s="565"/>
      <c r="H124" s="89"/>
      <c r="I124" s="120">
        <f>I120+I122</f>
        <v>-746.55999999959022</v>
      </c>
      <c r="N124" s="589"/>
      <c r="O124" s="589"/>
      <c r="P124" s="589"/>
      <c r="Q124" s="589"/>
      <c r="R124" s="589"/>
      <c r="S124" s="589"/>
      <c r="T124" s="589"/>
      <c r="U124" s="589"/>
    </row>
    <row r="125" spans="1:21" x14ac:dyDescent="0.25">
      <c r="A125" s="578"/>
      <c r="B125" s="565"/>
      <c r="C125" s="565"/>
      <c r="D125" s="565"/>
      <c r="E125" s="565"/>
      <c r="F125" s="565"/>
      <c r="G125" s="565"/>
      <c r="H125" s="89"/>
      <c r="I125" s="120"/>
      <c r="N125" s="589"/>
      <c r="O125" s="589"/>
      <c r="P125" s="589"/>
      <c r="Q125" s="589"/>
      <c r="R125" s="589"/>
      <c r="S125" s="589"/>
      <c r="T125" s="589"/>
      <c r="U125" s="589"/>
    </row>
    <row r="126" spans="1:21" x14ac:dyDescent="0.25">
      <c r="A126" s="578" t="s">
        <v>314</v>
      </c>
      <c r="B126" s="565"/>
      <c r="C126" s="565"/>
      <c r="D126" s="565"/>
      <c r="E126" s="565"/>
      <c r="F126" s="565"/>
      <c r="G126" s="565"/>
      <c r="H126" s="89"/>
      <c r="I126" s="425">
        <f>'0664'!I126</f>
        <v>1</v>
      </c>
      <c r="N126" s="589"/>
      <c r="O126" s="589"/>
      <c r="P126" s="589"/>
      <c r="Q126" s="589"/>
      <c r="R126" s="589"/>
      <c r="S126" s="589"/>
      <c r="T126" s="589"/>
      <c r="U126" s="589"/>
    </row>
    <row r="127" spans="1:21" x14ac:dyDescent="0.25">
      <c r="B127" s="565"/>
      <c r="C127" s="565"/>
      <c r="D127" s="565"/>
      <c r="E127" s="565"/>
      <c r="F127" s="565"/>
      <c r="G127" s="565"/>
      <c r="H127" s="89"/>
      <c r="I127" s="120"/>
      <c r="N127" s="589"/>
      <c r="O127" s="589"/>
      <c r="P127" s="589"/>
      <c r="Q127" s="589"/>
      <c r="R127" s="589"/>
      <c r="S127" s="589"/>
      <c r="T127" s="589"/>
      <c r="U127" s="589"/>
    </row>
    <row r="128" spans="1:21" ht="16.5" thickBot="1" x14ac:dyDescent="0.3">
      <c r="A128" s="3" t="s">
        <v>107</v>
      </c>
      <c r="B128" s="565"/>
      <c r="C128" s="565"/>
      <c r="D128" s="565"/>
      <c r="E128" s="565"/>
      <c r="F128" s="565"/>
      <c r="G128" s="565"/>
      <c r="H128" s="89"/>
      <c r="I128" s="205">
        <f>ROUND(I124/I126,2)</f>
        <v>-746.56</v>
      </c>
      <c r="N128" s="589"/>
      <c r="O128" s="589"/>
      <c r="P128" s="589"/>
      <c r="Q128" s="589"/>
      <c r="R128" s="589"/>
      <c r="S128" s="589"/>
      <c r="T128" s="589"/>
      <c r="U128" s="589"/>
    </row>
    <row r="129" spans="1:21" ht="16.5" thickTop="1" x14ac:dyDescent="0.25">
      <c r="B129" s="565"/>
      <c r="C129" s="565"/>
      <c r="D129" s="565"/>
      <c r="E129" s="565"/>
      <c r="F129" s="565"/>
      <c r="G129" s="565"/>
      <c r="H129" s="89"/>
      <c r="I129" s="120"/>
      <c r="N129" s="589"/>
      <c r="O129" s="589"/>
      <c r="P129" s="589"/>
      <c r="Q129" s="589"/>
      <c r="R129" s="589"/>
      <c r="S129" s="589"/>
      <c r="T129" s="589"/>
      <c r="U129" s="589"/>
    </row>
    <row r="130" spans="1:21" ht="16.5" thickBot="1" x14ac:dyDescent="0.3">
      <c r="A130" s="3" t="s">
        <v>123</v>
      </c>
      <c r="B130" s="565"/>
      <c r="C130" s="565"/>
      <c r="D130" s="565"/>
      <c r="E130" s="565"/>
      <c r="F130" s="565"/>
      <c r="G130" s="565"/>
      <c r="H130" s="89"/>
      <c r="I130" s="180">
        <f>ROUND(IF(G118="H",(H118*0.02)+I118,(H118*0.05)+I118),2)</f>
        <v>0</v>
      </c>
      <c r="N130" s="589"/>
      <c r="O130" s="589"/>
      <c r="P130" s="589"/>
      <c r="Q130" s="589"/>
      <c r="R130" s="589"/>
      <c r="S130" s="589"/>
      <c r="T130" s="589"/>
      <c r="U130" s="589"/>
    </row>
    <row r="131" spans="1:21" ht="16.5" thickTop="1" x14ac:dyDescent="0.25">
      <c r="B131" s="565"/>
      <c r="C131" s="565"/>
      <c r="D131" s="565"/>
      <c r="E131" s="565"/>
      <c r="F131" s="565"/>
      <c r="G131" s="565"/>
      <c r="H131" s="89"/>
      <c r="I131" s="181"/>
      <c r="N131" s="589"/>
      <c r="O131" s="589"/>
      <c r="P131" s="589"/>
      <c r="Q131" s="589"/>
      <c r="R131" s="589"/>
      <c r="S131" s="589"/>
      <c r="T131" s="589"/>
      <c r="U131" s="589"/>
    </row>
    <row r="132" spans="1:21" x14ac:dyDescent="0.25">
      <c r="B132" s="565"/>
      <c r="C132" s="565"/>
      <c r="D132" s="565"/>
      <c r="E132" s="565"/>
      <c r="F132" s="565"/>
      <c r="G132" s="565"/>
      <c r="H132" s="89"/>
      <c r="I132" s="120"/>
      <c r="N132" s="589"/>
      <c r="O132" s="589"/>
      <c r="P132" s="589"/>
      <c r="Q132" s="589"/>
      <c r="R132" s="589"/>
      <c r="S132" s="589"/>
      <c r="T132" s="589"/>
      <c r="U132" s="589"/>
    </row>
    <row r="133" spans="1:21" x14ac:dyDescent="0.25">
      <c r="B133" s="565"/>
      <c r="C133" s="565"/>
      <c r="D133" s="565"/>
      <c r="E133" s="565"/>
      <c r="F133" s="565"/>
      <c r="G133" s="565"/>
      <c r="H133" s="89"/>
      <c r="I133" s="181"/>
      <c r="N133" s="589"/>
      <c r="O133" s="589"/>
      <c r="P133" s="589"/>
      <c r="Q133" s="589"/>
      <c r="R133" s="589"/>
      <c r="S133" s="589"/>
      <c r="T133" s="589"/>
      <c r="U133" s="589"/>
    </row>
    <row r="134" spans="1:21" x14ac:dyDescent="0.25">
      <c r="A134" s="492" t="s">
        <v>7</v>
      </c>
      <c r="B134" s="492"/>
      <c r="C134" s="492"/>
      <c r="D134" s="492"/>
      <c r="E134" s="492"/>
      <c r="F134" s="492"/>
      <c r="G134" s="492"/>
      <c r="H134" s="492"/>
      <c r="I134" s="492"/>
      <c r="J134" s="182"/>
      <c r="N134" s="589"/>
      <c r="O134" s="589"/>
      <c r="P134" s="589"/>
      <c r="Q134" s="589"/>
      <c r="R134" s="589"/>
      <c r="S134" s="589"/>
      <c r="T134" s="589"/>
      <c r="U134" s="58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589"/>
      <c r="O136" s="589"/>
      <c r="P136" s="589"/>
      <c r="Q136" s="589"/>
      <c r="R136" s="589"/>
      <c r="S136" s="589"/>
      <c r="T136" s="589"/>
      <c r="U136" s="58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N135:U135"/>
    <mergeCell ref="N113:T113"/>
    <mergeCell ref="A114:H114"/>
    <mergeCell ref="A115:G115"/>
    <mergeCell ref="N115:U115"/>
    <mergeCell ref="A116:G116"/>
    <mergeCell ref="N116:U116"/>
    <mergeCell ref="A109:B109"/>
    <mergeCell ref="N109:O109"/>
    <mergeCell ref="A111:C111"/>
    <mergeCell ref="F111:H111"/>
    <mergeCell ref="N111:P111"/>
    <mergeCell ref="A112:C112"/>
    <mergeCell ref="F112:H112"/>
    <mergeCell ref="N112:P112"/>
    <mergeCell ref="A107:B107"/>
    <mergeCell ref="F107:G107"/>
    <mergeCell ref="N107:O107"/>
    <mergeCell ref="P107:Q107"/>
    <mergeCell ref="R107:S107"/>
    <mergeCell ref="A108:B108"/>
    <mergeCell ref="F108:G108"/>
    <mergeCell ref="N108:O108"/>
    <mergeCell ref="P108:Q108"/>
    <mergeCell ref="R108:S108"/>
    <mergeCell ref="R105:S105"/>
    <mergeCell ref="A106:B106"/>
    <mergeCell ref="F106:G106"/>
    <mergeCell ref="N106:O106"/>
    <mergeCell ref="P106:Q106"/>
    <mergeCell ref="R106:S106"/>
    <mergeCell ref="C103:E103"/>
    <mergeCell ref="F104:G104"/>
    <mergeCell ref="A105:B105"/>
    <mergeCell ref="F105:G105"/>
    <mergeCell ref="N105:O105"/>
    <mergeCell ref="P105:Q105"/>
    <mergeCell ref="A99:B99"/>
    <mergeCell ref="N99:O99"/>
    <mergeCell ref="P99:R99"/>
    <mergeCell ref="A102:C102"/>
    <mergeCell ref="F102:I102"/>
    <mergeCell ref="N102:U102"/>
    <mergeCell ref="A93:I93"/>
    <mergeCell ref="N93:U93"/>
    <mergeCell ref="F95:I95"/>
    <mergeCell ref="N95:P95"/>
    <mergeCell ref="Q95:T95"/>
    <mergeCell ref="A98:B98"/>
    <mergeCell ref="N98:O98"/>
    <mergeCell ref="P98:R98"/>
    <mergeCell ref="C90:D90"/>
    <mergeCell ref="P90:Q90"/>
    <mergeCell ref="C91:D91"/>
    <mergeCell ref="P91:Q91"/>
    <mergeCell ref="C92:D92"/>
    <mergeCell ref="P92:T92"/>
    <mergeCell ref="C87:D87"/>
    <mergeCell ref="C88:D88"/>
    <mergeCell ref="N88:O88"/>
    <mergeCell ref="P88:Q88"/>
    <mergeCell ref="R88:U88"/>
    <mergeCell ref="C89:D89"/>
    <mergeCell ref="P89:Q89"/>
    <mergeCell ref="A81:C81"/>
    <mergeCell ref="N81:P81"/>
    <mergeCell ref="A82:C82"/>
    <mergeCell ref="N82:P82"/>
    <mergeCell ref="A86:I86"/>
    <mergeCell ref="N86:U86"/>
    <mergeCell ref="A84:C84"/>
    <mergeCell ref="N84:P84"/>
    <mergeCell ref="F74:H74"/>
    <mergeCell ref="N74:T74"/>
    <mergeCell ref="N75:T75"/>
    <mergeCell ref="A79:C79"/>
    <mergeCell ref="N79:P79"/>
    <mergeCell ref="A80:C80"/>
    <mergeCell ref="N80:P80"/>
    <mergeCell ref="A77:C77"/>
    <mergeCell ref="N77:P77"/>
    <mergeCell ref="A78:C78"/>
    <mergeCell ref="A70:C70"/>
    <mergeCell ref="A71:C71"/>
    <mergeCell ref="N71:P71"/>
    <mergeCell ref="A72:C72"/>
    <mergeCell ref="N72:P72"/>
    <mergeCell ref="A73:C73"/>
    <mergeCell ref="N73:P73"/>
    <mergeCell ref="N66:S66"/>
    <mergeCell ref="T66:U66"/>
    <mergeCell ref="A68:C68"/>
    <mergeCell ref="N68:P68"/>
    <mergeCell ref="A69:C69"/>
    <mergeCell ref="N69:P69"/>
    <mergeCell ref="N63:S63"/>
    <mergeCell ref="T63:U63"/>
    <mergeCell ref="A64:I64"/>
    <mergeCell ref="N64:U64"/>
    <mergeCell ref="A65:B65"/>
    <mergeCell ref="D65:G65"/>
    <mergeCell ref="N65:O65"/>
    <mergeCell ref="Q65:S65"/>
    <mergeCell ref="T65:U65"/>
    <mergeCell ref="A60:I60"/>
    <mergeCell ref="N60:U60"/>
    <mergeCell ref="A61:I61"/>
    <mergeCell ref="N61:U61"/>
    <mergeCell ref="A62:B62"/>
    <mergeCell ref="D62:G62"/>
    <mergeCell ref="N62:O62"/>
    <mergeCell ref="Q62:S62"/>
    <mergeCell ref="T62:U62"/>
    <mergeCell ref="P58:Q58"/>
    <mergeCell ref="A59:B59"/>
    <mergeCell ref="F59:H59"/>
    <mergeCell ref="N59:O59"/>
    <mergeCell ref="P59:Q59"/>
    <mergeCell ref="R59:T59"/>
    <mergeCell ref="A50:B58"/>
    <mergeCell ref="N50:O58"/>
    <mergeCell ref="P50:Q50"/>
    <mergeCell ref="P51:Q51"/>
    <mergeCell ref="P52:Q52"/>
    <mergeCell ref="P53:Q53"/>
    <mergeCell ref="P54:Q54"/>
    <mergeCell ref="P55:Q55"/>
    <mergeCell ref="P56:Q56"/>
    <mergeCell ref="P57:Q57"/>
    <mergeCell ref="N43:Q43"/>
    <mergeCell ref="S43:T43"/>
    <mergeCell ref="N45:Q45"/>
    <mergeCell ref="S45:T45"/>
    <mergeCell ref="N49:O49"/>
    <mergeCell ref="P49:Q49"/>
    <mergeCell ref="A41:B41"/>
    <mergeCell ref="N41:O41"/>
    <mergeCell ref="P41:T41"/>
    <mergeCell ref="A42:B42"/>
    <mergeCell ref="N42:O42"/>
    <mergeCell ref="P42:T42"/>
    <mergeCell ref="A39:B39"/>
    <mergeCell ref="N39:O39"/>
    <mergeCell ref="P39:T39"/>
    <mergeCell ref="A40:B40"/>
    <mergeCell ref="N40:O40"/>
    <mergeCell ref="P40:T40"/>
    <mergeCell ref="A37:B37"/>
    <mergeCell ref="N37:O37"/>
    <mergeCell ref="P37:T37"/>
    <mergeCell ref="A38:B38"/>
    <mergeCell ref="N38:O38"/>
    <mergeCell ref="P38:T38"/>
    <mergeCell ref="A29:B29"/>
    <mergeCell ref="F29:G29"/>
    <mergeCell ref="N29:O29"/>
    <mergeCell ref="P29:Q29"/>
    <mergeCell ref="R29:S29"/>
    <mergeCell ref="F33:H36"/>
    <mergeCell ref="N34:T34"/>
    <mergeCell ref="A36:B36"/>
    <mergeCell ref="N36:O36"/>
    <mergeCell ref="P36:T36"/>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N12:O12"/>
    <mergeCell ref="P12:Q12"/>
    <mergeCell ref="R12:S12"/>
    <mergeCell ref="A13:B13"/>
    <mergeCell ref="F13:G13"/>
    <mergeCell ref="N13:O13"/>
    <mergeCell ref="P13:Q13"/>
    <mergeCell ref="R13:S13"/>
    <mergeCell ref="A14:B14"/>
    <mergeCell ref="F14:G14"/>
    <mergeCell ref="N14:O14"/>
    <mergeCell ref="P14:Q14"/>
    <mergeCell ref="R14:S14"/>
    <mergeCell ref="N7:U7"/>
    <mergeCell ref="N8:O8"/>
    <mergeCell ref="P8:Q8"/>
    <mergeCell ref="R8:S8"/>
    <mergeCell ref="T8:U8"/>
    <mergeCell ref="F10:G10"/>
    <mergeCell ref="R10:S10"/>
    <mergeCell ref="N78:P78"/>
    <mergeCell ref="B1:I1"/>
    <mergeCell ref="O1:U1"/>
    <mergeCell ref="N2:U2"/>
    <mergeCell ref="N3:U3"/>
    <mergeCell ref="A4:B4"/>
    <mergeCell ref="C4:E4"/>
    <mergeCell ref="N4:O4"/>
    <mergeCell ref="P4:Q4"/>
    <mergeCell ref="A7:I7"/>
    <mergeCell ref="A11:B11"/>
    <mergeCell ref="F11:G11"/>
    <mergeCell ref="N11:O11"/>
    <mergeCell ref="P11:Q11"/>
    <mergeCell ref="R11:S11"/>
    <mergeCell ref="A12:B12"/>
    <mergeCell ref="F12:G12"/>
  </mergeCells>
  <pageMargins left="0.1" right="0.1" top="0.5" bottom="0.5" header="0" footer="0.1"/>
  <pageSetup scale="70" fitToHeight="3" orientation="portrait" r:id="rId1"/>
  <headerFooter alignWithMargins="0">
    <oddFooter>&amp;L&amp;8&amp;Z&amp;F&amp;R&amp;P of &amp;N</oddFooter>
  </headerFooter>
  <rowBreaks count="1" manualBreakCount="1">
    <brk id="134" max="16383" man="1"/>
  </rowBreaks>
  <colBreaks count="1" manualBreakCount="1">
    <brk id="9"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U202"/>
  <sheetViews>
    <sheetView showGridLines="0" zoomScale="90" zoomScaleNormal="90" workbookViewId="0">
      <pane ySplit="1" topLeftCell="A92" activePane="bottomLeft" state="frozen"/>
      <selection activeCell="A46" sqref="A46:IV46"/>
      <selection pane="bottomLeft" activeCell="K128" sqref="K128"/>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319</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00" t="s">
        <v>391</v>
      </c>
      <c r="C9" s="666" t="s">
        <v>391</v>
      </c>
      <c r="D9" s="600" t="s">
        <v>391</v>
      </c>
      <c r="E9" s="8"/>
      <c r="F9" s="9"/>
      <c r="G9" s="9"/>
      <c r="H9" s="10"/>
      <c r="I9" s="547" t="s">
        <v>428</v>
      </c>
      <c r="N9" s="12"/>
      <c r="O9" s="12"/>
      <c r="P9" s="13"/>
      <c r="Q9" s="13"/>
      <c r="R9" s="14"/>
      <c r="S9" s="14"/>
      <c r="T9" s="15"/>
      <c r="U9" s="721" t="s">
        <v>428</v>
      </c>
    </row>
    <row r="10" spans="1:21" x14ac:dyDescent="0.25">
      <c r="A10" s="7"/>
      <c r="B10" s="81"/>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38" t="s">
        <v>1</v>
      </c>
      <c r="B11" s="38"/>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259</v>
      </c>
      <c r="D17" s="192">
        <v>263.72000000000003</v>
      </c>
      <c r="E17" s="147">
        <f t="shared" si="3"/>
        <v>522.72</v>
      </c>
      <c r="F17" s="814">
        <f>'0664'!F17:G17</f>
        <v>1.01</v>
      </c>
      <c r="G17" s="814"/>
      <c r="H17" s="99">
        <f t="shared" si="4"/>
        <v>527.94719999999995</v>
      </c>
      <c r="I17" s="120">
        <f t="shared" si="0"/>
        <v>2406553.0099999998</v>
      </c>
      <c r="N17" s="840" t="s">
        <v>33</v>
      </c>
      <c r="O17" s="840"/>
      <c r="P17" s="841">
        <f t="shared" si="1"/>
        <v>0</v>
      </c>
      <c r="Q17" s="841"/>
      <c r="R17" s="842">
        <v>1</v>
      </c>
      <c r="S17" s="842"/>
      <c r="T17" s="114">
        <f t="shared" si="5"/>
        <v>0</v>
      </c>
      <c r="U17" s="115">
        <f t="shared" si="2"/>
        <v>0</v>
      </c>
    </row>
    <row r="18" spans="1:21" x14ac:dyDescent="0.25">
      <c r="A18" s="764" t="s">
        <v>34</v>
      </c>
      <c r="B18" s="764"/>
      <c r="C18" s="192">
        <v>35.35</v>
      </c>
      <c r="D18" s="192">
        <v>35.35</v>
      </c>
      <c r="E18" s="147">
        <f t="shared" si="3"/>
        <v>70.7</v>
      </c>
      <c r="F18" s="814">
        <f>'0664'!F18:G18</f>
        <v>1.01</v>
      </c>
      <c r="G18" s="814"/>
      <c r="H18" s="99">
        <f t="shared" si="4"/>
        <v>71.406999999999996</v>
      </c>
      <c r="I18" s="120">
        <f t="shared" si="0"/>
        <v>325496.06</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9.93</v>
      </c>
      <c r="D27" s="192">
        <v>8.57</v>
      </c>
      <c r="E27" s="147">
        <f t="shared" si="3"/>
        <v>18.5</v>
      </c>
      <c r="F27" s="814">
        <f>'0664'!F27:G27</f>
        <v>1.1990000000000001</v>
      </c>
      <c r="G27" s="814"/>
      <c r="H27" s="99">
        <f t="shared" si="4"/>
        <v>22.1815</v>
      </c>
      <c r="I27" s="120">
        <f t="shared" si="0"/>
        <v>101110.41</v>
      </c>
      <c r="N27" s="840" t="s">
        <v>118</v>
      </c>
      <c r="O27" s="840"/>
      <c r="P27" s="841">
        <f t="shared" si="1"/>
        <v>0</v>
      </c>
      <c r="Q27" s="841"/>
      <c r="R27" s="842">
        <v>1</v>
      </c>
      <c r="S27" s="842"/>
      <c r="T27" s="114">
        <f t="shared" si="5"/>
        <v>0</v>
      </c>
      <c r="U27" s="115">
        <f t="shared" si="2"/>
        <v>0</v>
      </c>
    </row>
    <row r="28" spans="1:21" x14ac:dyDescent="0.25">
      <c r="A28" s="790" t="s">
        <v>119</v>
      </c>
      <c r="B28" s="790"/>
      <c r="C28" s="137">
        <v>77.319999999999993</v>
      </c>
      <c r="D28" s="137">
        <v>74.599999999999994</v>
      </c>
      <c r="E28" s="204">
        <f t="shared" si="3"/>
        <v>151.91999999999999</v>
      </c>
      <c r="F28" s="815">
        <f>'0664'!F28:G28</f>
        <v>1.01</v>
      </c>
      <c r="G28" s="815"/>
      <c r="H28" s="112">
        <f t="shared" si="4"/>
        <v>153.4392</v>
      </c>
      <c r="I28" s="113">
        <f t="shared" si="0"/>
        <v>699425.19</v>
      </c>
      <c r="N28" s="845" t="s">
        <v>119</v>
      </c>
      <c r="O28" s="845"/>
      <c r="P28" s="841">
        <f t="shared" si="1"/>
        <v>0</v>
      </c>
      <c r="Q28" s="841"/>
      <c r="R28" s="846">
        <v>1</v>
      </c>
      <c r="S28" s="846"/>
      <c r="T28" s="114">
        <f t="shared" si="5"/>
        <v>0</v>
      </c>
      <c r="U28" s="115">
        <f t="shared" si="2"/>
        <v>0</v>
      </c>
    </row>
    <row r="29" spans="1:21" x14ac:dyDescent="0.25">
      <c r="A29" s="828" t="s">
        <v>5</v>
      </c>
      <c r="B29" s="828"/>
      <c r="C29" s="113">
        <f>SUM(C13:C28)</f>
        <v>381.6</v>
      </c>
      <c r="D29" s="113">
        <f>SUM(D13:D28)</f>
        <v>382.24</v>
      </c>
      <c r="E29" s="113">
        <f>SUM(E13:E28)</f>
        <v>763.84</v>
      </c>
      <c r="F29" s="820"/>
      <c r="G29" s="820"/>
      <c r="H29" s="118">
        <f>SUM(H13:H28)</f>
        <v>774.97490000000005</v>
      </c>
      <c r="I29" s="113">
        <f>SUM(I13:I28)</f>
        <v>3532584.67</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774.97490000000005</v>
      </c>
      <c r="F45" s="36"/>
      <c r="G45" s="128"/>
      <c r="H45" s="129" t="s">
        <v>131</v>
      </c>
      <c r="I45" s="113">
        <f>SUM(I43,I29)</f>
        <v>3532584.67</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35.35</v>
      </c>
      <c r="D56" s="192">
        <v>35.35</v>
      </c>
      <c r="E56" s="147">
        <f t="shared" si="10"/>
        <v>70.7</v>
      </c>
      <c r="F56" s="143" t="s">
        <v>15</v>
      </c>
      <c r="G56" s="52">
        <v>251</v>
      </c>
      <c r="H56" s="485">
        <f>'0664'!H56</f>
        <v>835</v>
      </c>
      <c r="I56" s="120">
        <f t="shared" si="11"/>
        <v>59034.5</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35.35</v>
      </c>
      <c r="D59" s="116">
        <f>SUM(D50:D58)</f>
        <v>35.35</v>
      </c>
      <c r="E59" s="116">
        <f>SUM(E50:E58)</f>
        <v>70.7</v>
      </c>
      <c r="F59" s="767" t="s">
        <v>78</v>
      </c>
      <c r="G59" s="767"/>
      <c r="H59" s="767"/>
      <c r="I59" s="116">
        <f>SUM(I50:I58)</f>
        <v>59034.5</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763.84</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4.0039999999999997E-3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774.97490000000005</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3.614E-3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4.0039999999999997E-3</v>
      </c>
      <c r="I68" s="120">
        <f>ROUND(F68*H68,2)</f>
        <v>168286.43</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4.0039999999999997E-3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4.0039999999999997E-3</v>
      </c>
      <c r="I71" s="120">
        <f>IF(D71="Y",ROUND(F71*H71,2),0)</f>
        <v>587.01</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4.0039999999999997E-3</v>
      </c>
      <c r="I72" s="120">
        <f>ROUND(F72*H72,2)</f>
        <v>45396.99</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4.0039999999999997E-3</v>
      </c>
      <c r="I73" s="120">
        <f>ROUND(F73*H73,2)</f>
        <v>55585.07</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4.0039999999999997E-3</v>
      </c>
      <c r="I77" s="120">
        <f t="shared" ref="I77:I82" si="14">ROUND(F77*H77,2)</f>
        <v>29880.02</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4.0039999999999997E-3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3.614E-3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3.614E-3</v>
      </c>
      <c r="I80" s="120">
        <f t="shared" si="14"/>
        <v>30945.919999999998</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3.614E-3</v>
      </c>
      <c r="I81" s="120">
        <f t="shared" si="14"/>
        <v>609548.91</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3.614E-3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144003.45000000001</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4.0039999999999997E-3</v>
      </c>
      <c r="I84" s="120">
        <f>ROUND(F84*H84,2)</f>
        <v>86543.83</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0</v>
      </c>
      <c r="D90" s="781"/>
      <c r="E90" s="54">
        <f>H8</f>
        <v>1.0424</v>
      </c>
      <c r="F90" s="545">
        <f>'0664'!F90</f>
        <v>923.19</v>
      </c>
      <c r="G90" s="186" t="s">
        <v>13</v>
      </c>
      <c r="H90" s="120">
        <f>ROUND(C90*E90*F90,2)</f>
        <v>0</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774.97490000000005</v>
      </c>
      <c r="D91" s="781"/>
      <c r="E91" s="54">
        <f>H8</f>
        <v>1.0424</v>
      </c>
      <c r="F91" s="545">
        <f>'0664'!F91</f>
        <v>925.42</v>
      </c>
      <c r="G91" s="186" t="s">
        <v>13</v>
      </c>
      <c r="H91" s="113">
        <f>ROUND(C91*E91*F91,2)</f>
        <v>747585.59</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774.97490000000005</v>
      </c>
      <c r="D92" s="782"/>
      <c r="E92" s="168"/>
      <c r="F92" s="168"/>
      <c r="G92" s="168"/>
      <c r="H92" s="169" t="s">
        <v>145</v>
      </c>
      <c r="I92" s="120">
        <f>IF(A1=75,0,H91+H90+H89)</f>
        <v>747585.59</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8"/>
      <c r="D95" s="8"/>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519</v>
      </c>
      <c r="D98" s="192">
        <v>478</v>
      </c>
      <c r="E98" s="147">
        <f>(C98+D98)/2</f>
        <v>498.5</v>
      </c>
      <c r="F98" s="173" t="s">
        <v>39</v>
      </c>
      <c r="G98" s="546">
        <f>'0664'!G98</f>
        <v>486</v>
      </c>
      <c r="I98" s="120">
        <f>ROUND(G98*E98,2)</f>
        <v>242271</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5752253.3900000006</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7" t="s">
        <v>306</v>
      </c>
      <c r="H118" s="188">
        <f>IF(H116=1,I116,I114)</f>
        <v>5752253.3900000006</v>
      </c>
      <c r="I118" s="113">
        <f>ROUND(IF(E29=0,0,IF(E29&gt;250,-(((250/E29)*H118)*IF(G118="H",0.02,0.05)),IF(G118="H",-0.02*H118,-0.05*H118))),2)</f>
        <v>-37653.519999999997</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5714599.870000001</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-5775199.5300000003</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-60599.659999999218</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-60599.66</v>
      </c>
      <c r="K128" s="339"/>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IF(G118="H",(H118*0.02)+I118,(H118*0.05)+I118)</f>
        <v>77391.547800000029</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89" t="str">
        <f>'0664'!A135</f>
        <v>(a) Additional FTE includes FTE earned through Advanced Placement, International Baccalaureate, Advanced International Certificate of Education, Industry Certified Career</v>
      </c>
      <c r="B135" s="690"/>
      <c r="C135" s="690"/>
      <c r="D135" s="690"/>
      <c r="E135" s="690"/>
      <c r="F135" s="690"/>
      <c r="G135" s="690"/>
      <c r="H135" s="690"/>
      <c r="I135" s="690"/>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90"/>
      <c r="C136" s="690"/>
      <c r="D136" s="690"/>
      <c r="E136" s="690"/>
      <c r="F136" s="690"/>
      <c r="G136" s="690"/>
      <c r="H136" s="690"/>
      <c r="I136" s="690"/>
      <c r="J136" s="96"/>
      <c r="K136" s="95"/>
      <c r="L136" s="95"/>
      <c r="M136" s="95"/>
      <c r="N136" s="479"/>
      <c r="O136" s="479"/>
      <c r="P136" s="479"/>
      <c r="Q136" s="479"/>
      <c r="R136" s="479"/>
      <c r="S136" s="479"/>
      <c r="T136" s="479"/>
      <c r="U136" s="479"/>
    </row>
    <row r="137" spans="1:21" x14ac:dyDescent="0.25">
      <c r="A137" s="689" t="str">
        <f>'0664'!A137</f>
        <v>(b) District allocations multiplied by percentage from item 3A.</v>
      </c>
      <c r="B137" s="691"/>
      <c r="C137" s="691"/>
      <c r="D137" s="691"/>
      <c r="E137" s="691"/>
      <c r="F137" s="691"/>
      <c r="G137" s="691"/>
      <c r="H137" s="691"/>
      <c r="I137" s="691"/>
      <c r="J137" s="95"/>
      <c r="K137" s="95"/>
      <c r="L137" s="95"/>
      <c r="M137" s="95"/>
      <c r="N137" s="97"/>
      <c r="O137" s="98"/>
      <c r="P137" s="98"/>
      <c r="Q137" s="98"/>
      <c r="R137" s="98"/>
      <c r="S137" s="98"/>
      <c r="T137" s="98"/>
      <c r="U137" s="98"/>
    </row>
    <row r="138" spans="1:21" s="95" customFormat="1" x14ac:dyDescent="0.2">
      <c r="A138" s="689" t="str">
        <f>'0664'!A138</f>
        <v>(c) District allocations multiplied by percentage from item 3B.</v>
      </c>
      <c r="B138" s="691"/>
      <c r="C138" s="691"/>
      <c r="D138" s="691"/>
      <c r="E138" s="691"/>
      <c r="F138" s="691"/>
      <c r="G138" s="691"/>
      <c r="H138" s="691"/>
      <c r="I138" s="691"/>
      <c r="N138" s="97"/>
    </row>
    <row r="139" spans="1:21" s="95" customFormat="1" ht="15.75" customHeight="1" x14ac:dyDescent="0.2">
      <c r="A139" s="689" t="str">
        <f>'0664'!A139</f>
        <v>(d) The Digital Classroom Allocation is provided pursuant to s. 1011.62(12), F.S.</v>
      </c>
      <c r="B139" s="691"/>
      <c r="C139" s="691"/>
      <c r="D139" s="691"/>
      <c r="E139" s="691"/>
      <c r="F139" s="691"/>
      <c r="G139" s="691"/>
      <c r="H139" s="691"/>
      <c r="I139" s="691"/>
      <c r="N139" s="97"/>
    </row>
    <row r="140" spans="1:21" s="95" customFormat="1" ht="15.75" customHeight="1" x14ac:dyDescent="0.2">
      <c r="A140" s="689" t="str">
        <f>'0664'!A140</f>
        <v>(e) School districts are required to pay for instructional materials used for the instruction of public high school students who are earning credit toward high school</v>
      </c>
      <c r="B140" s="691"/>
      <c r="C140" s="691"/>
      <c r="D140" s="691"/>
      <c r="E140" s="691"/>
      <c r="F140" s="691"/>
      <c r="G140" s="691"/>
      <c r="H140" s="691"/>
      <c r="I140" s="691"/>
      <c r="N140" s="97"/>
    </row>
    <row r="141" spans="1:21" s="95" customFormat="1" ht="15.75" customHeight="1" x14ac:dyDescent="0.2">
      <c r="A141" s="697" t="str">
        <f>'0664'!A141</f>
        <v xml:space="preserve">graduation under the dual enrollment program as provided in s. 1011.62(l)(i), F.S.  </v>
      </c>
      <c r="B141" s="691"/>
      <c r="C141" s="691"/>
      <c r="D141" s="691"/>
      <c r="E141" s="691"/>
      <c r="F141" s="691"/>
      <c r="G141" s="691"/>
      <c r="H141" s="691"/>
      <c r="I141" s="691"/>
      <c r="N141" s="97"/>
    </row>
    <row r="142" spans="1:21" s="95" customFormat="1" x14ac:dyDescent="0.2">
      <c r="A142" s="689" t="str">
        <f>'0664'!A142</f>
        <v>(f) This allocation will be frozen as of the 2021-22 FEFP Second Calculation and will not be recalculated throughout the year. Charter school allocations should be</v>
      </c>
      <c r="B142" s="691"/>
      <c r="C142" s="691"/>
      <c r="D142" s="691"/>
      <c r="E142" s="691"/>
      <c r="F142" s="691"/>
      <c r="G142" s="691"/>
      <c r="H142" s="691"/>
      <c r="I142" s="691"/>
      <c r="N142" s="97"/>
    </row>
    <row r="143" spans="1:21" s="95" customFormat="1" x14ac:dyDescent="0.2">
      <c r="A143" s="697" t="str">
        <f>'0664'!A143</f>
        <v xml:space="preserve">distributed on weighted FTE (or base funding as is done in the FEFP) and should not be recalculated with fluctuations in student enrollment later in the year. </v>
      </c>
      <c r="B143" s="691"/>
      <c r="C143" s="691"/>
      <c r="D143" s="691"/>
      <c r="E143" s="691"/>
      <c r="F143" s="691"/>
      <c r="G143" s="691"/>
      <c r="H143" s="691"/>
      <c r="I143" s="691"/>
      <c r="N143" s="97"/>
    </row>
    <row r="144" spans="1:21" s="95" customFormat="1" x14ac:dyDescent="0.2">
      <c r="A144" s="689" t="str">
        <f>'0664'!A144</f>
        <v>(g) Numbers entered here will be multiplied by the district level transportation funding per rider. "All Adjusted Fundable Riders" should include both basic and ESE Riders.</v>
      </c>
      <c r="B144" s="691"/>
      <c r="C144" s="691"/>
      <c r="D144" s="691"/>
      <c r="E144" s="691"/>
      <c r="F144" s="691"/>
      <c r="G144" s="691"/>
      <c r="H144" s="691"/>
      <c r="I144" s="691"/>
      <c r="N144" s="97"/>
    </row>
    <row r="145" spans="1:21" s="95" customFormat="1" x14ac:dyDescent="0.2">
      <c r="A145" s="697" t="str">
        <f>'0664'!A145</f>
        <v>"All Adjusted ESE Riders" should include only ESE Riders.</v>
      </c>
      <c r="B145" s="691"/>
      <c r="C145" s="691"/>
      <c r="D145" s="691"/>
      <c r="E145" s="691"/>
      <c r="F145" s="691"/>
      <c r="G145" s="691"/>
      <c r="H145" s="691"/>
      <c r="I145" s="691"/>
      <c r="N145" s="97"/>
    </row>
    <row r="146" spans="1:21" s="95" customFormat="1" x14ac:dyDescent="0.2">
      <c r="A146" s="689" t="str">
        <f>'0664'!A146</f>
        <v xml:space="preserve">(h) The Federally Connected Student Supplement provides additional funding for students on federal lands that receive Section 8003 impact aide pursuant to s. 1011.62(13), F.S. </v>
      </c>
      <c r="B146" s="691"/>
      <c r="C146" s="691"/>
      <c r="D146" s="691"/>
      <c r="E146" s="691"/>
      <c r="F146" s="691"/>
      <c r="G146" s="691"/>
      <c r="H146" s="691"/>
      <c r="I146" s="691"/>
      <c r="N146" s="97"/>
    </row>
    <row r="147" spans="1:21" s="95" customFormat="1" x14ac:dyDescent="0.2">
      <c r="A147" s="689" t="str">
        <f>'0664'!A147</f>
        <v>(i) Teacher Classroom Supply Assistance Program allocation pursuant to s. 1012.71, F.S., for certified teachers employed by a public school district or public charter school</v>
      </c>
      <c r="B147" s="691"/>
      <c r="C147" s="691"/>
      <c r="D147" s="691"/>
      <c r="E147" s="691"/>
      <c r="F147" s="691"/>
      <c r="G147" s="691"/>
      <c r="H147" s="691"/>
      <c r="I147" s="691"/>
      <c r="N147" s="97"/>
    </row>
    <row r="148" spans="1:21" s="95" customFormat="1" x14ac:dyDescent="0.2">
      <c r="A148" s="697" t="str">
        <f>'0664'!A148</f>
        <v xml:space="preserve">before September 1 of each year whose full-time or job-share responsibility is the classroom instruction of students in prekindergarten through grade 12, including </v>
      </c>
      <c r="B148" s="691"/>
      <c r="C148" s="691"/>
      <c r="D148" s="691"/>
      <c r="E148" s="691"/>
      <c r="F148" s="691"/>
      <c r="G148" s="691"/>
      <c r="H148" s="691"/>
      <c r="I148" s="691"/>
      <c r="N148" s="97"/>
    </row>
    <row r="149" spans="1:21" s="95" customFormat="1" ht="15.75" customHeight="1" x14ac:dyDescent="0.2">
      <c r="A149" s="697" t="str">
        <f>'0664'!A149</f>
        <v>full-time media specialists and certified school counselors serving students in prekindergarten through grade 12, who are funded through the FEFP.</v>
      </c>
      <c r="B149" s="691"/>
      <c r="C149" s="691"/>
      <c r="D149" s="691"/>
      <c r="E149" s="691"/>
      <c r="F149" s="691"/>
      <c r="G149" s="691"/>
      <c r="H149" s="691"/>
      <c r="I149" s="691"/>
      <c r="N149" s="97"/>
    </row>
    <row r="150" spans="1:21" s="95" customFormat="1" ht="15.75" customHeight="1" x14ac:dyDescent="0.2">
      <c r="A150" s="689" t="str">
        <f>'0664'!A150</f>
        <v xml:space="preserve">(j) Funding based on student eligibility and meals provided, if participating in the National School Lunch Program. </v>
      </c>
      <c r="B150" s="691"/>
      <c r="C150" s="691"/>
      <c r="D150" s="691"/>
      <c r="E150" s="691"/>
      <c r="F150" s="691"/>
      <c r="G150" s="691"/>
      <c r="H150" s="691"/>
      <c r="I150" s="691"/>
      <c r="N150" s="97"/>
    </row>
    <row r="151" spans="1:21" s="95" customFormat="1" ht="15.75" customHeight="1" x14ac:dyDescent="0.2">
      <c r="A151" s="689" t="str">
        <f>'0664'!A151</f>
        <v>(k) Consistent with s. 1002.33(20)(a), F.S., for charter schools with a population of 75% or more ESE students, the administrative fee shall be calculated based on</v>
      </c>
      <c r="B151" s="691"/>
      <c r="C151" s="691"/>
      <c r="D151" s="691"/>
      <c r="E151" s="691"/>
      <c r="F151" s="691"/>
      <c r="G151" s="691"/>
      <c r="H151" s="691"/>
      <c r="I151" s="691"/>
      <c r="N151" s="97"/>
    </row>
    <row r="152" spans="1:21" s="95" customFormat="1" ht="15.75" customHeight="1" x14ac:dyDescent="0.2">
      <c r="A152" s="697" t="str">
        <f>'0664'!A152</f>
        <v xml:space="preserve">unweighted full-time equivalent students. </v>
      </c>
      <c r="B152" s="691"/>
      <c r="C152" s="691"/>
      <c r="D152" s="691"/>
      <c r="E152" s="691"/>
      <c r="F152" s="691"/>
      <c r="G152" s="691"/>
      <c r="H152" s="691"/>
      <c r="I152" s="691"/>
      <c r="N152" s="97"/>
    </row>
    <row r="153" spans="1:21" s="95" customFormat="1" ht="15.75" customHeight="1" x14ac:dyDescent="0.2">
      <c r="A153" s="689"/>
      <c r="B153" s="691"/>
      <c r="C153" s="691"/>
      <c r="D153" s="691"/>
      <c r="E153" s="691"/>
      <c r="F153" s="691"/>
      <c r="G153" s="691"/>
      <c r="H153" s="691"/>
      <c r="I153" s="691"/>
      <c r="N153" s="97"/>
    </row>
    <row r="154" spans="1:21" s="95" customFormat="1" ht="15.75" customHeight="1" x14ac:dyDescent="0.25">
      <c r="A154" s="708" t="str">
        <f>'0664'!A154</f>
        <v>Administrative fees:</v>
      </c>
      <c r="B154" s="691"/>
      <c r="C154" s="691"/>
      <c r="D154" s="691"/>
      <c r="E154" s="691"/>
      <c r="F154" s="691"/>
      <c r="G154" s="691"/>
      <c r="H154" s="691"/>
      <c r="I154" s="691"/>
      <c r="J154" s="3"/>
      <c r="K154" s="3"/>
      <c r="L154" s="3"/>
      <c r="M154" s="3"/>
      <c r="N154" s="97"/>
    </row>
    <row r="155" spans="1:21" s="95" customFormat="1" ht="15.75" customHeight="1" x14ac:dyDescent="0.25">
      <c r="A155" s="712" t="str">
        <f>'0664'!A155</f>
        <v xml:space="preserve">Administrative fees charged by the school district pursuant to s. 1002.33(20)(a), F.S., shall be calculated based upon 5% of available funds from the FEFP and categorical </v>
      </c>
      <c r="B155" s="694"/>
      <c r="C155" s="694"/>
      <c r="D155" s="694"/>
      <c r="E155" s="694"/>
      <c r="F155" s="694"/>
      <c r="G155" s="694"/>
      <c r="H155" s="694"/>
      <c r="I155" s="694"/>
      <c r="J155" s="3"/>
      <c r="K155" s="3"/>
      <c r="L155" s="3"/>
      <c r="M155" s="3"/>
      <c r="N155" s="97"/>
    </row>
    <row r="156" spans="1:21" s="95" customFormat="1" ht="15.75" customHeight="1" x14ac:dyDescent="0.25">
      <c r="A156" s="713" t="str">
        <f>'0664'!A156</f>
        <v>funding for which charter students may be eligible.  To calculate the administrative fee to be withheld for schools with more than 250 students, divide the school</v>
      </c>
      <c r="B156" s="705"/>
      <c r="C156" s="705"/>
      <c r="D156" s="705"/>
      <c r="E156" s="705"/>
      <c r="F156" s="705"/>
      <c r="G156" s="705"/>
      <c r="H156" s="705"/>
      <c r="I156" s="705"/>
      <c r="J156" s="3"/>
      <c r="K156" s="3"/>
      <c r="L156" s="3"/>
      <c r="M156" s="3"/>
      <c r="N156" s="97"/>
    </row>
    <row r="157" spans="1:21" s="95" customFormat="1" ht="15.75" customHeight="1" x14ac:dyDescent="0.25">
      <c r="A157" s="713" t="str">
        <f>'0664'!A157</f>
        <v xml:space="preserve">population into 250. Multiply that fraction times the funds available, then times 5%.  </v>
      </c>
      <c r="B157" s="705"/>
      <c r="C157" s="705"/>
      <c r="D157" s="705"/>
      <c r="E157" s="705"/>
      <c r="F157" s="705"/>
      <c r="G157" s="705"/>
      <c r="H157" s="705"/>
      <c r="I157" s="705"/>
      <c r="J157" s="3"/>
      <c r="K157" s="3"/>
      <c r="L157" s="3"/>
      <c r="M157" s="3"/>
      <c r="N157" s="97"/>
    </row>
    <row r="158" spans="1:21" s="95" customFormat="1" ht="15.75" customHeight="1" x14ac:dyDescent="0.25">
      <c r="A158" s="712"/>
      <c r="B158" s="705"/>
      <c r="C158" s="705"/>
      <c r="D158" s="705"/>
      <c r="E158" s="705"/>
      <c r="F158" s="705"/>
      <c r="G158" s="705"/>
      <c r="H158" s="705"/>
      <c r="I158" s="705"/>
      <c r="N158" s="93"/>
      <c r="O158" s="3"/>
      <c r="P158" s="3"/>
      <c r="Q158" s="3"/>
      <c r="R158" s="3"/>
      <c r="S158" s="3"/>
      <c r="T158" s="3"/>
      <c r="U158" s="3"/>
    </row>
    <row r="159" spans="1:21" ht="15.75" customHeight="1" x14ac:dyDescent="0.25">
      <c r="A159" s="712" t="str">
        <f>'0664'!A159</f>
        <v xml:space="preserve">For high performing charter schools, administrative fees charged by the school district shall be calculated based upon 2% of available funds from the FEFP and categorical </v>
      </c>
      <c r="B159" s="694"/>
      <c r="C159" s="694"/>
      <c r="D159" s="694"/>
      <c r="E159" s="694"/>
      <c r="F159" s="694"/>
      <c r="G159" s="694"/>
      <c r="H159" s="694"/>
      <c r="I159" s="694"/>
      <c r="J159" s="95"/>
      <c r="K159" s="95"/>
      <c r="L159" s="95"/>
      <c r="M159" s="95"/>
      <c r="N159" s="97"/>
      <c r="O159" s="95"/>
      <c r="P159" s="95"/>
      <c r="Q159" s="95"/>
      <c r="R159" s="95"/>
      <c r="S159" s="95"/>
      <c r="T159" s="95"/>
      <c r="U159" s="95"/>
    </row>
    <row r="160" spans="1:21" ht="15.75" customHeight="1" x14ac:dyDescent="0.25">
      <c r="A160" s="713" t="str">
        <f>'0664'!A160</f>
        <v>funding for which charter students may be eligible.  To calculate the administrative fee to be withheld for schools with more than 250 students, divide the school</v>
      </c>
      <c r="B160" s="694"/>
      <c r="C160" s="694"/>
      <c r="D160" s="694"/>
      <c r="E160" s="694"/>
      <c r="F160" s="694"/>
      <c r="G160" s="694"/>
      <c r="H160" s="694"/>
      <c r="I160" s="694"/>
      <c r="J160" s="95"/>
      <c r="K160" s="95"/>
      <c r="L160" s="95"/>
      <c r="M160" s="95"/>
      <c r="N160" s="97"/>
      <c r="O160" s="95"/>
      <c r="P160" s="95"/>
      <c r="Q160" s="95"/>
      <c r="R160" s="95"/>
      <c r="S160" s="95"/>
      <c r="T160" s="95"/>
      <c r="U160" s="95"/>
    </row>
    <row r="161" spans="1:14" s="95" customFormat="1" ht="15.75" customHeight="1" x14ac:dyDescent="0.2">
      <c r="A161" s="713" t="str">
        <f>'0664'!A161</f>
        <v xml:space="preserve">population into 250. Multiply that fraction times the funds available, then times 2%.  </v>
      </c>
      <c r="B161" s="694"/>
      <c r="C161" s="694"/>
      <c r="D161" s="694"/>
      <c r="E161" s="694"/>
      <c r="F161" s="694"/>
      <c r="G161" s="694"/>
      <c r="H161" s="694"/>
      <c r="I161" s="694"/>
      <c r="N161" s="97"/>
    </row>
    <row r="162" spans="1:14" x14ac:dyDescent="0.25">
      <c r="A162" s="689"/>
      <c r="B162" s="695"/>
      <c r="C162" s="695"/>
      <c r="D162" s="695"/>
      <c r="E162" s="695"/>
      <c r="F162" s="695"/>
      <c r="G162" s="695"/>
      <c r="H162" s="695"/>
      <c r="I162" s="695"/>
      <c r="N162" s="93"/>
    </row>
    <row r="163" spans="1:14" x14ac:dyDescent="0.25">
      <c r="A163" s="708" t="str">
        <f>'0664'!A163</f>
        <v>Other:</v>
      </c>
      <c r="B163" s="706"/>
      <c r="C163" s="706"/>
      <c r="D163" s="706"/>
      <c r="E163" s="706"/>
      <c r="F163" s="706"/>
      <c r="G163" s="706"/>
      <c r="H163" s="706"/>
      <c r="I163" s="706"/>
      <c r="N163" s="93"/>
    </row>
    <row r="164" spans="1:14" x14ac:dyDescent="0.25">
      <c r="A164" s="712" t="str">
        <f>'0664'!A164</f>
        <v>FEFP and categorical funding are recalculated during the year to reflect the revised number of full-time equivalent students reported during the survey periods designated</v>
      </c>
      <c r="B164" s="695"/>
      <c r="C164" s="695"/>
      <c r="D164" s="695"/>
      <c r="E164" s="695"/>
      <c r="F164" s="695"/>
      <c r="G164" s="695"/>
      <c r="H164" s="695"/>
      <c r="I164" s="695"/>
      <c r="N164" s="93"/>
    </row>
    <row r="165" spans="1:14" x14ac:dyDescent="0.25">
      <c r="A165" s="713" t="str">
        <f>'0664'!A165</f>
        <v>by the Commissioner of Education.</v>
      </c>
      <c r="B165" s="707"/>
      <c r="C165" s="707"/>
      <c r="D165" s="707"/>
      <c r="E165" s="707"/>
      <c r="F165" s="707"/>
      <c r="G165" s="707"/>
      <c r="H165" s="707"/>
      <c r="I165" s="707"/>
      <c r="N165" s="93"/>
    </row>
    <row r="166" spans="1:14" x14ac:dyDescent="0.25">
      <c r="A166" s="712" t="str">
        <f>'0664'!A166</f>
        <v>Revenues flow to districts from state sources and from county tax collectors on various distribution schedules.</v>
      </c>
      <c r="B166" s="695"/>
      <c r="C166" s="695"/>
      <c r="D166" s="695"/>
      <c r="E166" s="695"/>
      <c r="F166" s="695"/>
      <c r="G166" s="695"/>
      <c r="H166" s="695"/>
      <c r="I166" s="695"/>
      <c r="N166" s="93"/>
    </row>
    <row r="167" spans="1:14" x14ac:dyDescent="0.25">
      <c r="A167" s="494"/>
      <c r="B167" s="494"/>
      <c r="C167" s="494"/>
      <c r="D167" s="494"/>
      <c r="E167" s="494"/>
      <c r="F167" s="494"/>
      <c r="G167" s="494"/>
      <c r="H167" s="494"/>
      <c r="I167" s="494"/>
      <c r="N167" s="93"/>
    </row>
    <row r="168" spans="1:14" x14ac:dyDescent="0.25">
      <c r="A168" s="93"/>
      <c r="N168" s="93"/>
    </row>
    <row r="169" spans="1:14" x14ac:dyDescent="0.25">
      <c r="A169" s="93"/>
      <c r="N169" s="93"/>
    </row>
    <row r="170" spans="1:14" x14ac:dyDescent="0.25">
      <c r="A170" s="93"/>
      <c r="N170" s="93"/>
    </row>
    <row r="171" spans="1:14" x14ac:dyDescent="0.25">
      <c r="A171" s="93"/>
      <c r="B171" s="183"/>
      <c r="C171" s="183"/>
      <c r="D171" s="183"/>
      <c r="E171" s="183"/>
      <c r="F171" s="183"/>
      <c r="G171" s="183"/>
      <c r="H171" s="183"/>
      <c r="I171" s="18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69">
    <mergeCell ref="A84:C84"/>
    <mergeCell ref="N84:P84"/>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FFFF00"/>
  </sheetPr>
  <dimension ref="A1:U202"/>
  <sheetViews>
    <sheetView showGridLines="0" zoomScale="90" zoomScaleNormal="90" workbookViewId="0">
      <pane ySplit="1" topLeftCell="A98" activePane="bottomLeft" state="frozen"/>
      <selection activeCell="A46" sqref="A46:IV46"/>
      <selection pane="bottomLeft" activeCell="I122" sqref="I122"/>
    </sheetView>
  </sheetViews>
  <sheetFormatPr defaultRowHeight="15.75" x14ac:dyDescent="0.25"/>
  <cols>
    <col min="1" max="1" width="10.28515625" style="455"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455"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361</v>
      </c>
      <c r="B2" s="2"/>
      <c r="C2" s="2"/>
      <c r="D2" s="2"/>
      <c r="E2" s="2"/>
      <c r="F2" s="2"/>
      <c r="G2" s="2"/>
      <c r="H2" s="2"/>
      <c r="I2" s="2"/>
      <c r="N2" s="824" t="s">
        <v>23</v>
      </c>
      <c r="O2" s="824"/>
      <c r="P2" s="824"/>
      <c r="Q2" s="824"/>
      <c r="R2" s="824"/>
      <c r="S2" s="824"/>
      <c r="T2" s="824"/>
      <c r="U2" s="824"/>
    </row>
    <row r="3" spans="1:21" x14ac:dyDescent="0.25">
      <c r="A3" s="468"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449"/>
      <c r="O5" s="449"/>
      <c r="P5" s="450"/>
      <c r="Q5" s="450"/>
      <c r="R5" s="5"/>
      <c r="S5" s="5"/>
      <c r="T5" s="5"/>
      <c r="U5" s="5"/>
    </row>
    <row r="6" spans="1:21" ht="12" customHeight="1" x14ac:dyDescent="0.25">
      <c r="A6" s="451"/>
      <c r="B6" s="451"/>
      <c r="C6" s="448"/>
      <c r="D6" s="448"/>
      <c r="E6" s="448"/>
      <c r="F6" s="4"/>
      <c r="G6" s="4"/>
      <c r="H6" s="4"/>
      <c r="I6" s="4"/>
      <c r="N6" s="449"/>
      <c r="O6" s="449"/>
      <c r="P6" s="450"/>
      <c r="Q6" s="450"/>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285"/>
      <c r="G8" s="286"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452"/>
      <c r="O9" s="452"/>
      <c r="P9" s="453"/>
      <c r="Q9" s="453"/>
      <c r="R9" s="14"/>
      <c r="S9" s="14"/>
      <c r="T9" s="15"/>
      <c r="U9" s="721" t="s">
        <v>428</v>
      </c>
    </row>
    <row r="10" spans="1:21" x14ac:dyDescent="0.25">
      <c r="A10" s="7"/>
      <c r="B10" s="7"/>
      <c r="C10" s="600" t="s">
        <v>435</v>
      </c>
      <c r="D10" s="669" t="s">
        <v>436</v>
      </c>
      <c r="E10" s="108" t="s">
        <v>8</v>
      </c>
      <c r="F10" s="806" t="s">
        <v>1</v>
      </c>
      <c r="G10" s="806"/>
      <c r="H10" s="10" t="s">
        <v>74</v>
      </c>
      <c r="I10" s="11" t="s">
        <v>36</v>
      </c>
      <c r="N10" s="452"/>
      <c r="O10" s="452"/>
      <c r="P10" s="453"/>
      <c r="Q10" s="453"/>
      <c r="R10" s="839" t="s">
        <v>1</v>
      </c>
      <c r="S10" s="839"/>
      <c r="T10" s="15" t="s">
        <v>74</v>
      </c>
      <c r="U10" s="16" t="s">
        <v>36</v>
      </c>
    </row>
    <row r="11" spans="1:21" x14ac:dyDescent="0.25">
      <c r="A11" s="797" t="s">
        <v>1</v>
      </c>
      <c r="B11" s="797"/>
      <c r="C11" s="624"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454"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61.6</v>
      </c>
      <c r="D13" s="190">
        <v>57.81</v>
      </c>
      <c r="E13" s="245">
        <f>IF(D$29=0,C13*2,C13+D13)</f>
        <v>119.41</v>
      </c>
      <c r="F13" s="819">
        <f>'0664'!F13:G13</f>
        <v>1.1259999999999999</v>
      </c>
      <c r="G13" s="819"/>
      <c r="H13" s="194">
        <f>ROUND(E13*F13,4)</f>
        <v>134.45570000000001</v>
      </c>
      <c r="I13" s="140">
        <f t="shared" ref="I13:I28" si="0">ROUND(ROUND(H13*$C$8,4)*($H$8),2)</f>
        <v>612892.29</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8.0399999999999991</v>
      </c>
      <c r="D14" s="192">
        <v>7.5</v>
      </c>
      <c r="E14" s="147">
        <f t="shared" ref="E14:E28" si="3">IF(D$29=0,C14*2,C14+D14)</f>
        <v>15.54</v>
      </c>
      <c r="F14" s="814">
        <f>'0664'!F14:G14</f>
        <v>1.1259999999999999</v>
      </c>
      <c r="G14" s="814"/>
      <c r="H14" s="99">
        <f t="shared" ref="H14:H28" si="4">ROUND(E14*F14,4)</f>
        <v>17.498000000000001</v>
      </c>
      <c r="I14" s="120">
        <f t="shared" si="0"/>
        <v>79761.509999999995</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47.56</v>
      </c>
      <c r="D15" s="192">
        <v>41.35</v>
      </c>
      <c r="E15" s="147">
        <f t="shared" si="3"/>
        <v>88.91</v>
      </c>
      <c r="F15" s="814">
        <f>'0664'!F15:G15</f>
        <v>1</v>
      </c>
      <c r="G15" s="814"/>
      <c r="H15" s="99">
        <f t="shared" si="4"/>
        <v>88.91</v>
      </c>
      <c r="I15" s="120">
        <f t="shared" si="0"/>
        <v>405280.35</v>
      </c>
      <c r="N15" s="840" t="s">
        <v>31</v>
      </c>
      <c r="O15" s="840"/>
      <c r="P15" s="841">
        <f t="shared" si="1"/>
        <v>0</v>
      </c>
      <c r="Q15" s="841"/>
      <c r="R15" s="842">
        <v>1</v>
      </c>
      <c r="S15" s="842"/>
      <c r="T15" s="114">
        <f t="shared" si="5"/>
        <v>0</v>
      </c>
      <c r="U15" s="115">
        <f t="shared" si="2"/>
        <v>0</v>
      </c>
    </row>
    <row r="16" spans="1:21" x14ac:dyDescent="0.25">
      <c r="A16" s="764" t="s">
        <v>32</v>
      </c>
      <c r="B16" s="764"/>
      <c r="C16" s="192">
        <v>7.67</v>
      </c>
      <c r="D16" s="192">
        <v>6.64</v>
      </c>
      <c r="E16" s="147">
        <f t="shared" si="3"/>
        <v>14.309999999999999</v>
      </c>
      <c r="F16" s="814">
        <f>'0664'!F16:G16</f>
        <v>1</v>
      </c>
      <c r="G16" s="814"/>
      <c r="H16" s="99">
        <f t="shared" si="4"/>
        <v>14.31</v>
      </c>
      <c r="I16" s="120">
        <f t="shared" si="0"/>
        <v>65229.58</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5.62</v>
      </c>
      <c r="D25" s="192">
        <v>4.8499999999999996</v>
      </c>
      <c r="E25" s="147">
        <f t="shared" si="3"/>
        <v>10.469999999999999</v>
      </c>
      <c r="F25" s="814">
        <f>'0664'!F25:G25</f>
        <v>1.1990000000000001</v>
      </c>
      <c r="G25" s="814"/>
      <c r="H25" s="99">
        <f t="shared" si="4"/>
        <v>12.5535</v>
      </c>
      <c r="I25" s="120">
        <f t="shared" si="0"/>
        <v>57222.89</v>
      </c>
      <c r="N25" s="840" t="s">
        <v>116</v>
      </c>
      <c r="O25" s="840"/>
      <c r="P25" s="841">
        <f t="shared" si="1"/>
        <v>0</v>
      </c>
      <c r="Q25" s="841"/>
      <c r="R25" s="842">
        <v>1</v>
      </c>
      <c r="S25" s="842"/>
      <c r="T25" s="114">
        <f t="shared" si="5"/>
        <v>0</v>
      </c>
      <c r="U25" s="115">
        <f t="shared" si="2"/>
        <v>0</v>
      </c>
    </row>
    <row r="26" spans="1:21" x14ac:dyDescent="0.25">
      <c r="A26" s="764" t="s">
        <v>117</v>
      </c>
      <c r="B26" s="764"/>
      <c r="C26" s="192">
        <v>2.88</v>
      </c>
      <c r="D26" s="192">
        <v>1.8</v>
      </c>
      <c r="E26" s="147">
        <f t="shared" si="3"/>
        <v>4.68</v>
      </c>
      <c r="F26" s="814">
        <f>'0664'!F26:G26</f>
        <v>1.1990000000000001</v>
      </c>
      <c r="G26" s="814"/>
      <c r="H26" s="99">
        <f t="shared" si="4"/>
        <v>5.6113</v>
      </c>
      <c r="I26" s="120">
        <f t="shared" si="0"/>
        <v>25578.11</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133.37</v>
      </c>
      <c r="D29" s="113">
        <f>SUM(D13:D28)</f>
        <v>119.94999999999999</v>
      </c>
      <c r="E29" s="113">
        <f>SUM(E13:E28)</f>
        <v>253.32</v>
      </c>
      <c r="F29" s="820"/>
      <c r="G29" s="820"/>
      <c r="H29" s="118">
        <f>SUM(H13:H28)</f>
        <v>273.33849999999995</v>
      </c>
      <c r="I29" s="113">
        <f>SUM(I13:I28)</f>
        <v>1245964.73</v>
      </c>
      <c r="N29" s="850" t="s">
        <v>5</v>
      </c>
      <c r="O29" s="850"/>
      <c r="P29" s="851">
        <f>SUM(P13:P28)</f>
        <v>0</v>
      </c>
      <c r="Q29" s="851"/>
      <c r="R29" s="852"/>
      <c r="S29" s="852"/>
      <c r="T29" s="119">
        <f>SUM(T13:T28)</f>
        <v>0</v>
      </c>
      <c r="U29" s="115">
        <f>SUM(U13:U28)</f>
        <v>0</v>
      </c>
    </row>
    <row r="30" spans="1:21" x14ac:dyDescent="0.25">
      <c r="A30" s="27"/>
      <c r="B30" s="27"/>
      <c r="C30" s="120"/>
      <c r="D30" s="120"/>
      <c r="E30" s="120"/>
      <c r="F30" s="482"/>
      <c r="G30" s="482"/>
      <c r="H30" s="99"/>
      <c r="I30" s="120"/>
      <c r="N30" s="463"/>
      <c r="O30" s="463"/>
      <c r="P30" s="30"/>
      <c r="Q30" s="30"/>
      <c r="R30" s="460"/>
      <c r="S30" s="460"/>
      <c r="T30" s="121"/>
      <c r="U30" s="122"/>
    </row>
    <row r="31" spans="1:21" x14ac:dyDescent="0.25">
      <c r="A31" s="195" t="s">
        <v>99</v>
      </c>
      <c r="B31" s="27"/>
      <c r="C31" s="120"/>
      <c r="D31" s="120"/>
      <c r="E31" s="120"/>
      <c r="F31" s="482"/>
      <c r="G31" s="482"/>
      <c r="H31" s="99"/>
      <c r="I31" s="120"/>
      <c r="N31" s="463"/>
      <c r="O31" s="463"/>
      <c r="P31" s="30"/>
      <c r="Q31" s="30"/>
      <c r="R31" s="460"/>
      <c r="S31" s="460"/>
      <c r="T31" s="121"/>
      <c r="U31" s="122"/>
    </row>
    <row r="32" spans="1:21" hidden="1" x14ac:dyDescent="0.25">
      <c r="A32" s="195"/>
      <c r="B32" s="27"/>
      <c r="C32" s="120"/>
      <c r="D32" s="120"/>
      <c r="E32" s="120"/>
      <c r="F32" s="482"/>
      <c r="G32" s="482"/>
      <c r="H32" s="99"/>
      <c r="I32" s="120"/>
      <c r="N32" s="463"/>
      <c r="O32" s="463"/>
      <c r="P32" s="30"/>
      <c r="Q32" s="30"/>
      <c r="R32" s="460"/>
      <c r="S32" s="460"/>
      <c r="T32" s="121"/>
      <c r="U32" s="122"/>
    </row>
    <row r="33" spans="1:21" hidden="1" x14ac:dyDescent="0.25">
      <c r="A33" s="195"/>
      <c r="B33" s="27"/>
      <c r="C33" s="120"/>
      <c r="D33" s="120"/>
      <c r="E33" s="120"/>
      <c r="F33" s="887" t="s">
        <v>298</v>
      </c>
      <c r="G33" s="887"/>
      <c r="H33" s="887"/>
      <c r="I33" s="120"/>
      <c r="N33" s="463"/>
      <c r="O33" s="463"/>
      <c r="P33" s="30"/>
      <c r="Q33" s="30"/>
      <c r="R33" s="460"/>
      <c r="S33" s="460"/>
      <c r="T33" s="121"/>
      <c r="U33" s="122"/>
    </row>
    <row r="34" spans="1:21" hidden="1" x14ac:dyDescent="0.25">
      <c r="A34" s="3"/>
      <c r="B34" s="457"/>
      <c r="C34" s="457"/>
      <c r="D34" s="457"/>
      <c r="E34" s="457"/>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463"/>
      <c r="O35" s="463"/>
      <c r="P35" s="30"/>
      <c r="Q35" s="30"/>
      <c r="R35" s="460"/>
      <c r="S35" s="460"/>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191">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93">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93">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93">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93">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18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idden="1" x14ac:dyDescent="0.25">
      <c r="A44" s="61"/>
      <c r="B44" s="127"/>
      <c r="C44" s="120"/>
      <c r="D44" s="120"/>
      <c r="E44" s="140"/>
      <c r="F44" s="33"/>
      <c r="G44" s="128"/>
      <c r="H44" s="129"/>
      <c r="I44" s="120"/>
      <c r="N44" s="463"/>
      <c r="O44" s="463"/>
      <c r="P44" s="463"/>
      <c r="Q44" s="463"/>
      <c r="R44" s="35"/>
      <c r="S44" s="460"/>
      <c r="T44" s="460"/>
      <c r="U44" s="122"/>
    </row>
    <row r="45" spans="1:21" ht="16.5" hidden="1" thickBot="1" x14ac:dyDescent="0.3">
      <c r="A45" s="61"/>
      <c r="B45" s="127" t="s">
        <v>129</v>
      </c>
      <c r="C45" s="61"/>
      <c r="D45" s="61"/>
      <c r="E45" s="201">
        <f>H29+E43</f>
        <v>273.33849999999995</v>
      </c>
      <c r="F45" s="36"/>
      <c r="G45" s="128"/>
      <c r="H45" s="129" t="s">
        <v>131</v>
      </c>
      <c r="I45" s="113">
        <f>SUM(I43,I29)</f>
        <v>1245964.73</v>
      </c>
      <c r="N45" s="855" t="s">
        <v>56</v>
      </c>
      <c r="O45" s="855"/>
      <c r="P45" s="855"/>
      <c r="Q45" s="855"/>
      <c r="R45" s="37">
        <f>R43+T29</f>
        <v>0</v>
      </c>
      <c r="S45" s="852" t="s">
        <v>54</v>
      </c>
      <c r="T45" s="852"/>
      <c r="U45" s="130">
        <f>SUM(U43,U29)</f>
        <v>0</v>
      </c>
    </row>
    <row r="46" spans="1:21" hidden="1" x14ac:dyDescent="0.25">
      <c r="A46" s="27"/>
      <c r="B46" s="27"/>
      <c r="C46" s="27"/>
      <c r="D46" s="27"/>
      <c r="E46" s="27"/>
      <c r="F46" s="36"/>
      <c r="G46" s="459"/>
      <c r="H46" s="459"/>
      <c r="I46" s="120"/>
      <c r="N46" s="463"/>
      <c r="O46" s="463"/>
      <c r="P46" s="463"/>
      <c r="Q46" s="463"/>
      <c r="R46" s="37"/>
      <c r="S46" s="460"/>
      <c r="T46" s="460"/>
      <c r="U46" s="122"/>
    </row>
    <row r="47" spans="1:21" x14ac:dyDescent="0.25">
      <c r="A47" s="27"/>
      <c r="B47" s="127" t="s">
        <v>391</v>
      </c>
      <c r="C47" s="671" t="s">
        <v>391</v>
      </c>
      <c r="D47" s="671" t="s">
        <v>391</v>
      </c>
      <c r="E47" s="27"/>
      <c r="F47" s="36"/>
      <c r="G47" s="459"/>
      <c r="H47" s="459"/>
      <c r="I47" s="120"/>
      <c r="N47" s="463"/>
      <c r="O47" s="463"/>
      <c r="P47" s="463"/>
      <c r="Q47" s="463"/>
      <c r="R47" s="37"/>
      <c r="S47" s="460"/>
      <c r="T47" s="460"/>
      <c r="U47" s="122"/>
    </row>
    <row r="48" spans="1:21" x14ac:dyDescent="0.25">
      <c r="A48" s="27"/>
      <c r="B48" s="27"/>
      <c r="C48" s="600" t="s">
        <v>435</v>
      </c>
      <c r="D48" s="669" t="s">
        <v>436</v>
      </c>
      <c r="E48" s="108" t="s">
        <v>8</v>
      </c>
      <c r="F48" s="132" t="s">
        <v>132</v>
      </c>
      <c r="G48" s="133" t="s">
        <v>134</v>
      </c>
      <c r="H48" s="134" t="s">
        <v>135</v>
      </c>
      <c r="I48" s="120"/>
      <c r="N48" s="463"/>
      <c r="O48" s="463"/>
      <c r="P48" s="463"/>
      <c r="Q48" s="463"/>
      <c r="R48" s="37"/>
      <c r="S48" s="460"/>
      <c r="T48" s="460"/>
      <c r="U48" s="122"/>
    </row>
    <row r="49" spans="1:21" x14ac:dyDescent="0.25">
      <c r="A49" s="38" t="s">
        <v>89</v>
      </c>
      <c r="B49" s="38"/>
      <c r="C49" s="624" t="s">
        <v>2</v>
      </c>
      <c r="D49" s="622" t="s">
        <v>2</v>
      </c>
      <c r="E49" s="622" t="s">
        <v>2</v>
      </c>
      <c r="F49" s="454" t="s">
        <v>133</v>
      </c>
      <c r="G49" s="466" t="s">
        <v>133</v>
      </c>
      <c r="H49" s="135" t="s">
        <v>136</v>
      </c>
      <c r="I49" s="38"/>
      <c r="N49" s="845" t="s">
        <v>89</v>
      </c>
      <c r="O49" s="845"/>
      <c r="P49" s="856" t="s">
        <v>2</v>
      </c>
      <c r="Q49" s="856"/>
      <c r="R49" s="39" t="s">
        <v>25</v>
      </c>
      <c r="S49" s="467" t="s">
        <v>26</v>
      </c>
      <c r="T49" s="136" t="s">
        <v>27</v>
      </c>
      <c r="U49" s="39"/>
    </row>
    <row r="50" spans="1:21" x14ac:dyDescent="0.25">
      <c r="A50" s="791" t="s">
        <v>100</v>
      </c>
      <c r="B50" s="791"/>
      <c r="C50" s="192">
        <v>6.03</v>
      </c>
      <c r="D50" s="192">
        <v>6.06</v>
      </c>
      <c r="E50" s="147">
        <f>IF(D$59=0,C50*2,C50+D50)</f>
        <v>12.09</v>
      </c>
      <c r="F50" s="477" t="s">
        <v>21</v>
      </c>
      <c r="G50" s="470">
        <v>251</v>
      </c>
      <c r="H50" s="485">
        <f>'0664'!H50</f>
        <v>1047</v>
      </c>
      <c r="I50" s="120">
        <f>ROUND(E50*H50,2)</f>
        <v>12658.23</v>
      </c>
      <c r="N50" s="863" t="s">
        <v>28</v>
      </c>
      <c r="O50" s="863"/>
      <c r="P50" s="864"/>
      <c r="Q50" s="864"/>
      <c r="R50" s="461" t="s">
        <v>21</v>
      </c>
      <c r="S50" s="447">
        <v>251</v>
      </c>
      <c r="T50" s="138">
        <f>H50</f>
        <v>1047</v>
      </c>
      <c r="U50" s="139">
        <f>ROUND(P50*T50,0)</f>
        <v>0</v>
      </c>
    </row>
    <row r="51" spans="1:21" x14ac:dyDescent="0.25">
      <c r="A51" s="792"/>
      <c r="B51" s="792"/>
      <c r="C51" s="192">
        <v>2.0099999999999998</v>
      </c>
      <c r="D51" s="192">
        <v>1.44</v>
      </c>
      <c r="E51" s="147">
        <f t="shared" ref="E51:E58" si="10">IF(D$59=0,C51*2,C51+D51)</f>
        <v>3.4499999999999997</v>
      </c>
      <c r="F51" s="470" t="s">
        <v>21</v>
      </c>
      <c r="G51" s="470">
        <v>252</v>
      </c>
      <c r="H51" s="485">
        <f>'0664'!H51</f>
        <v>3380</v>
      </c>
      <c r="I51" s="120">
        <f t="shared" ref="I51:I58" si="11">ROUND(E51*H51,2)</f>
        <v>11661</v>
      </c>
      <c r="N51" s="863"/>
      <c r="O51" s="863"/>
      <c r="P51" s="865"/>
      <c r="Q51" s="865"/>
      <c r="R51" s="447" t="s">
        <v>21</v>
      </c>
      <c r="S51" s="447">
        <v>252</v>
      </c>
      <c r="T51" s="138">
        <f t="shared" ref="T51:T58" si="12">H51</f>
        <v>3380</v>
      </c>
      <c r="U51" s="139">
        <f t="shared" ref="U51:U58" si="13">ROUND(P51*T51,0)</f>
        <v>0</v>
      </c>
    </row>
    <row r="52" spans="1:21" x14ac:dyDescent="0.25">
      <c r="A52" s="792"/>
      <c r="B52" s="792"/>
      <c r="C52" s="192">
        <v>0</v>
      </c>
      <c r="D52" s="192">
        <v>0</v>
      </c>
      <c r="E52" s="147">
        <f t="shared" si="10"/>
        <v>0</v>
      </c>
      <c r="F52" s="470" t="s">
        <v>21</v>
      </c>
      <c r="G52" s="470">
        <v>253</v>
      </c>
      <c r="H52" s="485">
        <f>'0664'!H52</f>
        <v>6896</v>
      </c>
      <c r="I52" s="120">
        <f t="shared" si="11"/>
        <v>0</v>
      </c>
      <c r="N52" s="863"/>
      <c r="O52" s="863"/>
      <c r="P52" s="865"/>
      <c r="Q52" s="865"/>
      <c r="R52" s="447" t="s">
        <v>21</v>
      </c>
      <c r="S52" s="447">
        <v>253</v>
      </c>
      <c r="T52" s="138">
        <f t="shared" si="12"/>
        <v>6896</v>
      </c>
      <c r="U52" s="139">
        <f t="shared" si="13"/>
        <v>0</v>
      </c>
    </row>
    <row r="53" spans="1:21" x14ac:dyDescent="0.25">
      <c r="A53" s="792"/>
      <c r="B53" s="792"/>
      <c r="C53" s="192">
        <v>7.16</v>
      </c>
      <c r="D53" s="192">
        <v>6.19</v>
      </c>
      <c r="E53" s="147">
        <f t="shared" si="10"/>
        <v>13.350000000000001</v>
      </c>
      <c r="F53" s="480" t="s">
        <v>14</v>
      </c>
      <c r="G53" s="470">
        <v>251</v>
      </c>
      <c r="H53" s="485">
        <f>'0664'!H53</f>
        <v>1173</v>
      </c>
      <c r="I53" s="120">
        <f t="shared" si="11"/>
        <v>15659.55</v>
      </c>
      <c r="N53" s="863"/>
      <c r="O53" s="863"/>
      <c r="P53" s="865"/>
      <c r="Q53" s="865"/>
      <c r="R53" s="45" t="s">
        <v>14</v>
      </c>
      <c r="S53" s="447">
        <v>251</v>
      </c>
      <c r="T53" s="138">
        <f t="shared" si="12"/>
        <v>1173</v>
      </c>
      <c r="U53" s="139">
        <f t="shared" si="13"/>
        <v>0</v>
      </c>
    </row>
    <row r="54" spans="1:21" x14ac:dyDescent="0.25">
      <c r="A54" s="792"/>
      <c r="B54" s="792"/>
      <c r="C54" s="192">
        <v>0.51</v>
      </c>
      <c r="D54" s="192">
        <v>0.45</v>
      </c>
      <c r="E54" s="147">
        <f t="shared" si="10"/>
        <v>0.96</v>
      </c>
      <c r="F54" s="480" t="s">
        <v>14</v>
      </c>
      <c r="G54" s="470">
        <v>252</v>
      </c>
      <c r="H54" s="485">
        <f>'0664'!H54</f>
        <v>3506</v>
      </c>
      <c r="I54" s="120">
        <f t="shared" si="11"/>
        <v>3365.76</v>
      </c>
      <c r="N54" s="863"/>
      <c r="O54" s="863"/>
      <c r="P54" s="865"/>
      <c r="Q54" s="865"/>
      <c r="R54" s="45" t="s">
        <v>14</v>
      </c>
      <c r="S54" s="447">
        <v>252</v>
      </c>
      <c r="T54" s="138">
        <f t="shared" si="12"/>
        <v>3506</v>
      </c>
      <c r="U54" s="139">
        <f t="shared" si="13"/>
        <v>0</v>
      </c>
    </row>
    <row r="55" spans="1:21" x14ac:dyDescent="0.25">
      <c r="A55" s="792"/>
      <c r="B55" s="792"/>
      <c r="C55" s="192">
        <v>0</v>
      </c>
      <c r="D55" s="192">
        <v>0</v>
      </c>
      <c r="E55" s="147">
        <f t="shared" si="10"/>
        <v>0</v>
      </c>
      <c r="F55" s="480" t="s">
        <v>14</v>
      </c>
      <c r="G55" s="470">
        <v>253</v>
      </c>
      <c r="H55" s="485">
        <f>'0664'!H55</f>
        <v>7023</v>
      </c>
      <c r="I55" s="120">
        <f t="shared" si="11"/>
        <v>0</v>
      </c>
      <c r="N55" s="863"/>
      <c r="O55" s="863"/>
      <c r="P55" s="865"/>
      <c r="Q55" s="865"/>
      <c r="R55" s="45" t="s">
        <v>14</v>
      </c>
      <c r="S55" s="447">
        <v>253</v>
      </c>
      <c r="T55" s="138">
        <f t="shared" si="12"/>
        <v>7023</v>
      </c>
      <c r="U55" s="139">
        <f t="shared" si="13"/>
        <v>0</v>
      </c>
    </row>
    <row r="56" spans="1:21" x14ac:dyDescent="0.25">
      <c r="A56" s="792"/>
      <c r="B56" s="792"/>
      <c r="C56" s="192">
        <v>0</v>
      </c>
      <c r="D56" s="192">
        <v>0</v>
      </c>
      <c r="E56" s="147">
        <f t="shared" si="10"/>
        <v>0</v>
      </c>
      <c r="F56" s="480" t="s">
        <v>15</v>
      </c>
      <c r="G56" s="470">
        <v>251</v>
      </c>
      <c r="H56" s="485">
        <f>'0664'!H56</f>
        <v>835</v>
      </c>
      <c r="I56" s="120">
        <f t="shared" si="11"/>
        <v>0</v>
      </c>
      <c r="N56" s="863"/>
      <c r="O56" s="863"/>
      <c r="P56" s="865"/>
      <c r="Q56" s="865"/>
      <c r="R56" s="45" t="s">
        <v>15</v>
      </c>
      <c r="S56" s="447">
        <v>251</v>
      </c>
      <c r="T56" s="138">
        <f t="shared" si="12"/>
        <v>835</v>
      </c>
      <c r="U56" s="139">
        <f t="shared" si="13"/>
        <v>0</v>
      </c>
    </row>
    <row r="57" spans="1:21" x14ac:dyDescent="0.25">
      <c r="A57" s="792"/>
      <c r="B57" s="792"/>
      <c r="C57" s="192">
        <v>0</v>
      </c>
      <c r="D57" s="192">
        <v>0</v>
      </c>
      <c r="E57" s="147">
        <f t="shared" si="10"/>
        <v>0</v>
      </c>
      <c r="F57" s="480" t="s">
        <v>15</v>
      </c>
      <c r="G57" s="470">
        <v>252</v>
      </c>
      <c r="H57" s="485">
        <f>'0664'!H57</f>
        <v>3168</v>
      </c>
      <c r="I57" s="120">
        <f t="shared" si="11"/>
        <v>0</v>
      </c>
      <c r="N57" s="863"/>
      <c r="O57" s="863"/>
      <c r="P57" s="865"/>
      <c r="Q57" s="865"/>
      <c r="R57" s="45" t="s">
        <v>15</v>
      </c>
      <c r="S57" s="447">
        <v>252</v>
      </c>
      <c r="T57" s="138">
        <f t="shared" si="12"/>
        <v>3168</v>
      </c>
      <c r="U57" s="139">
        <f t="shared" si="13"/>
        <v>0</v>
      </c>
    </row>
    <row r="58" spans="1:21" ht="16.5" thickBot="1" x14ac:dyDescent="0.3">
      <c r="A58" s="792"/>
      <c r="B58" s="792"/>
      <c r="C58" s="192">
        <v>0</v>
      </c>
      <c r="D58" s="192">
        <v>0</v>
      </c>
      <c r="E58" s="147">
        <f t="shared" si="10"/>
        <v>0</v>
      </c>
      <c r="F58" s="480" t="s">
        <v>15</v>
      </c>
      <c r="G58" s="470">
        <v>253</v>
      </c>
      <c r="H58" s="485">
        <f>'0664'!H58</f>
        <v>6685</v>
      </c>
      <c r="I58" s="120">
        <f t="shared" si="11"/>
        <v>0</v>
      </c>
      <c r="N58" s="863"/>
      <c r="O58" s="863"/>
      <c r="P58" s="866"/>
      <c r="Q58" s="866"/>
      <c r="R58" s="45" t="s">
        <v>15</v>
      </c>
      <c r="S58" s="447">
        <v>253</v>
      </c>
      <c r="T58" s="138">
        <f t="shared" si="12"/>
        <v>6685</v>
      </c>
      <c r="U58" s="141">
        <f t="shared" si="13"/>
        <v>0</v>
      </c>
    </row>
    <row r="59" spans="1:21" ht="16.5" thickBot="1" x14ac:dyDescent="0.3">
      <c r="A59" s="767" t="s">
        <v>16</v>
      </c>
      <c r="B59" s="767"/>
      <c r="C59" s="116">
        <f>SUM(C50:C58)</f>
        <v>15.709999999999999</v>
      </c>
      <c r="D59" s="116">
        <f>SUM(D50:D58)</f>
        <v>14.14</v>
      </c>
      <c r="E59" s="116">
        <f>SUM(E50:E58)</f>
        <v>29.85</v>
      </c>
      <c r="F59" s="767" t="s">
        <v>78</v>
      </c>
      <c r="G59" s="767"/>
      <c r="H59" s="767"/>
      <c r="I59" s="116">
        <f>SUM(I50:I58)</f>
        <v>43344.54</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253.32</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455"/>
      <c r="G63" s="47" t="s">
        <v>13</v>
      </c>
      <c r="H63" s="145">
        <f>ROUND(C62/H62,6)</f>
        <v>1.328E-3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273.33849999999995</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483"/>
      <c r="G66" s="48" t="s">
        <v>13</v>
      </c>
      <c r="H66" s="149">
        <f>ROUND(C65/H65,6)</f>
        <v>1.2750000000000001E-3</v>
      </c>
      <c r="I66" s="149"/>
      <c r="N66" s="845" t="s">
        <v>20</v>
      </c>
      <c r="O66" s="845"/>
      <c r="P66" s="845"/>
      <c r="Q66" s="845"/>
      <c r="R66" s="845"/>
      <c r="S66" s="845"/>
      <c r="T66" s="867">
        <f>ROUND(P65/T65,6)</f>
        <v>0</v>
      </c>
      <c r="U66" s="867"/>
    </row>
    <row r="67" spans="1:21" s="61" customFormat="1" x14ac:dyDescent="0.25">
      <c r="A67" s="455"/>
      <c r="G67" s="47"/>
      <c r="H67" s="150"/>
      <c r="I67" s="150"/>
      <c r="N67" s="462"/>
      <c r="O67" s="462"/>
      <c r="P67" s="462"/>
      <c r="Q67" s="462"/>
      <c r="R67" s="458"/>
      <c r="S67" s="462"/>
      <c r="T67" s="153"/>
      <c r="U67" s="469"/>
    </row>
    <row r="68" spans="1:21" x14ac:dyDescent="0.25">
      <c r="A68" s="764" t="s">
        <v>87</v>
      </c>
      <c r="B68" s="764"/>
      <c r="C68" s="764"/>
      <c r="D68" s="455"/>
      <c r="E68" s="474" t="s">
        <v>3</v>
      </c>
      <c r="F68" s="544">
        <f>'0664'!F68</f>
        <v>42029577</v>
      </c>
      <c r="G68" s="477" t="s">
        <v>6</v>
      </c>
      <c r="H68" s="155">
        <f>H63</f>
        <v>1.328E-3</v>
      </c>
      <c r="I68" s="120">
        <f>ROUND(F68*H68,2)</f>
        <v>55815.28</v>
      </c>
      <c r="N68" s="840" t="s">
        <v>87</v>
      </c>
      <c r="O68" s="840"/>
      <c r="P68" s="840"/>
      <c r="Q68" s="50"/>
      <c r="R68" s="156">
        <f>F68</f>
        <v>42029577</v>
      </c>
      <c r="S68" s="461" t="s">
        <v>6</v>
      </c>
      <c r="T68" s="157">
        <f>T63</f>
        <v>0</v>
      </c>
      <c r="U68" s="115">
        <f>ROUND(R68*T68,0)</f>
        <v>0</v>
      </c>
    </row>
    <row r="69" spans="1:21" x14ac:dyDescent="0.25">
      <c r="A69" s="811" t="s">
        <v>98</v>
      </c>
      <c r="B69" s="764"/>
      <c r="C69" s="764"/>
      <c r="D69" s="455"/>
      <c r="E69" s="474"/>
      <c r="F69" s="202"/>
      <c r="G69" s="477"/>
      <c r="H69" s="155"/>
      <c r="I69" s="120"/>
      <c r="N69" s="840" t="s">
        <v>86</v>
      </c>
      <c r="O69" s="840"/>
      <c r="P69" s="840"/>
      <c r="Q69" s="158"/>
      <c r="R69" s="158"/>
      <c r="S69" s="158"/>
      <c r="T69" s="158"/>
      <c r="U69" s="158"/>
    </row>
    <row r="70" spans="1:21" x14ac:dyDescent="0.25">
      <c r="A70" s="813" t="s">
        <v>143</v>
      </c>
      <c r="B70" s="764"/>
      <c r="C70" s="764"/>
      <c r="D70" s="455"/>
      <c r="E70" s="474" t="s">
        <v>3</v>
      </c>
      <c r="F70" s="544">
        <f>'0664'!F70</f>
        <v>0</v>
      </c>
      <c r="G70" s="477" t="s">
        <v>6</v>
      </c>
      <c r="H70" s="155">
        <f>H63</f>
        <v>1.328E-3</v>
      </c>
      <c r="I70" s="120">
        <f>ROUND(F70*H70,2)</f>
        <v>0</v>
      </c>
      <c r="N70" s="456"/>
      <c r="O70" s="456"/>
      <c r="P70" s="456"/>
      <c r="Q70" s="50"/>
      <c r="R70" s="156">
        <f>F70</f>
        <v>0</v>
      </c>
      <c r="S70" s="461" t="s">
        <v>6</v>
      </c>
      <c r="T70" s="157">
        <f>T63</f>
        <v>0</v>
      </c>
      <c r="U70" s="115">
        <f>ROUND(R70*T70,0)</f>
        <v>0</v>
      </c>
    </row>
    <row r="71" spans="1:21" x14ac:dyDescent="0.25">
      <c r="A71" s="764" t="s">
        <v>85</v>
      </c>
      <c r="B71" s="764"/>
      <c r="C71" s="764"/>
      <c r="D71" s="556" t="s">
        <v>358</v>
      </c>
      <c r="E71" s="610" t="s">
        <v>372</v>
      </c>
      <c r="F71" s="544">
        <f>'0664'!F71</f>
        <v>146607</v>
      </c>
      <c r="G71" s="477" t="s">
        <v>6</v>
      </c>
      <c r="H71" s="155">
        <f>H63</f>
        <v>1.328E-3</v>
      </c>
      <c r="I71" s="120">
        <f>IF(D71="Y",ROUND(F71*H71,2),0)</f>
        <v>194.69</v>
      </c>
      <c r="N71" s="840" t="s">
        <v>85</v>
      </c>
      <c r="O71" s="840"/>
      <c r="P71" s="840"/>
      <c r="Q71" s="50"/>
      <c r="R71" s="156">
        <f>F71</f>
        <v>146607</v>
      </c>
      <c r="S71" s="461" t="s">
        <v>6</v>
      </c>
      <c r="T71" s="157">
        <f>T63</f>
        <v>0</v>
      </c>
      <c r="U71" s="115">
        <f>ROUND(R71*T71,0)</f>
        <v>0</v>
      </c>
    </row>
    <row r="72" spans="1:21" x14ac:dyDescent="0.25">
      <c r="A72" s="764" t="s">
        <v>84</v>
      </c>
      <c r="B72" s="764"/>
      <c r="C72" s="764"/>
      <c r="D72" s="455"/>
      <c r="E72" s="474" t="s">
        <v>3</v>
      </c>
      <c r="F72" s="544">
        <f>'0664'!F72</f>
        <v>11337910</v>
      </c>
      <c r="G72" s="477" t="s">
        <v>6</v>
      </c>
      <c r="H72" s="155">
        <f>H63</f>
        <v>1.328E-3</v>
      </c>
      <c r="I72" s="120">
        <f>ROUND(F72*H72,2)</f>
        <v>15056.74</v>
      </c>
      <c r="N72" s="840" t="s">
        <v>84</v>
      </c>
      <c r="O72" s="840"/>
      <c r="P72" s="840"/>
      <c r="Q72" s="50"/>
      <c r="R72" s="156">
        <f>F72</f>
        <v>11337910</v>
      </c>
      <c r="S72" s="461" t="s">
        <v>6</v>
      </c>
      <c r="T72" s="157">
        <f>T63</f>
        <v>0</v>
      </c>
      <c r="U72" s="115">
        <f>ROUND(R72*T72,0)</f>
        <v>0</v>
      </c>
    </row>
    <row r="73" spans="1:21" x14ac:dyDescent="0.25">
      <c r="A73" s="764" t="s">
        <v>83</v>
      </c>
      <c r="B73" s="764"/>
      <c r="C73" s="764"/>
      <c r="D73" s="455"/>
      <c r="E73" s="474" t="s">
        <v>3</v>
      </c>
      <c r="F73" s="544">
        <f>'0664'!F73</f>
        <v>13882385</v>
      </c>
      <c r="G73" s="477" t="s">
        <v>6</v>
      </c>
      <c r="H73" s="155">
        <f>H63</f>
        <v>1.328E-3</v>
      </c>
      <c r="I73" s="120">
        <f>ROUND(F73*H73,2)</f>
        <v>18435.810000000001</v>
      </c>
      <c r="N73" s="840" t="s">
        <v>83</v>
      </c>
      <c r="O73" s="840"/>
      <c r="P73" s="840"/>
      <c r="Q73" s="50"/>
      <c r="R73" s="159">
        <f>F73</f>
        <v>13882385</v>
      </c>
      <c r="S73" s="461" t="s">
        <v>6</v>
      </c>
      <c r="T73" s="157">
        <f>T63</f>
        <v>0</v>
      </c>
      <c r="U73" s="115">
        <f>ROUND(R73*T73,0)</f>
        <v>0</v>
      </c>
    </row>
    <row r="74" spans="1:21" x14ac:dyDescent="0.25">
      <c r="A74" s="337" t="s">
        <v>101</v>
      </c>
      <c r="D74" s="455"/>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455"/>
      <c r="C76" s="455"/>
      <c r="D76" s="455"/>
      <c r="E76" s="455"/>
      <c r="F76" s="455"/>
      <c r="G76" s="455"/>
      <c r="H76" s="455"/>
      <c r="I76" s="160"/>
      <c r="N76" s="687" t="s">
        <v>44</v>
      </c>
      <c r="O76" s="456"/>
      <c r="P76" s="456"/>
      <c r="Q76" s="456"/>
      <c r="R76" s="456"/>
      <c r="S76" s="456"/>
      <c r="T76" s="456"/>
      <c r="U76" s="122"/>
    </row>
    <row r="77" spans="1:21" x14ac:dyDescent="0.25">
      <c r="A77" s="765" t="s">
        <v>387</v>
      </c>
      <c r="B77" s="764"/>
      <c r="C77" s="764"/>
      <c r="D77" s="607"/>
      <c r="E77" s="610" t="s">
        <v>3</v>
      </c>
      <c r="F77" s="544">
        <f>'0664'!F77</f>
        <v>7462542</v>
      </c>
      <c r="G77" s="608" t="s">
        <v>6</v>
      </c>
      <c r="H77" s="155">
        <f>H63</f>
        <v>1.328E-3</v>
      </c>
      <c r="I77" s="120">
        <f t="shared" ref="I77:I82" si="14">ROUND(F77*H77,2)</f>
        <v>9910.26</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1.328E-3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455"/>
      <c r="E79" s="474" t="s">
        <v>4</v>
      </c>
      <c r="F79" s="544">
        <f>'0664'!F79</f>
        <v>0</v>
      </c>
      <c r="G79" s="477" t="s">
        <v>6</v>
      </c>
      <c r="H79" s="155">
        <f>H66</f>
        <v>1.2750000000000001E-3</v>
      </c>
      <c r="I79" s="120">
        <f t="shared" si="14"/>
        <v>0</v>
      </c>
      <c r="N79" s="860" t="s">
        <v>414</v>
      </c>
      <c r="O79" s="840"/>
      <c r="P79" s="840"/>
      <c r="Q79" s="50"/>
      <c r="R79" s="159">
        <f t="shared" si="15"/>
        <v>0</v>
      </c>
      <c r="S79" s="461" t="s">
        <v>6</v>
      </c>
      <c r="T79" s="157">
        <f>T66</f>
        <v>0</v>
      </c>
      <c r="U79" s="115">
        <f t="shared" si="16"/>
        <v>0</v>
      </c>
    </row>
    <row r="80" spans="1:21" x14ac:dyDescent="0.25">
      <c r="A80" s="765" t="s">
        <v>415</v>
      </c>
      <c r="B80" s="764"/>
      <c r="C80" s="764"/>
      <c r="D80" s="455"/>
      <c r="E80" s="474" t="s">
        <v>4</v>
      </c>
      <c r="F80" s="544">
        <f>'0664'!F80</f>
        <v>8562788</v>
      </c>
      <c r="G80" s="477" t="s">
        <v>6</v>
      </c>
      <c r="H80" s="155">
        <f>H66</f>
        <v>1.2750000000000001E-3</v>
      </c>
      <c r="I80" s="120">
        <f t="shared" si="14"/>
        <v>10917.55</v>
      </c>
      <c r="N80" s="860" t="s">
        <v>415</v>
      </c>
      <c r="O80" s="840"/>
      <c r="P80" s="840"/>
      <c r="Q80" s="50"/>
      <c r="R80" s="159">
        <f t="shared" si="15"/>
        <v>8562788</v>
      </c>
      <c r="S80" s="461" t="s">
        <v>6</v>
      </c>
      <c r="T80" s="157">
        <f>T66</f>
        <v>0</v>
      </c>
      <c r="U80" s="115">
        <f t="shared" si="16"/>
        <v>0</v>
      </c>
    </row>
    <row r="81" spans="1:21" x14ac:dyDescent="0.25">
      <c r="A81" s="765" t="s">
        <v>419</v>
      </c>
      <c r="B81" s="764"/>
      <c r="C81" s="764"/>
      <c r="D81" s="455"/>
      <c r="E81" s="474" t="s">
        <v>4</v>
      </c>
      <c r="F81" s="544">
        <f>'0664'!F81</f>
        <v>168663228</v>
      </c>
      <c r="G81" s="477" t="s">
        <v>6</v>
      </c>
      <c r="H81" s="155">
        <f>H66</f>
        <v>1.2750000000000001E-3</v>
      </c>
      <c r="I81" s="120">
        <f t="shared" si="14"/>
        <v>215045.62</v>
      </c>
      <c r="N81" s="860" t="s">
        <v>419</v>
      </c>
      <c r="O81" s="840"/>
      <c r="P81" s="840"/>
      <c r="Q81" s="50"/>
      <c r="R81" s="159">
        <f t="shared" si="15"/>
        <v>168663228</v>
      </c>
      <c r="S81" s="461" t="s">
        <v>6</v>
      </c>
      <c r="T81" s="157">
        <f>T66</f>
        <v>0</v>
      </c>
      <c r="U81" s="115">
        <f t="shared" si="16"/>
        <v>0</v>
      </c>
    </row>
    <row r="82" spans="1:21" x14ac:dyDescent="0.25">
      <c r="A82" s="765" t="s">
        <v>420</v>
      </c>
      <c r="B82" s="764"/>
      <c r="C82" s="764"/>
      <c r="D82" s="455"/>
      <c r="E82" s="474" t="s">
        <v>4</v>
      </c>
      <c r="F82" s="544">
        <f>'0664'!F82</f>
        <v>0</v>
      </c>
      <c r="G82" s="477" t="s">
        <v>6</v>
      </c>
      <c r="H82" s="155">
        <f>H66</f>
        <v>1.2750000000000001E-3</v>
      </c>
      <c r="I82" s="120">
        <f t="shared" si="14"/>
        <v>0</v>
      </c>
      <c r="N82" s="860" t="s">
        <v>420</v>
      </c>
      <c r="O82" s="840"/>
      <c r="P82" s="840"/>
      <c r="Q82" s="50"/>
      <c r="R82" s="156">
        <f t="shared" si="15"/>
        <v>0</v>
      </c>
      <c r="S82" s="461" t="s">
        <v>6</v>
      </c>
      <c r="T82" s="157">
        <f>T66</f>
        <v>0</v>
      </c>
      <c r="U82" s="115">
        <f t="shared" si="16"/>
        <v>0</v>
      </c>
    </row>
    <row r="83" spans="1:21" x14ac:dyDescent="0.25">
      <c r="A83" s="717" t="s">
        <v>425</v>
      </c>
      <c r="B83" s="455"/>
      <c r="C83" s="455"/>
      <c r="D83" s="455"/>
      <c r="E83" s="683" t="s">
        <v>45</v>
      </c>
      <c r="F83" s="544"/>
      <c r="G83" s="477"/>
      <c r="H83" s="155"/>
      <c r="I83" s="120">
        <v>54278.52</v>
      </c>
      <c r="N83" s="719" t="s">
        <v>425</v>
      </c>
      <c r="O83" s="456"/>
      <c r="P83" s="456"/>
      <c r="Q83" s="50"/>
      <c r="R83" s="159">
        <f t="shared" si="15"/>
        <v>0</v>
      </c>
      <c r="S83" s="461" t="s">
        <v>6</v>
      </c>
      <c r="T83" s="157">
        <f>T66</f>
        <v>0</v>
      </c>
      <c r="U83" s="115">
        <f>IF($H$116=1,I83,0)</f>
        <v>0</v>
      </c>
    </row>
    <row r="84" spans="1:21" x14ac:dyDescent="0.25">
      <c r="A84" s="765" t="s">
        <v>457</v>
      </c>
      <c r="B84" s="764"/>
      <c r="C84" s="764"/>
      <c r="D84" s="744"/>
      <c r="E84" s="747" t="s">
        <v>3</v>
      </c>
      <c r="F84" s="544">
        <f>'0664'!F84</f>
        <v>21614343</v>
      </c>
      <c r="G84" s="749" t="s">
        <v>6</v>
      </c>
      <c r="H84" s="155">
        <f>H63</f>
        <v>1.328E-3</v>
      </c>
      <c r="I84" s="120">
        <f>ROUND(F84*H84,2)</f>
        <v>28703.85</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455"/>
      <c r="C87" s="780" t="s">
        <v>74</v>
      </c>
      <c r="D87" s="780"/>
      <c r="E87" s="455"/>
      <c r="F87" s="480" t="s">
        <v>37</v>
      </c>
      <c r="G87" s="455"/>
      <c r="H87" s="455"/>
      <c r="I87" s="455"/>
      <c r="N87" s="456"/>
      <c r="O87" s="456"/>
      <c r="P87" s="456"/>
      <c r="Q87" s="456"/>
      <c r="R87" s="456"/>
      <c r="S87" s="456"/>
      <c r="T87" s="456"/>
      <c r="U87" s="456"/>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464"/>
      <c r="B89" s="64" t="s">
        <v>150</v>
      </c>
      <c r="C89" s="781">
        <f>H13+H14+H19+H22+H25</f>
        <v>164.50720000000001</v>
      </c>
      <c r="D89" s="781"/>
      <c r="E89" s="54">
        <f>H8</f>
        <v>1.0424</v>
      </c>
      <c r="F89" s="545">
        <f>'0664'!F89</f>
        <v>966.9</v>
      </c>
      <c r="G89" s="481" t="s">
        <v>13</v>
      </c>
      <c r="H89" s="120">
        <f>ROUND(C89*E89*F89,2)</f>
        <v>165806.24</v>
      </c>
      <c r="I89" s="124"/>
      <c r="N89" s="465"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108.8313</v>
      </c>
      <c r="D90" s="781"/>
      <c r="E90" s="54">
        <f>H8</f>
        <v>1.0424</v>
      </c>
      <c r="F90" s="545">
        <f>'0664'!F90</f>
        <v>923.19</v>
      </c>
      <c r="G90" s="481" t="s">
        <v>13</v>
      </c>
      <c r="H90" s="120">
        <f>ROUND(C90*E90*F90,2)</f>
        <v>104731.98</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0</v>
      </c>
      <c r="D91" s="781"/>
      <c r="E91" s="54">
        <f>H8</f>
        <v>1.0424</v>
      </c>
      <c r="F91" s="545">
        <f>'0664'!F91</f>
        <v>925.42</v>
      </c>
      <c r="G91" s="481"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273.33850000000001</v>
      </c>
      <c r="D92" s="782"/>
      <c r="E92" s="168"/>
      <c r="F92" s="168"/>
      <c r="G92" s="168"/>
      <c r="H92" s="169" t="s">
        <v>145</v>
      </c>
      <c r="I92" s="120">
        <f>IF(A1=75,0,H91+H90+H89)</f>
        <v>270538.21999999997</v>
      </c>
      <c r="N92" s="471"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472"/>
      <c r="B94" s="472"/>
      <c r="C94" s="472"/>
      <c r="D94" s="472"/>
      <c r="E94" s="472"/>
      <c r="F94" s="472"/>
      <c r="G94" s="472"/>
      <c r="H94" s="472"/>
      <c r="I94" s="472"/>
      <c r="N94" s="473"/>
      <c r="O94" s="473"/>
      <c r="P94" s="473"/>
      <c r="Q94" s="473"/>
      <c r="R94" s="473"/>
      <c r="S94" s="473"/>
      <c r="T94" s="473"/>
      <c r="U94" s="473"/>
    </row>
    <row r="95" spans="1:21" x14ac:dyDescent="0.25">
      <c r="A95" s="745" t="s">
        <v>459</v>
      </c>
      <c r="C95" s="474"/>
      <c r="D95" s="455"/>
      <c r="E95" s="683" t="s">
        <v>102</v>
      </c>
      <c r="F95" s="774"/>
      <c r="G95" s="774"/>
      <c r="H95" s="774"/>
      <c r="I95" s="774"/>
      <c r="N95" s="860" t="s">
        <v>459</v>
      </c>
      <c r="O95" s="840"/>
      <c r="P95" s="840"/>
      <c r="Q95" s="879"/>
      <c r="R95" s="879"/>
      <c r="S95" s="879"/>
      <c r="T95" s="879"/>
      <c r="U95" s="122"/>
    </row>
    <row r="96" spans="1:21" x14ac:dyDescent="0.25">
      <c r="B96" s="455"/>
      <c r="C96" s="600" t="s">
        <v>435</v>
      </c>
      <c r="D96" s="669" t="s">
        <v>436</v>
      </c>
      <c r="E96" s="108" t="s">
        <v>153</v>
      </c>
      <c r="F96" s="474"/>
      <c r="G96" s="474"/>
      <c r="H96" s="474"/>
      <c r="I96" s="474"/>
      <c r="N96" s="456"/>
      <c r="O96" s="456"/>
      <c r="P96" s="456"/>
      <c r="Q96" s="475"/>
      <c r="R96" s="475"/>
      <c r="S96" s="475"/>
      <c r="T96" s="475"/>
      <c r="U96" s="122"/>
    </row>
    <row r="97" spans="1:21" x14ac:dyDescent="0.25">
      <c r="B97" s="455"/>
      <c r="C97" s="624" t="s">
        <v>2</v>
      </c>
      <c r="D97" s="622" t="s">
        <v>2</v>
      </c>
      <c r="E97" s="622" t="s">
        <v>2</v>
      </c>
      <c r="F97" s="474"/>
      <c r="G97" s="474"/>
      <c r="H97" s="474"/>
      <c r="I97" s="474"/>
      <c r="N97" s="456"/>
      <c r="O97" s="456"/>
      <c r="P97" s="456"/>
      <c r="Q97" s="475"/>
      <c r="R97" s="475"/>
      <c r="S97" s="475"/>
      <c r="T97" s="475"/>
      <c r="U97" s="122"/>
    </row>
    <row r="98" spans="1:21" x14ac:dyDescent="0.25">
      <c r="A98" s="767" t="s">
        <v>66</v>
      </c>
      <c r="B98" s="767"/>
      <c r="C98" s="192">
        <v>0</v>
      </c>
      <c r="D98" s="192">
        <v>0</v>
      </c>
      <c r="E98" s="193">
        <f>(C98+D98)/2</f>
        <v>0</v>
      </c>
      <c r="F98" s="173" t="s">
        <v>39</v>
      </c>
      <c r="G98" s="546">
        <f>'0664'!G98</f>
        <v>486</v>
      </c>
      <c r="I98" s="120">
        <f>ROUND(G98*E98,2)</f>
        <v>0</v>
      </c>
      <c r="N98" s="873" t="s">
        <v>66</v>
      </c>
      <c r="O98" s="873"/>
      <c r="P98" s="874">
        <f>IF(H116=1,E98,0)</f>
        <v>0</v>
      </c>
      <c r="Q98" s="874"/>
      <c r="R98" s="874"/>
      <c r="S98" s="449" t="s">
        <v>39</v>
      </c>
      <c r="T98" s="72">
        <f>G98</f>
        <v>486</v>
      </c>
      <c r="U98" s="115">
        <f>ROUND(T98*P98,0)</f>
        <v>0</v>
      </c>
    </row>
    <row r="99" spans="1:21" x14ac:dyDescent="0.25">
      <c r="A99" s="767" t="s">
        <v>82</v>
      </c>
      <c r="B99" s="767"/>
      <c r="C99" s="192">
        <v>0</v>
      </c>
      <c r="D99" s="192">
        <v>0</v>
      </c>
      <c r="E99" s="193">
        <f>(C99+D99)/2</f>
        <v>0</v>
      </c>
      <c r="F99" s="173" t="s">
        <v>39</v>
      </c>
      <c r="G99" s="546">
        <f>'0664'!G99</f>
        <v>1498</v>
      </c>
      <c r="I99" s="120">
        <f>ROUND(G99*E99,2)</f>
        <v>0</v>
      </c>
      <c r="N99" s="873" t="s">
        <v>82</v>
      </c>
      <c r="O99" s="873"/>
      <c r="P99" s="847"/>
      <c r="Q99" s="847"/>
      <c r="R99" s="847"/>
      <c r="S99" s="449" t="s">
        <v>39</v>
      </c>
      <c r="T99" s="72">
        <f>G99</f>
        <v>1498</v>
      </c>
      <c r="U99" s="115">
        <f>ROUND(T99*P99,0)</f>
        <v>0</v>
      </c>
    </row>
    <row r="100" spans="1:21" x14ac:dyDescent="0.25">
      <c r="A100" s="174"/>
      <c r="B100" s="174"/>
      <c r="C100" s="89"/>
      <c r="D100" s="89"/>
      <c r="E100" s="89"/>
      <c r="F100" s="89"/>
      <c r="G100" s="175"/>
      <c r="H100" s="176"/>
      <c r="I100" s="120"/>
      <c r="N100" s="476"/>
      <c r="O100" s="476"/>
      <c r="P100" s="178"/>
      <c r="Q100" s="178"/>
      <c r="R100" s="178"/>
      <c r="S100" s="449"/>
      <c r="T100" s="72"/>
      <c r="U100" s="122"/>
    </row>
    <row r="101" spans="1:21" x14ac:dyDescent="0.25">
      <c r="A101" s="174"/>
      <c r="B101" s="174"/>
      <c r="C101" s="89"/>
      <c r="D101" s="89"/>
      <c r="E101" s="89"/>
      <c r="F101" s="89"/>
      <c r="G101" s="175"/>
      <c r="H101" s="176"/>
      <c r="I101" s="120"/>
      <c r="N101" s="476"/>
      <c r="O101" s="476"/>
      <c r="P101" s="178"/>
      <c r="Q101" s="178"/>
      <c r="R101" s="178"/>
      <c r="S101" s="449"/>
      <c r="T101" s="72"/>
      <c r="U101" s="122"/>
    </row>
    <row r="102" spans="1:21" hidden="1" x14ac:dyDescent="0.25">
      <c r="A102" s="765" t="s">
        <v>374</v>
      </c>
      <c r="B102" s="764"/>
      <c r="C102" s="764"/>
      <c r="D102" s="455"/>
      <c r="E102" s="686" t="s">
        <v>41</v>
      </c>
      <c r="F102" s="780"/>
      <c r="G102" s="780"/>
      <c r="H102" s="780"/>
      <c r="I102" s="780"/>
      <c r="N102" s="860" t="s">
        <v>383</v>
      </c>
      <c r="O102" s="840"/>
      <c r="P102" s="840"/>
      <c r="Q102" s="840"/>
      <c r="R102" s="840"/>
      <c r="S102" s="840"/>
      <c r="T102" s="840"/>
      <c r="U102" s="840"/>
    </row>
    <row r="103" spans="1:21" hidden="1" x14ac:dyDescent="0.25">
      <c r="B103" s="455"/>
      <c r="C103" s="776" t="s">
        <v>93</v>
      </c>
      <c r="D103" s="776"/>
      <c r="E103" s="776"/>
      <c r="F103" s="470"/>
      <c r="G103" s="470"/>
      <c r="H103" s="481" t="s">
        <v>154</v>
      </c>
      <c r="I103" s="470"/>
      <c r="N103" s="456"/>
      <c r="O103" s="456"/>
      <c r="P103" s="456"/>
      <c r="Q103" s="456"/>
      <c r="R103" s="456"/>
      <c r="S103" s="456"/>
      <c r="T103" s="456"/>
      <c r="U103" s="456"/>
    </row>
    <row r="104" spans="1:21" hidden="1" x14ac:dyDescent="0.25">
      <c r="B104" s="455"/>
      <c r="C104" s="600" t="s">
        <v>392</v>
      </c>
      <c r="D104" s="600" t="s">
        <v>370</v>
      </c>
      <c r="E104" s="185" t="s">
        <v>8</v>
      </c>
      <c r="F104" s="883" t="s">
        <v>155</v>
      </c>
      <c r="G104" s="770"/>
      <c r="H104" s="477" t="s">
        <v>38</v>
      </c>
      <c r="I104" s="470"/>
      <c r="N104" s="456"/>
      <c r="O104" s="456"/>
      <c r="P104" s="456"/>
      <c r="Q104" s="456"/>
      <c r="R104" s="456"/>
      <c r="S104" s="456"/>
      <c r="T104" s="456"/>
      <c r="U104" s="456"/>
    </row>
    <row r="105" spans="1:21" hidden="1" x14ac:dyDescent="0.25">
      <c r="A105" s="776" t="s">
        <v>96</v>
      </c>
      <c r="B105" s="776"/>
      <c r="C105" s="109" t="s">
        <v>2</v>
      </c>
      <c r="D105" s="109" t="s">
        <v>2</v>
      </c>
      <c r="E105" s="466" t="s">
        <v>2</v>
      </c>
      <c r="F105" s="776" t="s">
        <v>37</v>
      </c>
      <c r="G105" s="776"/>
      <c r="H105" s="466" t="s">
        <v>37</v>
      </c>
      <c r="I105" s="466" t="s">
        <v>8</v>
      </c>
      <c r="N105" s="859" t="s">
        <v>67</v>
      </c>
      <c r="O105" s="859"/>
      <c r="P105" s="874" t="s">
        <v>93</v>
      </c>
      <c r="Q105" s="874"/>
      <c r="R105" s="859" t="s">
        <v>68</v>
      </c>
      <c r="S105" s="859"/>
      <c r="T105" s="467" t="s">
        <v>69</v>
      </c>
      <c r="U105" s="467" t="s">
        <v>8</v>
      </c>
    </row>
    <row r="106" spans="1:21" hidden="1" x14ac:dyDescent="0.25">
      <c r="A106" s="771" t="s">
        <v>70</v>
      </c>
      <c r="B106" s="771"/>
      <c r="C106" s="190">
        <v>0</v>
      </c>
      <c r="D106" s="190">
        <v>0</v>
      </c>
      <c r="E106" s="191">
        <f>IF(D$59=0,C106*2,C106+D106)</f>
        <v>0</v>
      </c>
      <c r="F106" s="889">
        <v>0</v>
      </c>
      <c r="G106" s="889"/>
      <c r="H106" s="75">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93">
        <f>IF(D$59=0,C107*2,C107+D107)</f>
        <v>0</v>
      </c>
      <c r="F107" s="810">
        <f>ROUND(F106/2,2)</f>
        <v>0</v>
      </c>
      <c r="G107" s="810"/>
      <c r="H107" s="77">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93">
        <f>IF(D$59=0,C108*2,C108+D108)</f>
        <v>0</v>
      </c>
      <c r="F108" s="773"/>
      <c r="G108" s="773"/>
      <c r="H108" s="79">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77"/>
      <c r="B110" s="477"/>
      <c r="C110" s="81"/>
      <c r="D110" s="81"/>
      <c r="E110" s="81"/>
      <c r="F110" s="81"/>
      <c r="G110" s="81"/>
      <c r="H110" s="81"/>
      <c r="I110" s="120"/>
      <c r="N110" s="461"/>
      <c r="O110" s="461"/>
      <c r="P110" s="82"/>
      <c r="Q110" s="82"/>
      <c r="R110" s="82"/>
      <c r="S110" s="82"/>
      <c r="T110" s="82"/>
      <c r="U110" s="187"/>
    </row>
    <row r="111" spans="1:21" x14ac:dyDescent="0.25">
      <c r="A111" s="765" t="s">
        <v>460</v>
      </c>
      <c r="B111" s="764"/>
      <c r="C111" s="764"/>
      <c r="D111" s="455"/>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455"/>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455"/>
      <c r="C113" s="455"/>
      <c r="D113" s="455"/>
      <c r="E113" s="478"/>
      <c r="F113" s="478"/>
      <c r="G113" s="478"/>
      <c r="H113" s="478"/>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1968205.81</v>
      </c>
      <c r="N114" s="465"/>
      <c r="O114" s="465"/>
      <c r="P114" s="465"/>
      <c r="Q114" s="465"/>
      <c r="R114" s="465"/>
      <c r="S114" s="465"/>
      <c r="T114" s="465"/>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455"/>
      <c r="C117" s="455"/>
      <c r="D117" s="455"/>
      <c r="E117" s="455"/>
      <c r="F117" s="455"/>
      <c r="G117" s="455"/>
      <c r="H117" s="89"/>
      <c r="I117" s="120"/>
      <c r="N117" s="88" t="s">
        <v>108</v>
      </c>
      <c r="O117" s="88"/>
      <c r="P117" s="88"/>
      <c r="Q117" s="88"/>
      <c r="R117" s="88"/>
      <c r="S117" s="88"/>
      <c r="T117" s="88"/>
      <c r="U117" s="88"/>
    </row>
    <row r="118" spans="1:21" x14ac:dyDescent="0.25">
      <c r="A118" s="3" t="s">
        <v>104</v>
      </c>
      <c r="B118" s="455"/>
      <c r="C118" s="455"/>
      <c r="D118" s="455"/>
      <c r="E118" s="455"/>
      <c r="F118" s="455"/>
      <c r="G118" s="396"/>
      <c r="H118" s="188">
        <f>IF(H116=1,I116,I114)</f>
        <v>1968205.81</v>
      </c>
      <c r="I118" s="113">
        <f>ROUND(IF(E29=0,0,IF(E29&gt;250,-(((250/E29)*H118)*IF(G118="H",0.02,0.05)),IF(G118="H",-0.02*H118,-0.05*H118))),2)</f>
        <v>-97120.53</v>
      </c>
      <c r="N118" s="90" t="s">
        <v>109</v>
      </c>
      <c r="O118" s="88"/>
      <c r="P118" s="88"/>
      <c r="Q118" s="88"/>
      <c r="R118" s="88"/>
      <c r="S118" s="88"/>
      <c r="T118" s="88"/>
      <c r="U118" s="88"/>
    </row>
    <row r="119" spans="1:21" x14ac:dyDescent="0.25">
      <c r="B119" s="455"/>
      <c r="C119" s="455"/>
      <c r="D119" s="455"/>
      <c r="E119" s="455"/>
      <c r="F119" s="455"/>
      <c r="G119" s="455"/>
      <c r="H119" s="89"/>
      <c r="I119" s="120"/>
      <c r="N119" s="479"/>
      <c r="O119" s="479"/>
      <c r="P119" s="479"/>
      <c r="Q119" s="479"/>
      <c r="R119" s="479"/>
      <c r="S119" s="479"/>
      <c r="T119" s="479"/>
      <c r="U119" s="479"/>
    </row>
    <row r="120" spans="1:21" x14ac:dyDescent="0.25">
      <c r="A120" s="552" t="s">
        <v>105</v>
      </c>
      <c r="B120" s="553"/>
      <c r="C120" s="553"/>
      <c r="D120" s="553"/>
      <c r="E120" s="553"/>
      <c r="F120" s="553"/>
      <c r="G120" s="553"/>
      <c r="H120" s="554"/>
      <c r="I120" s="555">
        <f>I114+I118</f>
        <v>1871085.28</v>
      </c>
      <c r="N120" s="479"/>
      <c r="O120" s="479"/>
      <c r="P120" s="479"/>
      <c r="Q120" s="479"/>
      <c r="R120" s="479"/>
      <c r="S120" s="479"/>
      <c r="T120" s="479"/>
      <c r="U120" s="479"/>
    </row>
    <row r="121" spans="1:21" x14ac:dyDescent="0.25">
      <c r="B121" s="455"/>
      <c r="C121" s="455"/>
      <c r="D121" s="455"/>
      <c r="E121" s="455"/>
      <c r="F121" s="455"/>
      <c r="G121" s="455"/>
      <c r="H121" s="89"/>
      <c r="I121" s="120"/>
      <c r="N121" s="479"/>
      <c r="O121" s="479"/>
      <c r="P121" s="479"/>
      <c r="Q121" s="479"/>
      <c r="R121" s="479"/>
      <c r="S121" s="479"/>
      <c r="T121" s="479"/>
      <c r="U121" s="479"/>
    </row>
    <row r="122" spans="1:21" x14ac:dyDescent="0.25">
      <c r="A122" s="3" t="s">
        <v>106</v>
      </c>
      <c r="B122" s="455"/>
      <c r="C122" s="189"/>
      <c r="D122" s="455"/>
      <c r="F122" s="455"/>
      <c r="G122" s="455"/>
      <c r="H122" s="89"/>
      <c r="I122" s="424">
        <v>-1858388.7</v>
      </c>
      <c r="N122" s="479"/>
      <c r="O122" s="479"/>
      <c r="P122" s="479"/>
      <c r="Q122" s="479"/>
      <c r="R122" s="479"/>
      <c r="S122" s="479"/>
      <c r="T122" s="479"/>
      <c r="U122" s="479"/>
    </row>
    <row r="123" spans="1:21" x14ac:dyDescent="0.25">
      <c r="B123" s="455"/>
      <c r="C123" s="455"/>
      <c r="D123" s="455"/>
      <c r="E123" s="455"/>
      <c r="F123" s="455"/>
      <c r="G123" s="455"/>
      <c r="H123" s="89"/>
      <c r="I123" s="120"/>
      <c r="N123" s="479"/>
      <c r="O123" s="479"/>
      <c r="P123" s="479"/>
      <c r="Q123" s="479"/>
      <c r="R123" s="479"/>
      <c r="S123" s="479"/>
      <c r="T123" s="479"/>
      <c r="U123" s="479"/>
    </row>
    <row r="124" spans="1:21" x14ac:dyDescent="0.25">
      <c r="A124" s="468" t="s">
        <v>313</v>
      </c>
      <c r="B124" s="455"/>
      <c r="C124" s="455"/>
      <c r="D124" s="455"/>
      <c r="E124" s="455"/>
      <c r="F124" s="455"/>
      <c r="G124" s="455"/>
      <c r="H124" s="89"/>
      <c r="I124" s="120">
        <f>I120+I122</f>
        <v>12696.580000000075</v>
      </c>
      <c r="N124" s="479"/>
      <c r="O124" s="479"/>
      <c r="P124" s="479"/>
      <c r="Q124" s="479"/>
      <c r="R124" s="479"/>
      <c r="S124" s="479"/>
      <c r="T124" s="479"/>
      <c r="U124" s="479"/>
    </row>
    <row r="125" spans="1:21" x14ac:dyDescent="0.25">
      <c r="A125" s="468"/>
      <c r="B125" s="455"/>
      <c r="C125" s="455"/>
      <c r="D125" s="455"/>
      <c r="E125" s="455"/>
      <c r="F125" s="455"/>
      <c r="G125" s="455"/>
      <c r="H125" s="89"/>
      <c r="I125" s="120"/>
      <c r="N125" s="479"/>
      <c r="O125" s="479"/>
      <c r="P125" s="479"/>
      <c r="Q125" s="479"/>
      <c r="R125" s="479"/>
      <c r="S125" s="479"/>
      <c r="T125" s="479"/>
      <c r="U125" s="479"/>
    </row>
    <row r="126" spans="1:21" x14ac:dyDescent="0.25">
      <c r="A126" s="468" t="s">
        <v>314</v>
      </c>
      <c r="B126" s="455"/>
      <c r="C126" s="455"/>
      <c r="D126" s="455"/>
      <c r="E126" s="455"/>
      <c r="F126" s="455"/>
      <c r="G126" s="455"/>
      <c r="H126" s="89"/>
      <c r="I126" s="425">
        <f>'0664'!I126</f>
        <v>1</v>
      </c>
      <c r="N126" s="479"/>
      <c r="O126" s="479"/>
      <c r="P126" s="479"/>
      <c r="Q126" s="479"/>
      <c r="R126" s="479"/>
      <c r="S126" s="479"/>
      <c r="T126" s="479"/>
      <c r="U126" s="479"/>
    </row>
    <row r="127" spans="1:21" x14ac:dyDescent="0.25">
      <c r="B127" s="455"/>
      <c r="C127" s="455"/>
      <c r="D127" s="455"/>
      <c r="E127" s="455"/>
      <c r="F127" s="455"/>
      <c r="G127" s="455"/>
      <c r="H127" s="89"/>
      <c r="I127" s="120"/>
      <c r="N127" s="479"/>
      <c r="O127" s="479"/>
      <c r="P127" s="479"/>
      <c r="Q127" s="479"/>
      <c r="R127" s="479"/>
      <c r="S127" s="479"/>
      <c r="T127" s="479"/>
      <c r="U127" s="479"/>
    </row>
    <row r="128" spans="1:21" ht="16.5" thickBot="1" x14ac:dyDescent="0.3">
      <c r="A128" s="3" t="s">
        <v>107</v>
      </c>
      <c r="B128" s="455"/>
      <c r="C128" s="455"/>
      <c r="D128" s="455"/>
      <c r="E128" s="455"/>
      <c r="F128" s="455"/>
      <c r="G128" s="455"/>
      <c r="H128" s="89"/>
      <c r="I128" s="205">
        <f>ROUND(I124/I126,2)</f>
        <v>12696.58</v>
      </c>
      <c r="N128" s="479"/>
      <c r="O128" s="479"/>
      <c r="P128" s="479"/>
      <c r="Q128" s="479"/>
      <c r="R128" s="479"/>
      <c r="S128" s="479"/>
      <c r="T128" s="479"/>
      <c r="U128" s="479"/>
    </row>
    <row r="129" spans="1:21" ht="16.5" thickTop="1" x14ac:dyDescent="0.25">
      <c r="B129" s="455"/>
      <c r="C129" s="455"/>
      <c r="D129" s="455"/>
      <c r="E129" s="455"/>
      <c r="F129" s="455"/>
      <c r="G129" s="455"/>
      <c r="H129" s="89"/>
      <c r="I129" s="120"/>
      <c r="N129" s="479"/>
      <c r="O129" s="479"/>
      <c r="P129" s="479"/>
      <c r="Q129" s="479"/>
      <c r="R129" s="479"/>
      <c r="S129" s="479"/>
      <c r="T129" s="479"/>
      <c r="U129" s="479"/>
    </row>
    <row r="130" spans="1:21" ht="16.5" thickBot="1" x14ac:dyDescent="0.3">
      <c r="A130" s="3" t="s">
        <v>123</v>
      </c>
      <c r="B130" s="455"/>
      <c r="C130" s="455"/>
      <c r="D130" s="455"/>
      <c r="E130" s="455"/>
      <c r="F130" s="455"/>
      <c r="G130" s="455"/>
      <c r="H130" s="89"/>
      <c r="I130" s="180">
        <f>ROUND(IF(G118="H",(H118*0.02)+I118,(H118*0.05)+I118),2)</f>
        <v>1289.76</v>
      </c>
      <c r="N130" s="479"/>
      <c r="O130" s="479"/>
      <c r="P130" s="479"/>
      <c r="Q130" s="479"/>
      <c r="R130" s="479"/>
      <c r="S130" s="479"/>
      <c r="T130" s="479"/>
      <c r="U130" s="479"/>
    </row>
    <row r="131" spans="1:21" ht="16.5" thickTop="1" x14ac:dyDescent="0.25">
      <c r="B131" s="455"/>
      <c r="C131" s="455"/>
      <c r="D131" s="455"/>
      <c r="E131" s="455"/>
      <c r="F131" s="455"/>
      <c r="G131" s="455"/>
      <c r="H131" s="89"/>
      <c r="I131" s="181"/>
      <c r="N131" s="479"/>
      <c r="O131" s="479"/>
      <c r="P131" s="479"/>
      <c r="Q131" s="479"/>
      <c r="R131" s="479"/>
      <c r="S131" s="479"/>
      <c r="T131" s="479"/>
      <c r="U131" s="479"/>
    </row>
    <row r="132" spans="1:21" x14ac:dyDescent="0.25">
      <c r="B132" s="455"/>
      <c r="C132" s="455"/>
      <c r="D132" s="455"/>
      <c r="E132" s="455"/>
      <c r="F132" s="455"/>
      <c r="G132" s="455"/>
      <c r="H132" s="89"/>
      <c r="I132" s="120"/>
      <c r="N132" s="479"/>
      <c r="O132" s="479"/>
      <c r="P132" s="479"/>
      <c r="Q132" s="479"/>
      <c r="R132" s="479"/>
      <c r="S132" s="479"/>
      <c r="T132" s="479"/>
      <c r="U132" s="479"/>
    </row>
    <row r="133" spans="1:21" x14ac:dyDescent="0.25">
      <c r="B133" s="455"/>
      <c r="C133" s="455"/>
      <c r="D133" s="455"/>
      <c r="E133" s="455"/>
      <c r="F133" s="455"/>
      <c r="G133" s="455"/>
      <c r="H133" s="89"/>
      <c r="I133" s="181"/>
      <c r="N133" s="479"/>
      <c r="O133" s="479"/>
      <c r="P133" s="479"/>
      <c r="Q133" s="479"/>
      <c r="R133" s="479"/>
      <c r="S133" s="479"/>
      <c r="T133" s="479"/>
      <c r="U133" s="479"/>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479"/>
      <c r="O136" s="479"/>
      <c r="P136" s="479"/>
      <c r="Q136" s="479"/>
      <c r="R136" s="479"/>
      <c r="S136" s="479"/>
      <c r="T136" s="479"/>
      <c r="U136" s="479"/>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N135:U135"/>
    <mergeCell ref="N113:T113"/>
    <mergeCell ref="A114:H114"/>
    <mergeCell ref="A115:G115"/>
    <mergeCell ref="N115:U115"/>
    <mergeCell ref="A116:G116"/>
    <mergeCell ref="N116:U116"/>
    <mergeCell ref="A109:B109"/>
    <mergeCell ref="N109:O109"/>
    <mergeCell ref="A111:C111"/>
    <mergeCell ref="F111:H111"/>
    <mergeCell ref="N111:P111"/>
    <mergeCell ref="A112:C112"/>
    <mergeCell ref="F112:H112"/>
    <mergeCell ref="N112:P112"/>
    <mergeCell ref="A107:B107"/>
    <mergeCell ref="F107:G107"/>
    <mergeCell ref="N107:O107"/>
    <mergeCell ref="P107:Q107"/>
    <mergeCell ref="R107:S107"/>
    <mergeCell ref="A108:B108"/>
    <mergeCell ref="F108:G108"/>
    <mergeCell ref="N108:O108"/>
    <mergeCell ref="P108:Q108"/>
    <mergeCell ref="R108:S108"/>
    <mergeCell ref="R105:S105"/>
    <mergeCell ref="A106:B106"/>
    <mergeCell ref="F106:G106"/>
    <mergeCell ref="N106:O106"/>
    <mergeCell ref="P106:Q106"/>
    <mergeCell ref="R106:S106"/>
    <mergeCell ref="C103:E103"/>
    <mergeCell ref="F104:G104"/>
    <mergeCell ref="A105:B105"/>
    <mergeCell ref="F105:G105"/>
    <mergeCell ref="N105:O105"/>
    <mergeCell ref="P105:Q105"/>
    <mergeCell ref="A99:B99"/>
    <mergeCell ref="N99:O99"/>
    <mergeCell ref="P99:R99"/>
    <mergeCell ref="A102:C102"/>
    <mergeCell ref="F102:I102"/>
    <mergeCell ref="N102:U102"/>
    <mergeCell ref="A93:I93"/>
    <mergeCell ref="N93:U93"/>
    <mergeCell ref="F95:I95"/>
    <mergeCell ref="N95:P95"/>
    <mergeCell ref="Q95:T95"/>
    <mergeCell ref="A98:B98"/>
    <mergeCell ref="N98:O98"/>
    <mergeCell ref="P98:R98"/>
    <mergeCell ref="C90:D90"/>
    <mergeCell ref="P90:Q90"/>
    <mergeCell ref="C91:D91"/>
    <mergeCell ref="P91:Q91"/>
    <mergeCell ref="C92:D92"/>
    <mergeCell ref="P92:T92"/>
    <mergeCell ref="C87:D87"/>
    <mergeCell ref="C88:D88"/>
    <mergeCell ref="N88:O88"/>
    <mergeCell ref="P88:Q88"/>
    <mergeCell ref="R88:U88"/>
    <mergeCell ref="C89:D89"/>
    <mergeCell ref="P89:Q89"/>
    <mergeCell ref="A81:C81"/>
    <mergeCell ref="N81:P81"/>
    <mergeCell ref="A82:C82"/>
    <mergeCell ref="N82:P82"/>
    <mergeCell ref="A86:I86"/>
    <mergeCell ref="N86:U86"/>
    <mergeCell ref="A84:C84"/>
    <mergeCell ref="N84:P84"/>
    <mergeCell ref="F74:H74"/>
    <mergeCell ref="N74:T74"/>
    <mergeCell ref="N75:T75"/>
    <mergeCell ref="A79:C79"/>
    <mergeCell ref="N79:P79"/>
    <mergeCell ref="A80:C80"/>
    <mergeCell ref="N80:P80"/>
    <mergeCell ref="A77:C77"/>
    <mergeCell ref="N77:P77"/>
    <mergeCell ref="A78:C78"/>
    <mergeCell ref="A70:C70"/>
    <mergeCell ref="A71:C71"/>
    <mergeCell ref="N71:P71"/>
    <mergeCell ref="A72:C72"/>
    <mergeCell ref="N72:P72"/>
    <mergeCell ref="A73:C73"/>
    <mergeCell ref="N73:P73"/>
    <mergeCell ref="N66:S66"/>
    <mergeCell ref="T66:U66"/>
    <mergeCell ref="A68:C68"/>
    <mergeCell ref="N68:P68"/>
    <mergeCell ref="A69:C69"/>
    <mergeCell ref="N69:P69"/>
    <mergeCell ref="N63:S63"/>
    <mergeCell ref="T63:U63"/>
    <mergeCell ref="A64:I64"/>
    <mergeCell ref="N64:U64"/>
    <mergeCell ref="A65:B65"/>
    <mergeCell ref="D65:G65"/>
    <mergeCell ref="N65:O65"/>
    <mergeCell ref="Q65:S65"/>
    <mergeCell ref="T65:U65"/>
    <mergeCell ref="A60:I60"/>
    <mergeCell ref="N60:U60"/>
    <mergeCell ref="A61:I61"/>
    <mergeCell ref="N61:U61"/>
    <mergeCell ref="A62:B62"/>
    <mergeCell ref="D62:G62"/>
    <mergeCell ref="N62:O62"/>
    <mergeCell ref="Q62:S62"/>
    <mergeCell ref="T62:U62"/>
    <mergeCell ref="P58:Q58"/>
    <mergeCell ref="A59:B59"/>
    <mergeCell ref="F59:H59"/>
    <mergeCell ref="N59:O59"/>
    <mergeCell ref="P59:Q59"/>
    <mergeCell ref="R59:T59"/>
    <mergeCell ref="A50:B58"/>
    <mergeCell ref="N50:O58"/>
    <mergeCell ref="P50:Q50"/>
    <mergeCell ref="P51:Q51"/>
    <mergeCell ref="P52:Q52"/>
    <mergeCell ref="P53:Q53"/>
    <mergeCell ref="P54:Q54"/>
    <mergeCell ref="P55:Q55"/>
    <mergeCell ref="P56:Q56"/>
    <mergeCell ref="P57:Q57"/>
    <mergeCell ref="N43:Q43"/>
    <mergeCell ref="S43:T43"/>
    <mergeCell ref="N45:Q45"/>
    <mergeCell ref="S45:T45"/>
    <mergeCell ref="N49:O49"/>
    <mergeCell ref="P49:Q49"/>
    <mergeCell ref="A41:B41"/>
    <mergeCell ref="N41:O41"/>
    <mergeCell ref="P41:T41"/>
    <mergeCell ref="A42:B42"/>
    <mergeCell ref="N42:O42"/>
    <mergeCell ref="P42:T42"/>
    <mergeCell ref="A39:B39"/>
    <mergeCell ref="N39:O39"/>
    <mergeCell ref="P39:T39"/>
    <mergeCell ref="A40:B40"/>
    <mergeCell ref="N40:O40"/>
    <mergeCell ref="P40:T40"/>
    <mergeCell ref="A37:B37"/>
    <mergeCell ref="N37:O37"/>
    <mergeCell ref="P37:T37"/>
    <mergeCell ref="A38:B38"/>
    <mergeCell ref="N38:O38"/>
    <mergeCell ref="P38:T38"/>
    <mergeCell ref="A29:B29"/>
    <mergeCell ref="F29:G29"/>
    <mergeCell ref="N29:O29"/>
    <mergeCell ref="P29:Q29"/>
    <mergeCell ref="R29:S29"/>
    <mergeCell ref="F33:H36"/>
    <mergeCell ref="N34:T34"/>
    <mergeCell ref="A36:B36"/>
    <mergeCell ref="N36:O36"/>
    <mergeCell ref="P36:T36"/>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N12:O12"/>
    <mergeCell ref="P12:Q12"/>
    <mergeCell ref="R12:S12"/>
    <mergeCell ref="A13:B13"/>
    <mergeCell ref="F13:G13"/>
    <mergeCell ref="N13:O13"/>
    <mergeCell ref="P13:Q13"/>
    <mergeCell ref="R13:S13"/>
    <mergeCell ref="A14:B14"/>
    <mergeCell ref="F14:G14"/>
    <mergeCell ref="N14:O14"/>
    <mergeCell ref="P14:Q14"/>
    <mergeCell ref="R14:S14"/>
    <mergeCell ref="N7:U7"/>
    <mergeCell ref="N8:O8"/>
    <mergeCell ref="P8:Q8"/>
    <mergeCell ref="R8:S8"/>
    <mergeCell ref="T8:U8"/>
    <mergeCell ref="F10:G10"/>
    <mergeCell ref="R10:S10"/>
    <mergeCell ref="N78:P78"/>
    <mergeCell ref="B1:I1"/>
    <mergeCell ref="O1:U1"/>
    <mergeCell ref="N2:U2"/>
    <mergeCell ref="N3:U3"/>
    <mergeCell ref="A4:B4"/>
    <mergeCell ref="C4:E4"/>
    <mergeCell ref="N4:O4"/>
    <mergeCell ref="P4:Q4"/>
    <mergeCell ref="A7:I7"/>
    <mergeCell ref="A11:B11"/>
    <mergeCell ref="F11:G11"/>
    <mergeCell ref="N11:O11"/>
    <mergeCell ref="P11:Q11"/>
    <mergeCell ref="R11:S11"/>
    <mergeCell ref="A12:B12"/>
    <mergeCell ref="F12:G12"/>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rgb="FFFFFF00"/>
  </sheetPr>
  <dimension ref="A1:U202"/>
  <sheetViews>
    <sheetView showGridLines="0" zoomScale="90" zoomScaleNormal="90" workbookViewId="0">
      <pane ySplit="1" topLeftCell="A114" activePane="bottomLeft" state="frozen"/>
      <selection activeCell="A46" sqref="A46:IV46"/>
      <selection pane="bottomLeft" activeCell="I122" sqref="I122"/>
    </sheetView>
  </sheetViews>
  <sheetFormatPr defaultRowHeight="15.75" x14ac:dyDescent="0.25"/>
  <cols>
    <col min="1" max="1" width="10.28515625" style="62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2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385</v>
      </c>
      <c r="B2" s="2"/>
      <c r="C2" s="2"/>
      <c r="D2" s="2"/>
      <c r="E2" s="2"/>
      <c r="F2" s="2"/>
      <c r="G2" s="2"/>
      <c r="H2" s="2"/>
      <c r="I2" s="2"/>
      <c r="N2" s="824" t="s">
        <v>23</v>
      </c>
      <c r="O2" s="824"/>
      <c r="P2" s="824"/>
      <c r="Q2" s="824"/>
      <c r="R2" s="824"/>
      <c r="S2" s="824"/>
      <c r="T2" s="824"/>
      <c r="U2" s="824"/>
    </row>
    <row r="3" spans="1:21" x14ac:dyDescent="0.25">
      <c r="A3" s="625"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651"/>
      <c r="O5" s="651"/>
      <c r="P5" s="656"/>
      <c r="Q5" s="656"/>
      <c r="R5" s="5"/>
      <c r="S5" s="5"/>
      <c r="T5" s="5"/>
      <c r="U5" s="5"/>
    </row>
    <row r="6" spans="1:21" ht="12" customHeight="1" x14ac:dyDescent="0.25">
      <c r="A6" s="657"/>
      <c r="B6" s="657"/>
      <c r="C6" s="655"/>
      <c r="D6" s="655"/>
      <c r="E6" s="655"/>
      <c r="F6" s="4"/>
      <c r="G6" s="4"/>
      <c r="H6" s="4"/>
      <c r="I6" s="4"/>
      <c r="N6" s="651"/>
      <c r="O6" s="651"/>
      <c r="P6" s="656"/>
      <c r="Q6" s="656"/>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285"/>
      <c r="G8" s="286"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652"/>
      <c r="O9" s="652"/>
      <c r="P9" s="653"/>
      <c r="Q9" s="653"/>
      <c r="R9" s="14"/>
      <c r="S9" s="14"/>
      <c r="T9" s="15"/>
      <c r="U9" s="721" t="s">
        <v>428</v>
      </c>
    </row>
    <row r="10" spans="1:21" x14ac:dyDescent="0.25">
      <c r="A10" s="7"/>
      <c r="B10" s="7"/>
      <c r="C10" s="600" t="s">
        <v>435</v>
      </c>
      <c r="D10" s="669" t="s">
        <v>436</v>
      </c>
      <c r="E10" s="108" t="s">
        <v>8</v>
      </c>
      <c r="F10" s="806" t="s">
        <v>1</v>
      </c>
      <c r="G10" s="806"/>
      <c r="H10" s="10" t="s">
        <v>74</v>
      </c>
      <c r="I10" s="11" t="s">
        <v>36</v>
      </c>
      <c r="N10" s="652"/>
      <c r="O10" s="652"/>
      <c r="P10" s="653"/>
      <c r="Q10" s="653"/>
      <c r="R10" s="839" t="s">
        <v>1</v>
      </c>
      <c r="S10" s="839"/>
      <c r="T10" s="15" t="s">
        <v>74</v>
      </c>
      <c r="U10" s="16" t="s">
        <v>36</v>
      </c>
    </row>
    <row r="11" spans="1:21" x14ac:dyDescent="0.25">
      <c r="A11" s="797" t="s">
        <v>1</v>
      </c>
      <c r="B11" s="797"/>
      <c r="C11" s="624"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650"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164.49</v>
      </c>
      <c r="D15" s="192">
        <v>157.24</v>
      </c>
      <c r="E15" s="147">
        <f t="shared" si="3"/>
        <v>321.73</v>
      </c>
      <c r="F15" s="814">
        <f>'0664'!F15:G15</f>
        <v>1</v>
      </c>
      <c r="G15" s="814"/>
      <c r="H15" s="99">
        <f t="shared" si="4"/>
        <v>321.73</v>
      </c>
      <c r="I15" s="120">
        <f t="shared" si="0"/>
        <v>1466548.74</v>
      </c>
      <c r="N15" s="840" t="s">
        <v>31</v>
      </c>
      <c r="O15" s="840"/>
      <c r="P15" s="841">
        <f t="shared" si="1"/>
        <v>0</v>
      </c>
      <c r="Q15" s="841"/>
      <c r="R15" s="842">
        <v>1</v>
      </c>
      <c r="S15" s="842"/>
      <c r="T15" s="114">
        <f t="shared" si="5"/>
        <v>0</v>
      </c>
      <c r="U15" s="115">
        <f t="shared" si="2"/>
        <v>0</v>
      </c>
    </row>
    <row r="16" spans="1:21" x14ac:dyDescent="0.25">
      <c r="A16" s="764" t="s">
        <v>32</v>
      </c>
      <c r="B16" s="764"/>
      <c r="C16" s="192">
        <v>24.88</v>
      </c>
      <c r="D16" s="192">
        <v>24.39</v>
      </c>
      <c r="E16" s="147">
        <f t="shared" si="3"/>
        <v>49.269999999999996</v>
      </c>
      <c r="F16" s="814">
        <f>'0664'!F16:G16</f>
        <v>1</v>
      </c>
      <c r="G16" s="814"/>
      <c r="H16" s="99">
        <f t="shared" si="4"/>
        <v>49.27</v>
      </c>
      <c r="I16" s="120">
        <f t="shared" si="0"/>
        <v>224588.49</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132.52000000000001</v>
      </c>
      <c r="D17" s="192">
        <v>130.4</v>
      </c>
      <c r="E17" s="147">
        <f t="shared" si="3"/>
        <v>262.92</v>
      </c>
      <c r="F17" s="814">
        <f>'0664'!F17:G17</f>
        <v>1.01</v>
      </c>
      <c r="G17" s="814"/>
      <c r="H17" s="99">
        <f t="shared" si="4"/>
        <v>265.54919999999998</v>
      </c>
      <c r="I17" s="120">
        <f t="shared" si="0"/>
        <v>1210458.6000000001</v>
      </c>
      <c r="N17" s="840" t="s">
        <v>33</v>
      </c>
      <c r="O17" s="840"/>
      <c r="P17" s="841">
        <f t="shared" si="1"/>
        <v>0</v>
      </c>
      <c r="Q17" s="841"/>
      <c r="R17" s="842">
        <v>1</v>
      </c>
      <c r="S17" s="842"/>
      <c r="T17" s="114">
        <f t="shared" si="5"/>
        <v>0</v>
      </c>
      <c r="U17" s="115">
        <f t="shared" si="2"/>
        <v>0</v>
      </c>
    </row>
    <row r="18" spans="1:21" x14ac:dyDescent="0.25">
      <c r="A18" s="764" t="s">
        <v>34</v>
      </c>
      <c r="B18" s="764"/>
      <c r="C18" s="192">
        <v>13.84</v>
      </c>
      <c r="D18" s="192">
        <v>13.34</v>
      </c>
      <c r="E18" s="147">
        <f t="shared" si="3"/>
        <v>27.18</v>
      </c>
      <c r="F18" s="814">
        <f>'0664'!F18:G18</f>
        <v>1.01</v>
      </c>
      <c r="G18" s="814"/>
      <c r="H18" s="99">
        <f t="shared" si="4"/>
        <v>27.451799999999999</v>
      </c>
      <c r="I18" s="120">
        <f t="shared" si="0"/>
        <v>125134.13</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34.19</v>
      </c>
      <c r="D26" s="192">
        <v>36.630000000000003</v>
      </c>
      <c r="E26" s="147">
        <f t="shared" si="3"/>
        <v>70.819999999999993</v>
      </c>
      <c r="F26" s="814">
        <f>'0664'!F26:G26</f>
        <v>1.1990000000000001</v>
      </c>
      <c r="G26" s="814"/>
      <c r="H26" s="99">
        <f t="shared" si="4"/>
        <v>84.913200000000003</v>
      </c>
      <c r="I26" s="120">
        <f t="shared" si="0"/>
        <v>387061.66</v>
      </c>
      <c r="N26" s="840" t="s">
        <v>117</v>
      </c>
      <c r="O26" s="840"/>
      <c r="P26" s="841">
        <f t="shared" si="1"/>
        <v>0</v>
      </c>
      <c r="Q26" s="841"/>
      <c r="R26" s="842">
        <v>1</v>
      </c>
      <c r="S26" s="842"/>
      <c r="T26" s="114">
        <f t="shared" si="5"/>
        <v>0</v>
      </c>
      <c r="U26" s="115">
        <f t="shared" si="2"/>
        <v>0</v>
      </c>
    </row>
    <row r="27" spans="1:21" x14ac:dyDescent="0.25">
      <c r="A27" s="764" t="s">
        <v>118</v>
      </c>
      <c r="B27" s="764"/>
      <c r="C27" s="192">
        <v>22.7</v>
      </c>
      <c r="D27" s="192">
        <v>22.18</v>
      </c>
      <c r="E27" s="147">
        <f t="shared" si="3"/>
        <v>44.879999999999995</v>
      </c>
      <c r="F27" s="814">
        <f>'0664'!F27:G27</f>
        <v>1.1990000000000001</v>
      </c>
      <c r="G27" s="814"/>
      <c r="H27" s="99">
        <f t="shared" si="4"/>
        <v>53.811100000000003</v>
      </c>
      <c r="I27" s="120">
        <f t="shared" si="0"/>
        <v>245288.29</v>
      </c>
      <c r="N27" s="840" t="s">
        <v>118</v>
      </c>
      <c r="O27" s="840"/>
      <c r="P27" s="841">
        <f t="shared" si="1"/>
        <v>0</v>
      </c>
      <c r="Q27" s="841"/>
      <c r="R27" s="842">
        <v>1</v>
      </c>
      <c r="S27" s="842"/>
      <c r="T27" s="114">
        <f t="shared" si="5"/>
        <v>0</v>
      </c>
      <c r="U27" s="115">
        <f t="shared" si="2"/>
        <v>0</v>
      </c>
    </row>
    <row r="28" spans="1:21" x14ac:dyDescent="0.25">
      <c r="A28" s="790" t="s">
        <v>119</v>
      </c>
      <c r="B28" s="790"/>
      <c r="C28" s="137">
        <v>20.71</v>
      </c>
      <c r="D28" s="137">
        <v>20.6</v>
      </c>
      <c r="E28" s="204">
        <f t="shared" si="3"/>
        <v>41.31</v>
      </c>
      <c r="F28" s="815">
        <f>'0664'!F28:G28</f>
        <v>1.01</v>
      </c>
      <c r="G28" s="815"/>
      <c r="H28" s="112">
        <f t="shared" si="4"/>
        <v>41.723100000000002</v>
      </c>
      <c r="I28" s="113">
        <f t="shared" si="0"/>
        <v>190187.3</v>
      </c>
      <c r="N28" s="845" t="s">
        <v>119</v>
      </c>
      <c r="O28" s="845"/>
      <c r="P28" s="841">
        <f t="shared" si="1"/>
        <v>0</v>
      </c>
      <c r="Q28" s="841"/>
      <c r="R28" s="846">
        <v>1</v>
      </c>
      <c r="S28" s="846"/>
      <c r="T28" s="114">
        <f t="shared" si="5"/>
        <v>0</v>
      </c>
      <c r="U28" s="115">
        <f t="shared" si="2"/>
        <v>0</v>
      </c>
    </row>
    <row r="29" spans="1:21" x14ac:dyDescent="0.25">
      <c r="A29" s="828" t="s">
        <v>5</v>
      </c>
      <c r="B29" s="828"/>
      <c r="C29" s="113">
        <f>SUM(C13:C28)</f>
        <v>413.32999999999993</v>
      </c>
      <c r="D29" s="113">
        <f>SUM(D13:D28)</f>
        <v>404.78</v>
      </c>
      <c r="E29" s="113">
        <f>SUM(E13:E28)</f>
        <v>818.11000000000013</v>
      </c>
      <c r="F29" s="820"/>
      <c r="G29" s="820"/>
      <c r="H29" s="118">
        <f>SUM(H13:H28)</f>
        <v>844.44839999999999</v>
      </c>
      <c r="I29" s="113">
        <f>SUM(I13:I28)</f>
        <v>3849267.21</v>
      </c>
      <c r="N29" s="850" t="s">
        <v>5</v>
      </c>
      <c r="O29" s="850"/>
      <c r="P29" s="851">
        <f>SUM(P13:P28)</f>
        <v>0</v>
      </c>
      <c r="Q29" s="851"/>
      <c r="R29" s="852"/>
      <c r="S29" s="852"/>
      <c r="T29" s="119">
        <f>SUM(T13:T28)</f>
        <v>0</v>
      </c>
      <c r="U29" s="115">
        <f>SUM(U13:U28)</f>
        <v>0</v>
      </c>
    </row>
    <row r="30" spans="1:21" x14ac:dyDescent="0.25">
      <c r="A30" s="658"/>
      <c r="B30" s="658"/>
      <c r="C30" s="120"/>
      <c r="D30" s="120"/>
      <c r="E30" s="120"/>
      <c r="F30" s="659"/>
      <c r="G30" s="659"/>
      <c r="H30" s="99"/>
      <c r="I30" s="120"/>
      <c r="N30" s="647"/>
      <c r="O30" s="647"/>
      <c r="P30" s="30"/>
      <c r="Q30" s="30"/>
      <c r="R30" s="648"/>
      <c r="S30" s="648"/>
      <c r="T30" s="121"/>
      <c r="U30" s="122"/>
    </row>
    <row r="31" spans="1:21" x14ac:dyDescent="0.25">
      <c r="A31" s="195" t="s">
        <v>99</v>
      </c>
      <c r="B31" s="658"/>
      <c r="C31" s="120"/>
      <c r="D31" s="120"/>
      <c r="E31" s="120"/>
      <c r="F31" s="659"/>
      <c r="G31" s="659"/>
      <c r="H31" s="99"/>
      <c r="I31" s="120"/>
      <c r="N31" s="647"/>
      <c r="O31" s="647"/>
      <c r="P31" s="30"/>
      <c r="Q31" s="30"/>
      <c r="R31" s="648"/>
      <c r="S31" s="648"/>
      <c r="T31" s="121"/>
      <c r="U31" s="122"/>
    </row>
    <row r="32" spans="1:21" hidden="1" x14ac:dyDescent="0.25">
      <c r="A32" s="195"/>
      <c r="B32" s="658"/>
      <c r="C32" s="120"/>
      <c r="D32" s="120"/>
      <c r="E32" s="120"/>
      <c r="F32" s="659"/>
      <c r="G32" s="659"/>
      <c r="H32" s="99"/>
      <c r="I32" s="120"/>
      <c r="N32" s="647"/>
      <c r="O32" s="647"/>
      <c r="P32" s="30"/>
      <c r="Q32" s="30"/>
      <c r="R32" s="648"/>
      <c r="S32" s="648"/>
      <c r="T32" s="121"/>
      <c r="U32" s="122"/>
    </row>
    <row r="33" spans="1:21" hidden="1" x14ac:dyDescent="0.25">
      <c r="A33" s="195"/>
      <c r="B33" s="658"/>
      <c r="C33" s="120"/>
      <c r="D33" s="120"/>
      <c r="E33" s="120"/>
      <c r="F33" s="887" t="s">
        <v>298</v>
      </c>
      <c r="G33" s="887"/>
      <c r="H33" s="887"/>
      <c r="I33" s="120"/>
      <c r="N33" s="647"/>
      <c r="O33" s="647"/>
      <c r="P33" s="30"/>
      <c r="Q33" s="30"/>
      <c r="R33" s="648"/>
      <c r="S33" s="648"/>
      <c r="T33" s="121"/>
      <c r="U33" s="122"/>
    </row>
    <row r="34" spans="1:21" hidden="1" x14ac:dyDescent="0.25">
      <c r="A34" s="3"/>
      <c r="B34" s="646"/>
      <c r="C34" s="646"/>
      <c r="D34" s="646"/>
      <c r="E34" s="646"/>
      <c r="F34" s="887"/>
      <c r="G34" s="887"/>
      <c r="H34" s="887"/>
      <c r="I34" s="25" t="s">
        <v>75</v>
      </c>
      <c r="N34" s="853" t="s">
        <v>35</v>
      </c>
      <c r="O34" s="853"/>
      <c r="P34" s="853"/>
      <c r="Q34" s="853"/>
      <c r="R34" s="853"/>
      <c r="S34" s="853"/>
      <c r="T34" s="853"/>
      <c r="U34" s="26" t="s">
        <v>75</v>
      </c>
    </row>
    <row r="35" spans="1:21" hidden="1" x14ac:dyDescent="0.25">
      <c r="A35" s="658"/>
      <c r="B35" s="658"/>
      <c r="C35" s="600" t="s">
        <v>126</v>
      </c>
      <c r="D35" s="600" t="s">
        <v>127</v>
      </c>
      <c r="E35" s="108" t="s">
        <v>8</v>
      </c>
      <c r="F35" s="887"/>
      <c r="G35" s="887"/>
      <c r="H35" s="887"/>
      <c r="I35" s="25" t="s">
        <v>36</v>
      </c>
      <c r="N35" s="647"/>
      <c r="O35" s="647"/>
      <c r="P35" s="30"/>
      <c r="Q35" s="30"/>
      <c r="R35" s="648"/>
      <c r="S35" s="648"/>
      <c r="T35" s="121"/>
      <c r="U35" s="26" t="s">
        <v>36</v>
      </c>
    </row>
    <row r="36" spans="1:21" hidden="1" x14ac:dyDescent="0.25">
      <c r="A36" s="797" t="s">
        <v>64</v>
      </c>
      <c r="B36" s="797"/>
      <c r="C36" s="601" t="s">
        <v>2</v>
      </c>
      <c r="D36" s="601" t="s">
        <v>2</v>
      </c>
      <c r="E36" s="601"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191">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93">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93">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93">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93">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18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idden="1" x14ac:dyDescent="0.25">
      <c r="A44" s="61"/>
      <c r="B44" s="127"/>
      <c r="C44" s="120"/>
      <c r="D44" s="120"/>
      <c r="E44" s="140"/>
      <c r="F44" s="33"/>
      <c r="G44" s="128"/>
      <c r="H44" s="129"/>
      <c r="I44" s="120"/>
      <c r="N44" s="647"/>
      <c r="O44" s="647"/>
      <c r="P44" s="647"/>
      <c r="Q44" s="647"/>
      <c r="R44" s="35"/>
      <c r="S44" s="648"/>
      <c r="T44" s="648"/>
      <c r="U44" s="122"/>
    </row>
    <row r="45" spans="1:21" ht="16.5" hidden="1" thickBot="1" x14ac:dyDescent="0.3">
      <c r="A45" s="61"/>
      <c r="B45" s="127" t="s">
        <v>129</v>
      </c>
      <c r="C45" s="61"/>
      <c r="D45" s="61"/>
      <c r="E45" s="201">
        <f>H29+E43</f>
        <v>844.44839999999999</v>
      </c>
      <c r="F45" s="36"/>
      <c r="G45" s="128"/>
      <c r="H45" s="129" t="s">
        <v>131</v>
      </c>
      <c r="I45" s="113">
        <f>SUM(I43,I29)</f>
        <v>3849267.21</v>
      </c>
      <c r="N45" s="855" t="s">
        <v>56</v>
      </c>
      <c r="O45" s="855"/>
      <c r="P45" s="855"/>
      <c r="Q45" s="855"/>
      <c r="R45" s="37">
        <f>R43+T29</f>
        <v>0</v>
      </c>
      <c r="S45" s="852" t="s">
        <v>54</v>
      </c>
      <c r="T45" s="852"/>
      <c r="U45" s="130">
        <f>SUM(U43,U29)</f>
        <v>0</v>
      </c>
    </row>
    <row r="46" spans="1:21" hidden="1" x14ac:dyDescent="0.25">
      <c r="A46" s="658"/>
      <c r="B46" s="658"/>
      <c r="C46" s="658"/>
      <c r="D46" s="658"/>
      <c r="E46" s="658"/>
      <c r="F46" s="36"/>
      <c r="G46" s="649"/>
      <c r="H46" s="649"/>
      <c r="I46" s="120"/>
      <c r="N46" s="647"/>
      <c r="O46" s="647"/>
      <c r="P46" s="647"/>
      <c r="Q46" s="647"/>
      <c r="R46" s="37"/>
      <c r="S46" s="648"/>
      <c r="T46" s="648"/>
      <c r="U46" s="122"/>
    </row>
    <row r="47" spans="1:21" x14ac:dyDescent="0.25">
      <c r="A47" s="658"/>
      <c r="B47" s="127" t="s">
        <v>391</v>
      </c>
      <c r="C47" s="671" t="s">
        <v>391</v>
      </c>
      <c r="D47" s="671" t="s">
        <v>391</v>
      </c>
      <c r="E47" s="658"/>
      <c r="F47" s="36"/>
      <c r="G47" s="649"/>
      <c r="H47" s="649"/>
      <c r="I47" s="120"/>
      <c r="N47" s="647"/>
      <c r="O47" s="647"/>
      <c r="P47" s="647"/>
      <c r="Q47" s="647"/>
      <c r="R47" s="37"/>
      <c r="S47" s="648"/>
      <c r="T47" s="648"/>
      <c r="U47" s="122"/>
    </row>
    <row r="48" spans="1:21" x14ac:dyDescent="0.25">
      <c r="A48" s="658"/>
      <c r="B48" s="658"/>
      <c r="C48" s="600" t="s">
        <v>435</v>
      </c>
      <c r="D48" s="669" t="s">
        <v>436</v>
      </c>
      <c r="E48" s="108" t="s">
        <v>8</v>
      </c>
      <c r="F48" s="132" t="s">
        <v>132</v>
      </c>
      <c r="G48" s="133" t="s">
        <v>134</v>
      </c>
      <c r="H48" s="134" t="s">
        <v>135</v>
      </c>
      <c r="I48" s="120"/>
      <c r="N48" s="647"/>
      <c r="O48" s="647"/>
      <c r="P48" s="647"/>
      <c r="Q48" s="647"/>
      <c r="R48" s="37"/>
      <c r="S48" s="648"/>
      <c r="T48" s="648"/>
      <c r="U48" s="122"/>
    </row>
    <row r="49" spans="1:21" x14ac:dyDescent="0.25">
      <c r="A49" s="38" t="s">
        <v>89</v>
      </c>
      <c r="B49" s="38"/>
      <c r="C49" s="624" t="s">
        <v>2</v>
      </c>
      <c r="D49" s="622" t="s">
        <v>2</v>
      </c>
      <c r="E49" s="622" t="s">
        <v>2</v>
      </c>
      <c r="F49" s="650" t="s">
        <v>133</v>
      </c>
      <c r="G49" s="637" t="s">
        <v>133</v>
      </c>
      <c r="H49" s="135" t="s">
        <v>136</v>
      </c>
      <c r="I49" s="38"/>
      <c r="N49" s="845" t="s">
        <v>89</v>
      </c>
      <c r="O49" s="845"/>
      <c r="P49" s="856" t="s">
        <v>2</v>
      </c>
      <c r="Q49" s="856"/>
      <c r="R49" s="39" t="s">
        <v>25</v>
      </c>
      <c r="S49" s="633" t="s">
        <v>26</v>
      </c>
      <c r="T49" s="136" t="s">
        <v>27</v>
      </c>
      <c r="U49" s="39"/>
    </row>
    <row r="50" spans="1:21" x14ac:dyDescent="0.25">
      <c r="A50" s="791" t="s">
        <v>100</v>
      </c>
      <c r="B50" s="791"/>
      <c r="C50" s="192">
        <v>0</v>
      </c>
      <c r="D50" s="192">
        <v>0</v>
      </c>
      <c r="E50" s="147">
        <f>IF(D$59=0,C50*2,C50+D50)</f>
        <v>0</v>
      </c>
      <c r="F50" s="634" t="s">
        <v>21</v>
      </c>
      <c r="G50" s="644">
        <v>251</v>
      </c>
      <c r="H50" s="485">
        <f>'0664'!H50</f>
        <v>1047</v>
      </c>
      <c r="I50" s="120">
        <f>ROUND(E50*H50,2)</f>
        <v>0</v>
      </c>
      <c r="N50" s="863" t="s">
        <v>28</v>
      </c>
      <c r="O50" s="863"/>
      <c r="P50" s="864"/>
      <c r="Q50" s="864"/>
      <c r="R50" s="635" t="s">
        <v>21</v>
      </c>
      <c r="S50" s="654">
        <v>251</v>
      </c>
      <c r="T50" s="138">
        <f>H50</f>
        <v>1047</v>
      </c>
      <c r="U50" s="139">
        <f>ROUND(P50*T50,0)</f>
        <v>0</v>
      </c>
    </row>
    <row r="51" spans="1:21" x14ac:dyDescent="0.25">
      <c r="A51" s="792"/>
      <c r="B51" s="792"/>
      <c r="C51" s="192">
        <v>0</v>
      </c>
      <c r="D51" s="192">
        <v>0</v>
      </c>
      <c r="E51" s="147">
        <f t="shared" ref="E51:E58" si="10">IF(D$59=0,C51*2,C51+D51)</f>
        <v>0</v>
      </c>
      <c r="F51" s="644" t="s">
        <v>21</v>
      </c>
      <c r="G51" s="644">
        <v>252</v>
      </c>
      <c r="H51" s="485">
        <f>'0664'!H51</f>
        <v>3380</v>
      </c>
      <c r="I51" s="120">
        <f t="shared" ref="I51:I58" si="11">ROUND(E51*H51,2)</f>
        <v>0</v>
      </c>
      <c r="N51" s="863"/>
      <c r="O51" s="863"/>
      <c r="P51" s="865"/>
      <c r="Q51" s="865"/>
      <c r="R51" s="654" t="s">
        <v>21</v>
      </c>
      <c r="S51" s="654">
        <v>252</v>
      </c>
      <c r="T51" s="138">
        <f t="shared" ref="T51:T58" si="12">H51</f>
        <v>3380</v>
      </c>
      <c r="U51" s="139">
        <f t="shared" ref="U51:U58" si="13">ROUND(P51*T51,0)</f>
        <v>0</v>
      </c>
    </row>
    <row r="52" spans="1:21" x14ac:dyDescent="0.25">
      <c r="A52" s="792"/>
      <c r="B52" s="792"/>
      <c r="C52" s="192">
        <v>0</v>
      </c>
      <c r="D52" s="192">
        <v>0</v>
      </c>
      <c r="E52" s="147">
        <f t="shared" si="10"/>
        <v>0</v>
      </c>
      <c r="F52" s="644" t="s">
        <v>21</v>
      </c>
      <c r="G52" s="644">
        <v>253</v>
      </c>
      <c r="H52" s="485">
        <f>'0664'!H52</f>
        <v>6896</v>
      </c>
      <c r="I52" s="120">
        <f t="shared" si="11"/>
        <v>0</v>
      </c>
      <c r="N52" s="863"/>
      <c r="O52" s="863"/>
      <c r="P52" s="865"/>
      <c r="Q52" s="865"/>
      <c r="R52" s="654" t="s">
        <v>21</v>
      </c>
      <c r="S52" s="654">
        <v>253</v>
      </c>
      <c r="T52" s="138">
        <f t="shared" si="12"/>
        <v>6896</v>
      </c>
      <c r="U52" s="139">
        <f t="shared" si="13"/>
        <v>0</v>
      </c>
    </row>
    <row r="53" spans="1:21" x14ac:dyDescent="0.25">
      <c r="A53" s="792"/>
      <c r="B53" s="792"/>
      <c r="C53" s="192">
        <v>21.89</v>
      </c>
      <c r="D53" s="192">
        <v>21.89</v>
      </c>
      <c r="E53" s="147">
        <f t="shared" si="10"/>
        <v>43.78</v>
      </c>
      <c r="F53" s="660" t="s">
        <v>14</v>
      </c>
      <c r="G53" s="644">
        <v>251</v>
      </c>
      <c r="H53" s="485">
        <f>'0664'!H53</f>
        <v>1173</v>
      </c>
      <c r="I53" s="120">
        <f t="shared" si="11"/>
        <v>51353.94</v>
      </c>
      <c r="N53" s="863"/>
      <c r="O53" s="863"/>
      <c r="P53" s="865"/>
      <c r="Q53" s="865"/>
      <c r="R53" s="45" t="s">
        <v>14</v>
      </c>
      <c r="S53" s="654">
        <v>251</v>
      </c>
      <c r="T53" s="138">
        <f t="shared" si="12"/>
        <v>1173</v>
      </c>
      <c r="U53" s="139">
        <f t="shared" si="13"/>
        <v>0</v>
      </c>
    </row>
    <row r="54" spans="1:21" x14ac:dyDescent="0.25">
      <c r="A54" s="792"/>
      <c r="B54" s="792"/>
      <c r="C54" s="192">
        <v>2.99</v>
      </c>
      <c r="D54" s="192">
        <v>2.5</v>
      </c>
      <c r="E54" s="147">
        <f t="shared" si="10"/>
        <v>5.49</v>
      </c>
      <c r="F54" s="660" t="s">
        <v>14</v>
      </c>
      <c r="G54" s="644">
        <v>252</v>
      </c>
      <c r="H54" s="485">
        <f>'0664'!H54</f>
        <v>3506</v>
      </c>
      <c r="I54" s="120">
        <f t="shared" si="11"/>
        <v>19247.939999999999</v>
      </c>
      <c r="N54" s="863"/>
      <c r="O54" s="863"/>
      <c r="P54" s="865"/>
      <c r="Q54" s="865"/>
      <c r="R54" s="45" t="s">
        <v>14</v>
      </c>
      <c r="S54" s="654">
        <v>252</v>
      </c>
      <c r="T54" s="138">
        <f t="shared" si="12"/>
        <v>3506</v>
      </c>
      <c r="U54" s="139">
        <f t="shared" si="13"/>
        <v>0</v>
      </c>
    </row>
    <row r="55" spans="1:21" x14ac:dyDescent="0.25">
      <c r="A55" s="792"/>
      <c r="B55" s="792"/>
      <c r="C55" s="192">
        <v>0</v>
      </c>
      <c r="D55" s="192">
        <v>0</v>
      </c>
      <c r="E55" s="147">
        <f t="shared" si="10"/>
        <v>0</v>
      </c>
      <c r="F55" s="660" t="s">
        <v>14</v>
      </c>
      <c r="G55" s="644">
        <v>253</v>
      </c>
      <c r="H55" s="485">
        <f>'0664'!H55</f>
        <v>7023</v>
      </c>
      <c r="I55" s="120">
        <f t="shared" si="11"/>
        <v>0</v>
      </c>
      <c r="N55" s="863"/>
      <c r="O55" s="863"/>
      <c r="P55" s="865"/>
      <c r="Q55" s="865"/>
      <c r="R55" s="45" t="s">
        <v>14</v>
      </c>
      <c r="S55" s="654">
        <v>253</v>
      </c>
      <c r="T55" s="138">
        <f t="shared" si="12"/>
        <v>7023</v>
      </c>
      <c r="U55" s="139">
        <f t="shared" si="13"/>
        <v>0</v>
      </c>
    </row>
    <row r="56" spans="1:21" x14ac:dyDescent="0.25">
      <c r="A56" s="792"/>
      <c r="B56" s="792"/>
      <c r="C56" s="192">
        <v>13.64</v>
      </c>
      <c r="D56" s="192">
        <v>12.6</v>
      </c>
      <c r="E56" s="147">
        <f t="shared" si="10"/>
        <v>26.240000000000002</v>
      </c>
      <c r="F56" s="660" t="s">
        <v>15</v>
      </c>
      <c r="G56" s="644">
        <v>251</v>
      </c>
      <c r="H56" s="485">
        <f>'0664'!H56</f>
        <v>835</v>
      </c>
      <c r="I56" s="120">
        <f t="shared" si="11"/>
        <v>21910.400000000001</v>
      </c>
      <c r="N56" s="863"/>
      <c r="O56" s="863"/>
      <c r="P56" s="865"/>
      <c r="Q56" s="865"/>
      <c r="R56" s="45" t="s">
        <v>15</v>
      </c>
      <c r="S56" s="654">
        <v>251</v>
      </c>
      <c r="T56" s="138">
        <f t="shared" si="12"/>
        <v>835</v>
      </c>
      <c r="U56" s="139">
        <f t="shared" si="13"/>
        <v>0</v>
      </c>
    </row>
    <row r="57" spans="1:21" x14ac:dyDescent="0.25">
      <c r="A57" s="792"/>
      <c r="B57" s="792"/>
      <c r="C57" s="192">
        <v>0.2</v>
      </c>
      <c r="D57" s="192">
        <v>0.74</v>
      </c>
      <c r="E57" s="147">
        <f t="shared" si="10"/>
        <v>0.94</v>
      </c>
      <c r="F57" s="660" t="s">
        <v>15</v>
      </c>
      <c r="G57" s="644">
        <v>252</v>
      </c>
      <c r="H57" s="485">
        <f>'0664'!H57</f>
        <v>3168</v>
      </c>
      <c r="I57" s="120">
        <f t="shared" si="11"/>
        <v>2977.92</v>
      </c>
      <c r="N57" s="863"/>
      <c r="O57" s="863"/>
      <c r="P57" s="865"/>
      <c r="Q57" s="865"/>
      <c r="R57" s="45" t="s">
        <v>15</v>
      </c>
      <c r="S57" s="654">
        <v>252</v>
      </c>
      <c r="T57" s="138">
        <f t="shared" si="12"/>
        <v>3168</v>
      </c>
      <c r="U57" s="139">
        <f t="shared" si="13"/>
        <v>0</v>
      </c>
    </row>
    <row r="58" spans="1:21" ht="16.5" thickBot="1" x14ac:dyDescent="0.3">
      <c r="A58" s="792"/>
      <c r="B58" s="792"/>
      <c r="C58" s="192">
        <v>0</v>
      </c>
      <c r="D58" s="192">
        <v>0</v>
      </c>
      <c r="E58" s="147">
        <f t="shared" si="10"/>
        <v>0</v>
      </c>
      <c r="F58" s="660" t="s">
        <v>15</v>
      </c>
      <c r="G58" s="644">
        <v>253</v>
      </c>
      <c r="H58" s="485">
        <f>'0664'!H58</f>
        <v>6685</v>
      </c>
      <c r="I58" s="120">
        <f t="shared" si="11"/>
        <v>0</v>
      </c>
      <c r="N58" s="863"/>
      <c r="O58" s="863"/>
      <c r="P58" s="866"/>
      <c r="Q58" s="866"/>
      <c r="R58" s="45" t="s">
        <v>15</v>
      </c>
      <c r="S58" s="654">
        <v>253</v>
      </c>
      <c r="T58" s="138">
        <f t="shared" si="12"/>
        <v>6685</v>
      </c>
      <c r="U58" s="141">
        <f t="shared" si="13"/>
        <v>0</v>
      </c>
    </row>
    <row r="59" spans="1:21" ht="16.5" thickBot="1" x14ac:dyDescent="0.3">
      <c r="A59" s="767" t="s">
        <v>16</v>
      </c>
      <c r="B59" s="767"/>
      <c r="C59" s="116">
        <f>SUM(C50:C58)</f>
        <v>38.720000000000006</v>
      </c>
      <c r="D59" s="116">
        <f>SUM(D50:D58)</f>
        <v>37.730000000000004</v>
      </c>
      <c r="E59" s="116">
        <f>SUM(E50:E58)</f>
        <v>76.45</v>
      </c>
      <c r="F59" s="767" t="s">
        <v>78</v>
      </c>
      <c r="G59" s="767"/>
      <c r="H59" s="767"/>
      <c r="I59" s="116">
        <f>SUM(I50:I58)</f>
        <v>95490.2</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818.11000000000013</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626"/>
      <c r="G63" s="47" t="s">
        <v>13</v>
      </c>
      <c r="H63" s="145">
        <f>ROUND(C62/H62,6)</f>
        <v>4.2890000000000003E-3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844.44839999999999</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594"/>
      <c r="G66" s="48" t="s">
        <v>13</v>
      </c>
      <c r="H66" s="149">
        <f>ROUND(C65/H65,6)</f>
        <v>3.9379999999999997E-3</v>
      </c>
      <c r="I66" s="149"/>
      <c r="N66" s="845" t="s">
        <v>20</v>
      </c>
      <c r="O66" s="845"/>
      <c r="P66" s="845"/>
      <c r="Q66" s="845"/>
      <c r="R66" s="845"/>
      <c r="S66" s="845"/>
      <c r="T66" s="867">
        <f>ROUND(P65/T65,6)</f>
        <v>0</v>
      </c>
      <c r="U66" s="867"/>
    </row>
    <row r="67" spans="1:21" s="61" customFormat="1" x14ac:dyDescent="0.25">
      <c r="A67" s="626"/>
      <c r="G67" s="47"/>
      <c r="H67" s="150"/>
      <c r="I67" s="150"/>
      <c r="N67" s="636"/>
      <c r="O67" s="636"/>
      <c r="P67" s="636"/>
      <c r="Q67" s="636"/>
      <c r="R67" s="632"/>
      <c r="S67" s="636"/>
      <c r="T67" s="153"/>
      <c r="U67" s="645"/>
    </row>
    <row r="68" spans="1:21" x14ac:dyDescent="0.25">
      <c r="A68" s="764" t="s">
        <v>87</v>
      </c>
      <c r="B68" s="764"/>
      <c r="C68" s="764"/>
      <c r="D68" s="626"/>
      <c r="E68" s="642" t="s">
        <v>3</v>
      </c>
      <c r="F68" s="544">
        <f>'0664'!F68</f>
        <v>42029577</v>
      </c>
      <c r="G68" s="634" t="s">
        <v>6</v>
      </c>
      <c r="H68" s="155">
        <f>H63</f>
        <v>4.2890000000000003E-3</v>
      </c>
      <c r="I68" s="120">
        <f>ROUND(F68*H68,2)</f>
        <v>180264.86</v>
      </c>
      <c r="N68" s="840" t="s">
        <v>87</v>
      </c>
      <c r="O68" s="840"/>
      <c r="P68" s="840"/>
      <c r="Q68" s="50"/>
      <c r="R68" s="156">
        <f>F68</f>
        <v>42029577</v>
      </c>
      <c r="S68" s="635" t="s">
        <v>6</v>
      </c>
      <c r="T68" s="157">
        <f>T63</f>
        <v>0</v>
      </c>
      <c r="U68" s="115">
        <f>ROUND(R68*T68,0)</f>
        <v>0</v>
      </c>
    </row>
    <row r="69" spans="1:21" x14ac:dyDescent="0.25">
      <c r="A69" s="811" t="s">
        <v>98</v>
      </c>
      <c r="B69" s="764"/>
      <c r="C69" s="764"/>
      <c r="D69" s="626"/>
      <c r="E69" s="642"/>
      <c r="F69" s="202"/>
      <c r="G69" s="634"/>
      <c r="H69" s="155"/>
      <c r="I69" s="120"/>
      <c r="N69" s="840" t="s">
        <v>86</v>
      </c>
      <c r="O69" s="840"/>
      <c r="P69" s="840"/>
      <c r="Q69" s="158"/>
      <c r="R69" s="158"/>
      <c r="S69" s="158"/>
      <c r="T69" s="158"/>
      <c r="U69" s="158"/>
    </row>
    <row r="70" spans="1:21" x14ac:dyDescent="0.25">
      <c r="A70" s="813" t="s">
        <v>143</v>
      </c>
      <c r="B70" s="764"/>
      <c r="C70" s="764"/>
      <c r="D70" s="626"/>
      <c r="E70" s="642" t="s">
        <v>3</v>
      </c>
      <c r="F70" s="544">
        <f>'0664'!F70</f>
        <v>0</v>
      </c>
      <c r="G70" s="634" t="s">
        <v>6</v>
      </c>
      <c r="H70" s="155">
        <f>H63</f>
        <v>4.2890000000000003E-3</v>
      </c>
      <c r="I70" s="120">
        <f>ROUND(F70*H70,2)</f>
        <v>0</v>
      </c>
      <c r="N70" s="631"/>
      <c r="O70" s="631"/>
      <c r="P70" s="631"/>
      <c r="Q70" s="50"/>
      <c r="R70" s="156">
        <f>F70</f>
        <v>0</v>
      </c>
      <c r="S70" s="635" t="s">
        <v>6</v>
      </c>
      <c r="T70" s="157">
        <f>T63</f>
        <v>0</v>
      </c>
      <c r="U70" s="115">
        <f>ROUND(R70*T70,0)</f>
        <v>0</v>
      </c>
    </row>
    <row r="71" spans="1:21" x14ac:dyDescent="0.25">
      <c r="A71" s="764" t="s">
        <v>85</v>
      </c>
      <c r="B71" s="764"/>
      <c r="C71" s="764"/>
      <c r="D71" s="556" t="s">
        <v>358</v>
      </c>
      <c r="E71" s="642" t="s">
        <v>372</v>
      </c>
      <c r="F71" s="544">
        <f>'0664'!F71</f>
        <v>146607</v>
      </c>
      <c r="G71" s="634" t="s">
        <v>6</v>
      </c>
      <c r="H71" s="155">
        <f>H63</f>
        <v>4.2890000000000003E-3</v>
      </c>
      <c r="I71" s="120">
        <f>IF(D71="Y",ROUND(F71*H71,2),0)</f>
        <v>628.79999999999995</v>
      </c>
      <c r="N71" s="840" t="s">
        <v>85</v>
      </c>
      <c r="O71" s="840"/>
      <c r="P71" s="840"/>
      <c r="Q71" s="50"/>
      <c r="R71" s="156">
        <f>F71</f>
        <v>146607</v>
      </c>
      <c r="S71" s="635" t="s">
        <v>6</v>
      </c>
      <c r="T71" s="157">
        <f>T63</f>
        <v>0</v>
      </c>
      <c r="U71" s="115">
        <f>ROUND(R71*T71,0)</f>
        <v>0</v>
      </c>
    </row>
    <row r="72" spans="1:21" x14ac:dyDescent="0.25">
      <c r="A72" s="764" t="s">
        <v>84</v>
      </c>
      <c r="B72" s="764"/>
      <c r="C72" s="764"/>
      <c r="D72" s="626"/>
      <c r="E72" s="642" t="s">
        <v>3</v>
      </c>
      <c r="F72" s="544">
        <f>'0664'!F72</f>
        <v>11337910</v>
      </c>
      <c r="G72" s="634" t="s">
        <v>6</v>
      </c>
      <c r="H72" s="155">
        <f>H63</f>
        <v>4.2890000000000003E-3</v>
      </c>
      <c r="I72" s="120">
        <f>ROUND(F72*H72,2)</f>
        <v>48628.3</v>
      </c>
      <c r="N72" s="840" t="s">
        <v>84</v>
      </c>
      <c r="O72" s="840"/>
      <c r="P72" s="840"/>
      <c r="Q72" s="50"/>
      <c r="R72" s="156">
        <f>F72</f>
        <v>11337910</v>
      </c>
      <c r="S72" s="635" t="s">
        <v>6</v>
      </c>
      <c r="T72" s="157">
        <f>T63</f>
        <v>0</v>
      </c>
      <c r="U72" s="115">
        <f>ROUND(R72*T72,0)</f>
        <v>0</v>
      </c>
    </row>
    <row r="73" spans="1:21" x14ac:dyDescent="0.25">
      <c r="A73" s="764" t="s">
        <v>83</v>
      </c>
      <c r="B73" s="764"/>
      <c r="C73" s="764"/>
      <c r="D73" s="626"/>
      <c r="E73" s="642" t="s">
        <v>3</v>
      </c>
      <c r="F73" s="544">
        <f>'0664'!F73</f>
        <v>13882385</v>
      </c>
      <c r="G73" s="634" t="s">
        <v>6</v>
      </c>
      <c r="H73" s="155">
        <f>H63</f>
        <v>4.2890000000000003E-3</v>
      </c>
      <c r="I73" s="120">
        <f>ROUND(F73*H73,2)</f>
        <v>59541.55</v>
      </c>
      <c r="N73" s="840" t="s">
        <v>83</v>
      </c>
      <c r="O73" s="840"/>
      <c r="P73" s="840"/>
      <c r="Q73" s="50"/>
      <c r="R73" s="159">
        <f>F73</f>
        <v>13882385</v>
      </c>
      <c r="S73" s="635" t="s">
        <v>6</v>
      </c>
      <c r="T73" s="157">
        <f>T63</f>
        <v>0</v>
      </c>
      <c r="U73" s="115">
        <f>ROUND(R73*T73,0)</f>
        <v>0</v>
      </c>
    </row>
    <row r="74" spans="1:21" x14ac:dyDescent="0.25">
      <c r="A74" s="337" t="s">
        <v>101</v>
      </c>
      <c r="D74" s="626"/>
      <c r="E74" s="660"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626"/>
      <c r="C76" s="626"/>
      <c r="D76" s="626"/>
      <c r="E76" s="626"/>
      <c r="F76" s="626"/>
      <c r="G76" s="626"/>
      <c r="H76" s="626"/>
      <c r="I76" s="160"/>
      <c r="N76" s="687" t="s">
        <v>44</v>
      </c>
      <c r="O76" s="631"/>
      <c r="P76" s="631"/>
      <c r="Q76" s="631"/>
      <c r="R76" s="631"/>
      <c r="S76" s="631"/>
      <c r="T76" s="631"/>
      <c r="U76" s="122"/>
    </row>
    <row r="77" spans="1:21" x14ac:dyDescent="0.25">
      <c r="A77" s="765" t="s">
        <v>387</v>
      </c>
      <c r="B77" s="764"/>
      <c r="C77" s="764"/>
      <c r="D77" s="626"/>
      <c r="E77" s="642" t="s">
        <v>3</v>
      </c>
      <c r="F77" s="544">
        <f>'0664'!F77</f>
        <v>7462542</v>
      </c>
      <c r="G77" s="634" t="s">
        <v>6</v>
      </c>
      <c r="H77" s="155">
        <f>H63</f>
        <v>4.2890000000000003E-3</v>
      </c>
      <c r="I77" s="120">
        <f t="shared" ref="I77:I82" si="14">ROUND(F77*H77,2)</f>
        <v>32006.84</v>
      </c>
      <c r="N77" s="860" t="s">
        <v>387</v>
      </c>
      <c r="O77" s="840"/>
      <c r="P77" s="840"/>
      <c r="Q77" s="50"/>
      <c r="R77" s="159">
        <f t="shared" ref="R77:R83" si="15">F77</f>
        <v>7462542</v>
      </c>
      <c r="S77" s="635" t="s">
        <v>6</v>
      </c>
      <c r="T77" s="157">
        <f>T64</f>
        <v>0</v>
      </c>
      <c r="U77" s="115">
        <f t="shared" ref="U77:U82" si="16">ROUND(R77*T77,0)</f>
        <v>0</v>
      </c>
    </row>
    <row r="78" spans="1:21" x14ac:dyDescent="0.25">
      <c r="A78" s="765" t="s">
        <v>388</v>
      </c>
      <c r="B78" s="764"/>
      <c r="C78" s="764"/>
      <c r="D78" s="626"/>
      <c r="E78" s="642" t="s">
        <v>3</v>
      </c>
      <c r="F78" s="544">
        <f>'0664'!F78</f>
        <v>0</v>
      </c>
      <c r="G78" s="634" t="s">
        <v>6</v>
      </c>
      <c r="H78" s="155">
        <f>H63</f>
        <v>4.2890000000000003E-3</v>
      </c>
      <c r="I78" s="120">
        <f t="shared" si="14"/>
        <v>0</v>
      </c>
      <c r="N78" s="840" t="s">
        <v>388</v>
      </c>
      <c r="O78" s="840"/>
      <c r="P78" s="840"/>
      <c r="Q78" s="50"/>
      <c r="R78" s="159">
        <f t="shared" si="15"/>
        <v>0</v>
      </c>
      <c r="S78" s="635" t="s">
        <v>6</v>
      </c>
      <c r="T78" s="157">
        <f>T64</f>
        <v>0</v>
      </c>
      <c r="U78" s="115">
        <f t="shared" si="16"/>
        <v>0</v>
      </c>
    </row>
    <row r="79" spans="1:21" x14ac:dyDescent="0.25">
      <c r="A79" s="765" t="s">
        <v>414</v>
      </c>
      <c r="B79" s="764"/>
      <c r="C79" s="764"/>
      <c r="D79" s="626"/>
      <c r="E79" s="642" t="s">
        <v>4</v>
      </c>
      <c r="F79" s="544">
        <f>'0664'!F79</f>
        <v>0</v>
      </c>
      <c r="G79" s="634" t="s">
        <v>6</v>
      </c>
      <c r="H79" s="155">
        <f>H66</f>
        <v>3.9379999999999997E-3</v>
      </c>
      <c r="I79" s="120">
        <f t="shared" si="14"/>
        <v>0</v>
      </c>
      <c r="N79" s="860" t="s">
        <v>414</v>
      </c>
      <c r="O79" s="840"/>
      <c r="P79" s="840"/>
      <c r="Q79" s="50"/>
      <c r="R79" s="159">
        <f t="shared" si="15"/>
        <v>0</v>
      </c>
      <c r="S79" s="635" t="s">
        <v>6</v>
      </c>
      <c r="T79" s="157">
        <f>T66</f>
        <v>0</v>
      </c>
      <c r="U79" s="115">
        <f t="shared" si="16"/>
        <v>0</v>
      </c>
    </row>
    <row r="80" spans="1:21" x14ac:dyDescent="0.25">
      <c r="A80" s="765" t="s">
        <v>415</v>
      </c>
      <c r="B80" s="764"/>
      <c r="C80" s="764"/>
      <c r="D80" s="626"/>
      <c r="E80" s="642" t="s">
        <v>4</v>
      </c>
      <c r="F80" s="544">
        <f>'0664'!F80</f>
        <v>8562788</v>
      </c>
      <c r="G80" s="634" t="s">
        <v>6</v>
      </c>
      <c r="H80" s="155">
        <f>H66</f>
        <v>3.9379999999999997E-3</v>
      </c>
      <c r="I80" s="120">
        <f t="shared" si="14"/>
        <v>33720.26</v>
      </c>
      <c r="N80" s="860" t="s">
        <v>415</v>
      </c>
      <c r="O80" s="840"/>
      <c r="P80" s="840"/>
      <c r="Q80" s="50"/>
      <c r="R80" s="159">
        <f t="shared" si="15"/>
        <v>8562788</v>
      </c>
      <c r="S80" s="635" t="s">
        <v>6</v>
      </c>
      <c r="T80" s="157">
        <f>T66</f>
        <v>0</v>
      </c>
      <c r="U80" s="115">
        <f t="shared" si="16"/>
        <v>0</v>
      </c>
    </row>
    <row r="81" spans="1:21" x14ac:dyDescent="0.25">
      <c r="A81" s="765" t="s">
        <v>419</v>
      </c>
      <c r="B81" s="764"/>
      <c r="C81" s="764"/>
      <c r="D81" s="626"/>
      <c r="E81" s="642" t="s">
        <v>4</v>
      </c>
      <c r="F81" s="544">
        <f>'0664'!F81</f>
        <v>168663228</v>
      </c>
      <c r="G81" s="634" t="s">
        <v>6</v>
      </c>
      <c r="H81" s="155">
        <f>H66</f>
        <v>3.9379999999999997E-3</v>
      </c>
      <c r="I81" s="120">
        <f t="shared" si="14"/>
        <v>664195.79</v>
      </c>
      <c r="N81" s="860" t="s">
        <v>419</v>
      </c>
      <c r="O81" s="840"/>
      <c r="P81" s="840"/>
      <c r="Q81" s="50"/>
      <c r="R81" s="159">
        <f t="shared" si="15"/>
        <v>168663228</v>
      </c>
      <c r="S81" s="635" t="s">
        <v>6</v>
      </c>
      <c r="T81" s="157">
        <f>T66</f>
        <v>0</v>
      </c>
      <c r="U81" s="115">
        <f t="shared" si="16"/>
        <v>0</v>
      </c>
    </row>
    <row r="82" spans="1:21" x14ac:dyDescent="0.25">
      <c r="A82" s="765" t="s">
        <v>420</v>
      </c>
      <c r="B82" s="764"/>
      <c r="C82" s="764"/>
      <c r="D82" s="626"/>
      <c r="E82" s="642" t="s">
        <v>4</v>
      </c>
      <c r="F82" s="544">
        <f>'0664'!F82</f>
        <v>0</v>
      </c>
      <c r="G82" s="634" t="s">
        <v>6</v>
      </c>
      <c r="H82" s="155">
        <f>H66</f>
        <v>3.9379999999999997E-3</v>
      </c>
      <c r="I82" s="120">
        <f t="shared" si="14"/>
        <v>0</v>
      </c>
      <c r="N82" s="860" t="s">
        <v>420</v>
      </c>
      <c r="O82" s="840"/>
      <c r="P82" s="840"/>
      <c r="Q82" s="50"/>
      <c r="R82" s="156">
        <f t="shared" si="15"/>
        <v>0</v>
      </c>
      <c r="S82" s="635" t="s">
        <v>6</v>
      </c>
      <c r="T82" s="157">
        <f>T66</f>
        <v>0</v>
      </c>
      <c r="U82" s="115">
        <f t="shared" si="16"/>
        <v>0</v>
      </c>
    </row>
    <row r="83" spans="1:21" x14ac:dyDescent="0.25">
      <c r="A83" s="717" t="s">
        <v>425</v>
      </c>
      <c r="B83" s="626"/>
      <c r="C83" s="626"/>
      <c r="D83" s="626"/>
      <c r="E83" s="683" t="s">
        <v>45</v>
      </c>
      <c r="F83" s="544"/>
      <c r="G83" s="634"/>
      <c r="H83" s="155"/>
      <c r="I83" s="120">
        <v>119957.48</v>
      </c>
      <c r="N83" s="719" t="s">
        <v>425</v>
      </c>
      <c r="O83" s="631"/>
      <c r="P83" s="631"/>
      <c r="Q83" s="50"/>
      <c r="R83" s="159">
        <f t="shared" si="15"/>
        <v>0</v>
      </c>
      <c r="S83" s="635" t="s">
        <v>6</v>
      </c>
      <c r="T83" s="157">
        <f>T66</f>
        <v>0</v>
      </c>
      <c r="U83" s="115">
        <f>IF($H$116=1,I83,0)</f>
        <v>0</v>
      </c>
    </row>
    <row r="84" spans="1:21" x14ac:dyDescent="0.25">
      <c r="A84" s="765" t="s">
        <v>457</v>
      </c>
      <c r="B84" s="764"/>
      <c r="C84" s="764"/>
      <c r="D84" s="744"/>
      <c r="E84" s="747" t="s">
        <v>3</v>
      </c>
      <c r="F84" s="544">
        <f>'0664'!F84</f>
        <v>21614343</v>
      </c>
      <c r="G84" s="749" t="s">
        <v>6</v>
      </c>
      <c r="H84" s="155">
        <f>H63</f>
        <v>4.2890000000000003E-3</v>
      </c>
      <c r="I84" s="120">
        <f>ROUND(F84*H84,2)</f>
        <v>92703.92</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626"/>
      <c r="C87" s="780" t="s">
        <v>74</v>
      </c>
      <c r="D87" s="780"/>
      <c r="E87" s="626"/>
      <c r="F87" s="660" t="s">
        <v>37</v>
      </c>
      <c r="G87" s="626"/>
      <c r="H87" s="626"/>
      <c r="I87" s="626"/>
      <c r="N87" s="631"/>
      <c r="O87" s="631"/>
      <c r="P87" s="631"/>
      <c r="Q87" s="631"/>
      <c r="R87" s="631"/>
      <c r="S87" s="631"/>
      <c r="T87" s="631"/>
      <c r="U87" s="63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630"/>
      <c r="B89" s="64" t="s">
        <v>150</v>
      </c>
      <c r="C89" s="781">
        <f>H13+H14+H19+H22+H25</f>
        <v>0</v>
      </c>
      <c r="D89" s="781"/>
      <c r="E89" s="54">
        <f>H8</f>
        <v>1.0424</v>
      </c>
      <c r="F89" s="545">
        <f>'0664'!F89</f>
        <v>966.9</v>
      </c>
      <c r="G89" s="661" t="s">
        <v>13</v>
      </c>
      <c r="H89" s="120">
        <f>ROUND(C89*E89*F89,2)</f>
        <v>0</v>
      </c>
      <c r="I89" s="124"/>
      <c r="N89" s="629"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455.91320000000002</v>
      </c>
      <c r="D90" s="781"/>
      <c r="E90" s="54">
        <f>H8</f>
        <v>1.0424</v>
      </c>
      <c r="F90" s="545">
        <f>'0664'!F90</f>
        <v>923.19</v>
      </c>
      <c r="G90" s="661" t="s">
        <v>13</v>
      </c>
      <c r="H90" s="120">
        <f>ROUND(C90*E90*F90,2)</f>
        <v>438740.43</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388.53519999999997</v>
      </c>
      <c r="D91" s="781"/>
      <c r="E91" s="54">
        <f>H8</f>
        <v>1.0424</v>
      </c>
      <c r="F91" s="545">
        <f>'0664'!F91</f>
        <v>925.42</v>
      </c>
      <c r="G91" s="661" t="s">
        <v>13</v>
      </c>
      <c r="H91" s="113">
        <f>ROUND(C91*E91*F91,2)</f>
        <v>374803.51</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844.44839999999999</v>
      </c>
      <c r="D92" s="782"/>
      <c r="E92" s="168"/>
      <c r="F92" s="168"/>
      <c r="G92" s="168"/>
      <c r="H92" s="169" t="s">
        <v>145</v>
      </c>
      <c r="I92" s="120">
        <f>IF(A1=75,0,H91+H90+H89)</f>
        <v>813543.94</v>
      </c>
      <c r="N92" s="639"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640"/>
      <c r="B94" s="640"/>
      <c r="C94" s="640"/>
      <c r="D94" s="640"/>
      <c r="E94" s="640"/>
      <c r="F94" s="640"/>
      <c r="G94" s="640"/>
      <c r="H94" s="640"/>
      <c r="I94" s="640"/>
      <c r="N94" s="641"/>
      <c r="O94" s="641"/>
      <c r="P94" s="641"/>
      <c r="Q94" s="641"/>
      <c r="R94" s="641"/>
      <c r="S94" s="641"/>
      <c r="T94" s="641"/>
      <c r="U94" s="641"/>
    </row>
    <row r="95" spans="1:21" x14ac:dyDescent="0.25">
      <c r="A95" s="745" t="s">
        <v>459</v>
      </c>
      <c r="C95" s="642"/>
      <c r="D95" s="626"/>
      <c r="E95" s="683" t="s">
        <v>102</v>
      </c>
      <c r="F95" s="774"/>
      <c r="G95" s="774"/>
      <c r="H95" s="774"/>
      <c r="I95" s="774"/>
      <c r="N95" s="860" t="s">
        <v>459</v>
      </c>
      <c r="O95" s="840"/>
      <c r="P95" s="840"/>
      <c r="Q95" s="879"/>
      <c r="R95" s="879"/>
      <c r="S95" s="879"/>
      <c r="T95" s="879"/>
      <c r="U95" s="122"/>
    </row>
    <row r="96" spans="1:21" x14ac:dyDescent="0.25">
      <c r="B96" s="626"/>
      <c r="C96" s="600" t="s">
        <v>435</v>
      </c>
      <c r="D96" s="669" t="s">
        <v>436</v>
      </c>
      <c r="E96" s="108" t="s">
        <v>153</v>
      </c>
      <c r="F96" s="642"/>
      <c r="G96" s="642"/>
      <c r="H96" s="642"/>
      <c r="I96" s="642"/>
      <c r="N96" s="631"/>
      <c r="O96" s="631"/>
      <c r="P96" s="631"/>
      <c r="Q96" s="643"/>
      <c r="R96" s="643"/>
      <c r="S96" s="643"/>
      <c r="T96" s="643"/>
      <c r="U96" s="122"/>
    </row>
    <row r="97" spans="1:21" x14ac:dyDescent="0.25">
      <c r="B97" s="626"/>
      <c r="C97" s="624" t="s">
        <v>2</v>
      </c>
      <c r="D97" s="622" t="s">
        <v>2</v>
      </c>
      <c r="E97" s="622" t="s">
        <v>2</v>
      </c>
      <c r="F97" s="642"/>
      <c r="G97" s="642"/>
      <c r="H97" s="642"/>
      <c r="I97" s="642"/>
      <c r="N97" s="631"/>
      <c r="O97" s="631"/>
      <c r="P97" s="631"/>
      <c r="Q97" s="643"/>
      <c r="R97" s="643"/>
      <c r="S97" s="643"/>
      <c r="T97" s="643"/>
      <c r="U97" s="122"/>
    </row>
    <row r="98" spans="1:21" x14ac:dyDescent="0.25">
      <c r="A98" s="767" t="s">
        <v>66</v>
      </c>
      <c r="B98" s="767"/>
      <c r="C98" s="192">
        <v>0</v>
      </c>
      <c r="D98" s="192">
        <v>0</v>
      </c>
      <c r="E98" s="193">
        <f>(C98+D98)/2</f>
        <v>0</v>
      </c>
      <c r="F98" s="173" t="s">
        <v>39</v>
      </c>
      <c r="G98" s="546">
        <f>'0664'!G98</f>
        <v>486</v>
      </c>
      <c r="I98" s="120">
        <f>ROUND(G98*E98,2)</f>
        <v>0</v>
      </c>
      <c r="N98" s="873" t="s">
        <v>66</v>
      </c>
      <c r="O98" s="873"/>
      <c r="P98" s="874">
        <f>IF(H116=1,E98,0)</f>
        <v>0</v>
      </c>
      <c r="Q98" s="874"/>
      <c r="R98" s="874"/>
      <c r="S98" s="651" t="s">
        <v>39</v>
      </c>
      <c r="T98" s="72">
        <f>G98</f>
        <v>486</v>
      </c>
      <c r="U98" s="115">
        <f>ROUND(T98*P98,0)</f>
        <v>0</v>
      </c>
    </row>
    <row r="99" spans="1:21" x14ac:dyDescent="0.25">
      <c r="A99" s="767" t="s">
        <v>82</v>
      </c>
      <c r="B99" s="767"/>
      <c r="C99" s="192">
        <v>0</v>
      </c>
      <c r="D99" s="192">
        <v>0</v>
      </c>
      <c r="E99" s="193">
        <f>(C99+D99)/2</f>
        <v>0</v>
      </c>
      <c r="F99" s="173" t="s">
        <v>39</v>
      </c>
      <c r="G99" s="546">
        <f>'0664'!G99</f>
        <v>1498</v>
      </c>
      <c r="I99" s="120">
        <f>ROUND(G99*E99,2)</f>
        <v>0</v>
      </c>
      <c r="N99" s="873" t="s">
        <v>82</v>
      </c>
      <c r="O99" s="873"/>
      <c r="P99" s="847"/>
      <c r="Q99" s="847"/>
      <c r="R99" s="847"/>
      <c r="S99" s="651" t="s">
        <v>39</v>
      </c>
      <c r="T99" s="72">
        <f>G99</f>
        <v>1498</v>
      </c>
      <c r="U99" s="115">
        <f>ROUND(T99*P99,0)</f>
        <v>0</v>
      </c>
    </row>
    <row r="100" spans="1:21" x14ac:dyDescent="0.25">
      <c r="A100" s="174"/>
      <c r="B100" s="174"/>
      <c r="C100" s="89"/>
      <c r="D100" s="89"/>
      <c r="E100" s="89"/>
      <c r="F100" s="89"/>
      <c r="G100" s="175"/>
      <c r="H100" s="176"/>
      <c r="I100" s="120"/>
      <c r="N100" s="638"/>
      <c r="O100" s="638"/>
      <c r="P100" s="178"/>
      <c r="Q100" s="178"/>
      <c r="R100" s="178"/>
      <c r="S100" s="651"/>
      <c r="T100" s="72"/>
      <c r="U100" s="122"/>
    </row>
    <row r="101" spans="1:21" x14ac:dyDescent="0.25">
      <c r="A101" s="174"/>
      <c r="B101" s="174"/>
      <c r="C101" s="89"/>
      <c r="D101" s="89"/>
      <c r="E101" s="89"/>
      <c r="F101" s="89"/>
      <c r="G101" s="175"/>
      <c r="H101" s="176"/>
      <c r="I101" s="120"/>
      <c r="N101" s="638"/>
      <c r="O101" s="638"/>
      <c r="P101" s="178"/>
      <c r="Q101" s="178"/>
      <c r="R101" s="178"/>
      <c r="S101" s="651"/>
      <c r="T101" s="72"/>
      <c r="U101" s="122"/>
    </row>
    <row r="102" spans="1:21" hidden="1" x14ac:dyDescent="0.25">
      <c r="A102" s="765" t="s">
        <v>374</v>
      </c>
      <c r="B102" s="764"/>
      <c r="C102" s="764"/>
      <c r="D102" s="626"/>
      <c r="E102" s="686" t="s">
        <v>41</v>
      </c>
      <c r="F102" s="780"/>
      <c r="G102" s="780"/>
      <c r="H102" s="780"/>
      <c r="I102" s="780"/>
      <c r="N102" s="860" t="s">
        <v>383</v>
      </c>
      <c r="O102" s="840"/>
      <c r="P102" s="840"/>
      <c r="Q102" s="840"/>
      <c r="R102" s="840"/>
      <c r="S102" s="840"/>
      <c r="T102" s="840"/>
      <c r="U102" s="840"/>
    </row>
    <row r="103" spans="1:21" hidden="1" x14ac:dyDescent="0.25">
      <c r="B103" s="626"/>
      <c r="C103" s="776" t="s">
        <v>93</v>
      </c>
      <c r="D103" s="776"/>
      <c r="E103" s="776"/>
      <c r="F103" s="644"/>
      <c r="G103" s="644"/>
      <c r="H103" s="661" t="s">
        <v>154</v>
      </c>
      <c r="I103" s="644"/>
      <c r="N103" s="631"/>
      <c r="O103" s="631"/>
      <c r="P103" s="631"/>
      <c r="Q103" s="631"/>
      <c r="R103" s="631"/>
      <c r="S103" s="631"/>
      <c r="T103" s="631"/>
      <c r="U103" s="631"/>
    </row>
    <row r="104" spans="1:21" hidden="1" x14ac:dyDescent="0.25">
      <c r="B104" s="626"/>
      <c r="C104" s="600" t="s">
        <v>392</v>
      </c>
      <c r="D104" s="600" t="s">
        <v>370</v>
      </c>
      <c r="E104" s="185" t="s">
        <v>8</v>
      </c>
      <c r="F104" s="883" t="s">
        <v>155</v>
      </c>
      <c r="G104" s="770"/>
      <c r="H104" s="634" t="s">
        <v>38</v>
      </c>
      <c r="I104" s="644"/>
      <c r="N104" s="631"/>
      <c r="O104" s="631"/>
      <c r="P104" s="631"/>
      <c r="Q104" s="631"/>
      <c r="R104" s="631"/>
      <c r="S104" s="631"/>
      <c r="T104" s="631"/>
      <c r="U104" s="631"/>
    </row>
    <row r="105" spans="1:21" hidden="1" x14ac:dyDescent="0.25">
      <c r="A105" s="776" t="s">
        <v>96</v>
      </c>
      <c r="B105" s="776"/>
      <c r="C105" s="601" t="s">
        <v>2</v>
      </c>
      <c r="D105" s="601" t="s">
        <v>2</v>
      </c>
      <c r="E105" s="637" t="s">
        <v>2</v>
      </c>
      <c r="F105" s="776" t="s">
        <v>37</v>
      </c>
      <c r="G105" s="776"/>
      <c r="H105" s="637" t="s">
        <v>37</v>
      </c>
      <c r="I105" s="637" t="s">
        <v>8</v>
      </c>
      <c r="N105" s="859" t="s">
        <v>67</v>
      </c>
      <c r="O105" s="859"/>
      <c r="P105" s="874" t="s">
        <v>93</v>
      </c>
      <c r="Q105" s="874"/>
      <c r="R105" s="859" t="s">
        <v>68</v>
      </c>
      <c r="S105" s="859"/>
      <c r="T105" s="633" t="s">
        <v>69</v>
      </c>
      <c r="U105" s="633" t="s">
        <v>8</v>
      </c>
    </row>
    <row r="106" spans="1:21" hidden="1" x14ac:dyDescent="0.25">
      <c r="A106" s="771" t="s">
        <v>70</v>
      </c>
      <c r="B106" s="771"/>
      <c r="C106" s="190">
        <v>0</v>
      </c>
      <c r="D106" s="190">
        <v>0</v>
      </c>
      <c r="E106" s="191">
        <f>IF(D$59=0,C106*2,C106+D106)</f>
        <v>0</v>
      </c>
      <c r="F106" s="889">
        <v>0</v>
      </c>
      <c r="G106" s="889"/>
      <c r="H106" s="75">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93">
        <f>IF(D$59=0,C107*2,C107+D107)</f>
        <v>0</v>
      </c>
      <c r="F107" s="810">
        <f>ROUND(F106/2,2)</f>
        <v>0</v>
      </c>
      <c r="G107" s="810"/>
      <c r="H107" s="77">
        <f>IF(C107=0,0,62.5)</f>
        <v>0</v>
      </c>
      <c r="I107" s="120">
        <f>ROUND((H107+F107)*E107,2)</f>
        <v>0</v>
      </c>
      <c r="N107" s="848" t="s">
        <v>71</v>
      </c>
      <c r="O107" s="848"/>
      <c r="P107" s="847">
        <f>IF(H$116=1,C107,0)</f>
        <v>0</v>
      </c>
      <c r="Q107" s="847"/>
      <c r="R107" s="886">
        <f>ROUND(R106/2,2)</f>
        <v>0</v>
      </c>
      <c r="S107" s="886"/>
      <c r="T107" s="78">
        <f>H107</f>
        <v>0</v>
      </c>
      <c r="U107" s="115">
        <f>ROUND((T107+R107)*P107,0)</f>
        <v>0</v>
      </c>
    </row>
    <row r="108" spans="1:21" hidden="1" x14ac:dyDescent="0.25">
      <c r="A108" s="768" t="s">
        <v>72</v>
      </c>
      <c r="B108" s="768"/>
      <c r="C108" s="192">
        <v>0</v>
      </c>
      <c r="D108" s="192">
        <v>0</v>
      </c>
      <c r="E108" s="193">
        <f>IF(D$59=0,C108*2,C108+D108)</f>
        <v>0</v>
      </c>
      <c r="F108" s="773"/>
      <c r="G108" s="773"/>
      <c r="H108" s="79">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634"/>
      <c r="B110" s="634"/>
      <c r="C110" s="81"/>
      <c r="D110" s="81"/>
      <c r="E110" s="81"/>
      <c r="F110" s="81"/>
      <c r="G110" s="81"/>
      <c r="H110" s="81"/>
      <c r="I110" s="120"/>
      <c r="N110" s="635"/>
      <c r="O110" s="635"/>
      <c r="P110" s="82"/>
      <c r="Q110" s="82"/>
      <c r="R110" s="82"/>
      <c r="S110" s="82"/>
      <c r="T110" s="82"/>
      <c r="U110" s="187"/>
    </row>
    <row r="111" spans="1:21" x14ac:dyDescent="0.25">
      <c r="A111" s="765" t="s">
        <v>460</v>
      </c>
      <c r="B111" s="764"/>
      <c r="C111" s="764"/>
      <c r="D111" s="62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62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626"/>
      <c r="C113" s="626"/>
      <c r="D113" s="626"/>
      <c r="E113" s="628"/>
      <c r="F113" s="628"/>
      <c r="G113" s="628"/>
      <c r="H113" s="628"/>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5989949.1500000004</v>
      </c>
      <c r="N114" s="629"/>
      <c r="O114" s="629"/>
      <c r="P114" s="629"/>
      <c r="Q114" s="629"/>
      <c r="R114" s="629"/>
      <c r="S114" s="629"/>
      <c r="T114" s="629"/>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626"/>
      <c r="C117" s="626"/>
      <c r="D117" s="626"/>
      <c r="E117" s="626"/>
      <c r="F117" s="626"/>
      <c r="G117" s="626"/>
      <c r="H117" s="89"/>
      <c r="I117" s="120"/>
      <c r="N117" s="88" t="s">
        <v>108</v>
      </c>
      <c r="O117" s="88"/>
      <c r="P117" s="88"/>
      <c r="Q117" s="88"/>
      <c r="R117" s="88"/>
      <c r="S117" s="88"/>
      <c r="T117" s="88"/>
      <c r="U117" s="88"/>
    </row>
    <row r="118" spans="1:21" x14ac:dyDescent="0.25">
      <c r="A118" s="3" t="s">
        <v>104</v>
      </c>
      <c r="B118" s="626"/>
      <c r="C118" s="626"/>
      <c r="D118" s="626"/>
      <c r="E118" s="626"/>
      <c r="F118" s="626"/>
      <c r="G118" s="396"/>
      <c r="H118" s="188">
        <f>IF(H116=1,I116,I114)</f>
        <v>5989949.1500000004</v>
      </c>
      <c r="I118" s="113">
        <f>ROUND(IF(E29=0,0,IF(E29&gt;250,-(((250/E29)*H118)*IF(G118="H",0.02,0.05)),IF(G118="H",-0.02*H118,-0.05*H118))),2)</f>
        <v>-91521.15</v>
      </c>
      <c r="N118" s="90" t="s">
        <v>109</v>
      </c>
      <c r="O118" s="88"/>
      <c r="P118" s="88"/>
      <c r="Q118" s="88"/>
      <c r="R118" s="88"/>
      <c r="S118" s="88"/>
      <c r="T118" s="88"/>
      <c r="U118" s="88"/>
    </row>
    <row r="119" spans="1:21" x14ac:dyDescent="0.25">
      <c r="B119" s="626"/>
      <c r="C119" s="626"/>
      <c r="D119" s="626"/>
      <c r="E119" s="626"/>
      <c r="F119" s="626"/>
      <c r="G119" s="626"/>
      <c r="H119" s="89"/>
      <c r="I119" s="120"/>
      <c r="N119" s="627"/>
      <c r="O119" s="627"/>
      <c r="P119" s="627"/>
      <c r="Q119" s="627"/>
      <c r="R119" s="627"/>
      <c r="S119" s="627"/>
      <c r="T119" s="627"/>
      <c r="U119" s="627"/>
    </row>
    <row r="120" spans="1:21" x14ac:dyDescent="0.25">
      <c r="A120" s="552" t="s">
        <v>105</v>
      </c>
      <c r="B120" s="553"/>
      <c r="C120" s="553"/>
      <c r="D120" s="553"/>
      <c r="E120" s="553"/>
      <c r="F120" s="553"/>
      <c r="G120" s="553"/>
      <c r="H120" s="554"/>
      <c r="I120" s="555">
        <f>I114+I118</f>
        <v>5898428</v>
      </c>
      <c r="N120" s="627"/>
      <c r="O120" s="627"/>
      <c r="P120" s="627"/>
      <c r="Q120" s="627"/>
      <c r="R120" s="627"/>
      <c r="S120" s="627"/>
      <c r="T120" s="627"/>
      <c r="U120" s="627"/>
    </row>
    <row r="121" spans="1:21" x14ac:dyDescent="0.25">
      <c r="B121" s="626"/>
      <c r="C121" s="626"/>
      <c r="D121" s="626"/>
      <c r="E121" s="626"/>
      <c r="F121" s="626"/>
      <c r="G121" s="626"/>
      <c r="H121" s="89"/>
      <c r="I121" s="120"/>
      <c r="N121" s="627"/>
      <c r="O121" s="627"/>
      <c r="P121" s="627"/>
      <c r="Q121" s="627"/>
      <c r="R121" s="627"/>
      <c r="S121" s="627"/>
      <c r="T121" s="627"/>
      <c r="U121" s="627"/>
    </row>
    <row r="122" spans="1:21" x14ac:dyDescent="0.25">
      <c r="A122" s="3" t="s">
        <v>106</v>
      </c>
      <c r="B122" s="626"/>
      <c r="C122" s="189"/>
      <c r="D122" s="626"/>
      <c r="F122" s="626"/>
      <c r="G122" s="626"/>
      <c r="H122" s="89"/>
      <c r="I122" s="424">
        <v>-5904710.21</v>
      </c>
      <c r="N122" s="627"/>
      <c r="O122" s="627"/>
      <c r="P122" s="627"/>
      <c r="Q122" s="627"/>
      <c r="R122" s="627"/>
      <c r="S122" s="627"/>
      <c r="T122" s="627"/>
      <c r="U122" s="627"/>
    </row>
    <row r="123" spans="1:21" x14ac:dyDescent="0.25">
      <c r="B123" s="626"/>
      <c r="C123" s="626"/>
      <c r="D123" s="626"/>
      <c r="E123" s="626"/>
      <c r="F123" s="626"/>
      <c r="G123" s="626"/>
      <c r="H123" s="89"/>
      <c r="I123" s="120"/>
      <c r="N123" s="627"/>
      <c r="O123" s="627"/>
      <c r="P123" s="627"/>
      <c r="Q123" s="627"/>
      <c r="R123" s="627"/>
      <c r="S123" s="627"/>
      <c r="T123" s="627"/>
      <c r="U123" s="627"/>
    </row>
    <row r="124" spans="1:21" x14ac:dyDescent="0.25">
      <c r="A124" s="625" t="s">
        <v>313</v>
      </c>
      <c r="B124" s="626"/>
      <c r="C124" s="626"/>
      <c r="D124" s="626"/>
      <c r="E124" s="626"/>
      <c r="F124" s="626"/>
      <c r="G124" s="626"/>
      <c r="H124" s="89"/>
      <c r="I124" s="120">
        <f>I120+I122</f>
        <v>-6282.2099999999627</v>
      </c>
      <c r="N124" s="627"/>
      <c r="O124" s="627"/>
      <c r="P124" s="627"/>
      <c r="Q124" s="627"/>
      <c r="R124" s="627"/>
      <c r="S124" s="627"/>
      <c r="T124" s="627"/>
      <c r="U124" s="627"/>
    </row>
    <row r="125" spans="1:21" x14ac:dyDescent="0.25">
      <c r="A125" s="625"/>
      <c r="B125" s="626"/>
      <c r="C125" s="626"/>
      <c r="D125" s="626"/>
      <c r="E125" s="626"/>
      <c r="F125" s="626"/>
      <c r="G125" s="626"/>
      <c r="H125" s="89"/>
      <c r="I125" s="120"/>
      <c r="N125" s="627"/>
      <c r="O125" s="627"/>
      <c r="P125" s="627"/>
      <c r="Q125" s="627"/>
      <c r="R125" s="627"/>
      <c r="S125" s="627"/>
      <c r="T125" s="627"/>
      <c r="U125" s="627"/>
    </row>
    <row r="126" spans="1:21" x14ac:dyDescent="0.25">
      <c r="A126" s="625" t="s">
        <v>314</v>
      </c>
      <c r="B126" s="626"/>
      <c r="C126" s="626"/>
      <c r="D126" s="626"/>
      <c r="E126" s="626"/>
      <c r="F126" s="626"/>
      <c r="G126" s="626"/>
      <c r="H126" s="89"/>
      <c r="I126" s="425">
        <f>'0664'!I126</f>
        <v>1</v>
      </c>
      <c r="N126" s="627"/>
      <c r="O126" s="627"/>
      <c r="P126" s="627"/>
      <c r="Q126" s="627"/>
      <c r="R126" s="627"/>
      <c r="S126" s="627"/>
      <c r="T126" s="627"/>
      <c r="U126" s="627"/>
    </row>
    <row r="127" spans="1:21" x14ac:dyDescent="0.25">
      <c r="B127" s="626"/>
      <c r="C127" s="626"/>
      <c r="D127" s="626"/>
      <c r="E127" s="626"/>
      <c r="F127" s="626"/>
      <c r="G127" s="626"/>
      <c r="H127" s="89"/>
      <c r="I127" s="120"/>
      <c r="N127" s="627"/>
      <c r="O127" s="627"/>
      <c r="P127" s="627"/>
      <c r="Q127" s="627"/>
      <c r="R127" s="627"/>
      <c r="S127" s="627"/>
      <c r="T127" s="627"/>
      <c r="U127" s="627"/>
    </row>
    <row r="128" spans="1:21" ht="16.5" thickBot="1" x14ac:dyDescent="0.3">
      <c r="A128" s="3" t="s">
        <v>107</v>
      </c>
      <c r="B128" s="626"/>
      <c r="C128" s="626"/>
      <c r="D128" s="626"/>
      <c r="E128" s="626"/>
      <c r="F128" s="626"/>
      <c r="G128" s="626"/>
      <c r="H128" s="89"/>
      <c r="I128" s="205">
        <f>ROUND(I124/I126,2)</f>
        <v>-6282.21</v>
      </c>
      <c r="N128" s="627"/>
      <c r="O128" s="627"/>
      <c r="P128" s="627"/>
      <c r="Q128" s="627"/>
      <c r="R128" s="627"/>
      <c r="S128" s="627"/>
      <c r="T128" s="627"/>
      <c r="U128" s="627"/>
    </row>
    <row r="129" spans="1:21" ht="16.5" thickTop="1" x14ac:dyDescent="0.25">
      <c r="B129" s="626"/>
      <c r="C129" s="626"/>
      <c r="D129" s="626"/>
      <c r="E129" s="626"/>
      <c r="F129" s="626"/>
      <c r="G129" s="626"/>
      <c r="H129" s="89"/>
      <c r="I129" s="120"/>
      <c r="N129" s="627"/>
      <c r="O129" s="627"/>
      <c r="P129" s="627"/>
      <c r="Q129" s="627"/>
      <c r="R129" s="627"/>
      <c r="S129" s="627"/>
      <c r="T129" s="627"/>
      <c r="U129" s="627"/>
    </row>
    <row r="130" spans="1:21" ht="16.5" thickBot="1" x14ac:dyDescent="0.3">
      <c r="A130" s="3" t="s">
        <v>123</v>
      </c>
      <c r="B130" s="626"/>
      <c r="C130" s="626"/>
      <c r="D130" s="626"/>
      <c r="E130" s="626"/>
      <c r="F130" s="626"/>
      <c r="G130" s="626"/>
      <c r="H130" s="89"/>
      <c r="I130" s="180">
        <f>ROUND(IF(G118="H",(H118*0.02)+I118,(H118*0.05)+I118),2)</f>
        <v>207976.31</v>
      </c>
      <c r="N130" s="627"/>
      <c r="O130" s="627"/>
      <c r="P130" s="627"/>
      <c r="Q130" s="627"/>
      <c r="R130" s="627"/>
      <c r="S130" s="627"/>
      <c r="T130" s="627"/>
      <c r="U130" s="627"/>
    </row>
    <row r="131" spans="1:21" ht="16.5" thickTop="1" x14ac:dyDescent="0.25">
      <c r="B131" s="626"/>
      <c r="C131" s="626"/>
      <c r="D131" s="626"/>
      <c r="E131" s="626"/>
      <c r="F131" s="626"/>
      <c r="G131" s="626"/>
      <c r="H131" s="89"/>
      <c r="I131" s="181"/>
      <c r="N131" s="627"/>
      <c r="O131" s="627"/>
      <c r="P131" s="627"/>
      <c r="Q131" s="627"/>
      <c r="R131" s="627"/>
      <c r="S131" s="627"/>
      <c r="T131" s="627"/>
      <c r="U131" s="627"/>
    </row>
    <row r="132" spans="1:21" x14ac:dyDescent="0.25">
      <c r="B132" s="626"/>
      <c r="C132" s="626"/>
      <c r="D132" s="626"/>
      <c r="E132" s="626"/>
      <c r="F132" s="626"/>
      <c r="G132" s="626"/>
      <c r="H132" s="89"/>
      <c r="I132" s="120"/>
      <c r="N132" s="627"/>
      <c r="O132" s="627"/>
      <c r="P132" s="627"/>
      <c r="Q132" s="627"/>
      <c r="R132" s="627"/>
      <c r="S132" s="627"/>
      <c r="T132" s="627"/>
      <c r="U132" s="627"/>
    </row>
    <row r="133" spans="1:21" x14ac:dyDescent="0.25">
      <c r="B133" s="626"/>
      <c r="C133" s="626"/>
      <c r="D133" s="626"/>
      <c r="E133" s="626"/>
      <c r="F133" s="626"/>
      <c r="G133" s="626"/>
      <c r="H133" s="89"/>
      <c r="I133" s="181"/>
      <c r="N133" s="627"/>
      <c r="O133" s="627"/>
      <c r="P133" s="627"/>
      <c r="Q133" s="627"/>
      <c r="R133" s="627"/>
      <c r="S133" s="627"/>
      <c r="T133" s="627"/>
      <c r="U133" s="627"/>
    </row>
    <row r="134" spans="1:21" x14ac:dyDescent="0.25">
      <c r="A134" s="492" t="s">
        <v>7</v>
      </c>
      <c r="B134" s="492"/>
      <c r="C134" s="492"/>
      <c r="D134" s="492"/>
      <c r="E134" s="492"/>
      <c r="F134" s="492"/>
      <c r="G134" s="492"/>
      <c r="H134" s="492"/>
      <c r="I134" s="492"/>
      <c r="J134" s="182"/>
      <c r="N134" s="627"/>
      <c r="O134" s="627"/>
      <c r="P134" s="627"/>
      <c r="Q134" s="627"/>
      <c r="R134" s="627"/>
      <c r="S134" s="627"/>
      <c r="T134" s="627"/>
      <c r="U134" s="627"/>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627"/>
      <c r="O136" s="627"/>
      <c r="P136" s="627"/>
      <c r="Q136" s="627"/>
      <c r="R136" s="627"/>
      <c r="S136" s="627"/>
      <c r="T136" s="627"/>
      <c r="U136" s="627"/>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 ref="F12:G12"/>
    <mergeCell ref="N12:O12"/>
    <mergeCell ref="P12:Q12"/>
    <mergeCell ref="R12:S12"/>
    <mergeCell ref="A13:B13"/>
    <mergeCell ref="F13:G13"/>
    <mergeCell ref="N13:O13"/>
    <mergeCell ref="P13:Q13"/>
    <mergeCell ref="R13:S13"/>
    <mergeCell ref="A12:B12"/>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82:C82"/>
    <mergeCell ref="N82:P82"/>
    <mergeCell ref="A86:I86"/>
    <mergeCell ref="N86:U86"/>
    <mergeCell ref="A79:C79"/>
    <mergeCell ref="N79:P79"/>
    <mergeCell ref="A80:C80"/>
    <mergeCell ref="N80:P80"/>
    <mergeCell ref="A81:C81"/>
    <mergeCell ref="N81:P81"/>
    <mergeCell ref="C87:D87"/>
    <mergeCell ref="A84:C84"/>
    <mergeCell ref="N84:P84"/>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A98:B98"/>
    <mergeCell ref="N98:O98"/>
    <mergeCell ref="P98:R98"/>
    <mergeCell ref="A99:B99"/>
    <mergeCell ref="N99:O99"/>
    <mergeCell ref="P99:R99"/>
    <mergeCell ref="A102:C102"/>
    <mergeCell ref="F102:I102"/>
    <mergeCell ref="N102:U102"/>
    <mergeCell ref="C103:E103"/>
    <mergeCell ref="F104:G104"/>
    <mergeCell ref="A105:B105"/>
    <mergeCell ref="F105:G105"/>
    <mergeCell ref="N105:O105"/>
    <mergeCell ref="P105:Q105"/>
    <mergeCell ref="R105:S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N109:O109"/>
    <mergeCell ref="A111:C111"/>
    <mergeCell ref="F111:H111"/>
    <mergeCell ref="N111:P111"/>
    <mergeCell ref="A112:C112"/>
    <mergeCell ref="F112:H112"/>
    <mergeCell ref="N112:P112"/>
    <mergeCell ref="N135:U135"/>
    <mergeCell ref="N113:T113"/>
    <mergeCell ref="A114:H114"/>
    <mergeCell ref="A115:G115"/>
    <mergeCell ref="N115:U115"/>
    <mergeCell ref="A116:G116"/>
    <mergeCell ref="N116:U11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rgb="FFFFFF00"/>
  </sheetPr>
  <dimension ref="A1:U202"/>
  <sheetViews>
    <sheetView showGridLines="0" zoomScale="90" zoomScaleNormal="90" workbookViewId="0">
      <pane ySplit="1" topLeftCell="A98" activePane="bottomLeft" state="frozen"/>
      <selection activeCell="A46" sqref="A46:IV46"/>
      <selection pane="bottomLeft" activeCell="I122" sqref="I122"/>
    </sheetView>
  </sheetViews>
  <sheetFormatPr defaultRowHeight="15.75" x14ac:dyDescent="0.25"/>
  <cols>
    <col min="1" max="1" width="10.28515625" style="62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2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396</v>
      </c>
      <c r="B2" s="2"/>
      <c r="C2" s="2"/>
      <c r="D2" s="2"/>
      <c r="E2" s="2"/>
      <c r="F2" s="2"/>
      <c r="G2" s="2"/>
      <c r="H2" s="2"/>
      <c r="I2" s="2"/>
      <c r="N2" s="824" t="s">
        <v>23</v>
      </c>
      <c r="O2" s="824"/>
      <c r="P2" s="824"/>
      <c r="Q2" s="824"/>
      <c r="R2" s="824"/>
      <c r="S2" s="824"/>
      <c r="T2" s="824"/>
      <c r="U2" s="824"/>
    </row>
    <row r="3" spans="1:21" x14ac:dyDescent="0.25">
      <c r="A3" s="625"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651"/>
      <c r="O5" s="651"/>
      <c r="P5" s="656"/>
      <c r="Q5" s="656"/>
      <c r="R5" s="5"/>
      <c r="S5" s="5"/>
      <c r="T5" s="5"/>
      <c r="U5" s="5"/>
    </row>
    <row r="6" spans="1:21" ht="12" customHeight="1" x14ac:dyDescent="0.25">
      <c r="A6" s="657"/>
      <c r="B6" s="657"/>
      <c r="C6" s="655"/>
      <c r="D6" s="655"/>
      <c r="E6" s="655"/>
      <c r="F6" s="4"/>
      <c r="G6" s="4"/>
      <c r="H6" s="4"/>
      <c r="I6" s="4"/>
      <c r="N6" s="651"/>
      <c r="O6" s="651"/>
      <c r="P6" s="656"/>
      <c r="Q6" s="656"/>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285"/>
      <c r="G8" s="286"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652"/>
      <c r="O9" s="652"/>
      <c r="P9" s="653"/>
      <c r="Q9" s="653"/>
      <c r="R9" s="14"/>
      <c r="S9" s="14"/>
      <c r="T9" s="15"/>
      <c r="U9" s="721" t="s">
        <v>428</v>
      </c>
    </row>
    <row r="10" spans="1:21" x14ac:dyDescent="0.25">
      <c r="A10" s="7"/>
      <c r="B10" s="7"/>
      <c r="C10" s="600" t="s">
        <v>435</v>
      </c>
      <c r="D10" s="669" t="s">
        <v>436</v>
      </c>
      <c r="E10" s="108" t="s">
        <v>8</v>
      </c>
      <c r="F10" s="806" t="s">
        <v>1</v>
      </c>
      <c r="G10" s="806"/>
      <c r="H10" s="10" t="s">
        <v>74</v>
      </c>
      <c r="I10" s="11" t="s">
        <v>36</v>
      </c>
      <c r="N10" s="652"/>
      <c r="O10" s="652"/>
      <c r="P10" s="653"/>
      <c r="Q10" s="653"/>
      <c r="R10" s="839" t="s">
        <v>1</v>
      </c>
      <c r="S10" s="839"/>
      <c r="T10" s="15" t="s">
        <v>74</v>
      </c>
      <c r="U10" s="16" t="s">
        <v>36</v>
      </c>
    </row>
    <row r="11" spans="1:21" x14ac:dyDescent="0.25">
      <c r="A11" s="797" t="s">
        <v>1</v>
      </c>
      <c r="B11" s="797"/>
      <c r="C11" s="624"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650"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90.63</v>
      </c>
      <c r="D17" s="192">
        <v>97.09</v>
      </c>
      <c r="E17" s="147">
        <f t="shared" si="3"/>
        <v>187.72</v>
      </c>
      <c r="F17" s="814">
        <f>'0664'!F17:G17</f>
        <v>1.01</v>
      </c>
      <c r="G17" s="814"/>
      <c r="H17" s="99">
        <f t="shared" si="4"/>
        <v>189.59719999999999</v>
      </c>
      <c r="I17" s="120">
        <f t="shared" si="0"/>
        <v>864244.97</v>
      </c>
      <c r="N17" s="840" t="s">
        <v>33</v>
      </c>
      <c r="O17" s="840"/>
      <c r="P17" s="841">
        <f t="shared" si="1"/>
        <v>0</v>
      </c>
      <c r="Q17" s="841"/>
      <c r="R17" s="842">
        <v>1</v>
      </c>
      <c r="S17" s="842"/>
      <c r="T17" s="114">
        <f t="shared" si="5"/>
        <v>0</v>
      </c>
      <c r="U17" s="115">
        <f t="shared" si="2"/>
        <v>0</v>
      </c>
    </row>
    <row r="18" spans="1:21" x14ac:dyDescent="0.25">
      <c r="A18" s="764" t="s">
        <v>34</v>
      </c>
      <c r="B18" s="764"/>
      <c r="C18" s="192">
        <v>21.06</v>
      </c>
      <c r="D18" s="192">
        <v>20.07</v>
      </c>
      <c r="E18" s="147">
        <f t="shared" si="3"/>
        <v>41.129999999999995</v>
      </c>
      <c r="F18" s="814">
        <f>'0664'!F18:G18</f>
        <v>1.01</v>
      </c>
      <c r="G18" s="814"/>
      <c r="H18" s="99">
        <f t="shared" si="4"/>
        <v>41.5413</v>
      </c>
      <c r="I18" s="120">
        <f t="shared" si="0"/>
        <v>189358.6</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11.52</v>
      </c>
      <c r="D27" s="192">
        <v>10.35</v>
      </c>
      <c r="E27" s="147">
        <f t="shared" si="3"/>
        <v>21.869999999999997</v>
      </c>
      <c r="F27" s="814">
        <f>'0664'!F27:G27</f>
        <v>1.1990000000000001</v>
      </c>
      <c r="G27" s="814"/>
      <c r="H27" s="99">
        <f t="shared" si="4"/>
        <v>26.222100000000001</v>
      </c>
      <c r="I27" s="120">
        <f t="shared" si="0"/>
        <v>119528.76</v>
      </c>
      <c r="N27" s="840" t="s">
        <v>118</v>
      </c>
      <c r="O27" s="840"/>
      <c r="P27" s="841">
        <f t="shared" si="1"/>
        <v>0</v>
      </c>
      <c r="Q27" s="841"/>
      <c r="R27" s="842">
        <v>1</v>
      </c>
      <c r="S27" s="842"/>
      <c r="T27" s="114">
        <f t="shared" si="5"/>
        <v>0</v>
      </c>
      <c r="U27" s="115">
        <f t="shared" si="2"/>
        <v>0</v>
      </c>
    </row>
    <row r="28" spans="1:21" x14ac:dyDescent="0.25">
      <c r="A28" s="790" t="s">
        <v>119</v>
      </c>
      <c r="B28" s="790"/>
      <c r="C28" s="137">
        <v>12.95</v>
      </c>
      <c r="D28" s="137">
        <v>12.25</v>
      </c>
      <c r="E28" s="147">
        <f t="shared" si="3"/>
        <v>25.2</v>
      </c>
      <c r="F28" s="815">
        <f>'0664'!F28:G28</f>
        <v>1.01</v>
      </c>
      <c r="G28" s="815"/>
      <c r="H28" s="112">
        <f t="shared" si="4"/>
        <v>25.452000000000002</v>
      </c>
      <c r="I28" s="113">
        <f t="shared" si="0"/>
        <v>116018.4</v>
      </c>
      <c r="N28" s="845" t="s">
        <v>119</v>
      </c>
      <c r="O28" s="845"/>
      <c r="P28" s="841">
        <f t="shared" si="1"/>
        <v>0</v>
      </c>
      <c r="Q28" s="841"/>
      <c r="R28" s="846">
        <v>1</v>
      </c>
      <c r="S28" s="846"/>
      <c r="T28" s="114">
        <f t="shared" si="5"/>
        <v>0</v>
      </c>
      <c r="U28" s="115">
        <f t="shared" si="2"/>
        <v>0</v>
      </c>
    </row>
    <row r="29" spans="1:21" x14ac:dyDescent="0.25">
      <c r="A29" s="828" t="s">
        <v>5</v>
      </c>
      <c r="B29" s="828"/>
      <c r="C29" s="113">
        <f>SUM(C13:C28)</f>
        <v>136.16</v>
      </c>
      <c r="D29" s="113">
        <f>SUM(D13:D28)</f>
        <v>139.76</v>
      </c>
      <c r="E29" s="116">
        <f>SUM(E13:E28)</f>
        <v>275.92</v>
      </c>
      <c r="F29" s="820"/>
      <c r="G29" s="820"/>
      <c r="H29" s="118">
        <f>SUM(H13:H28)</f>
        <v>282.81259999999997</v>
      </c>
      <c r="I29" s="113">
        <f>SUM(I13:I28)</f>
        <v>1289150.73</v>
      </c>
      <c r="N29" s="850" t="s">
        <v>5</v>
      </c>
      <c r="O29" s="850"/>
      <c r="P29" s="851">
        <f>SUM(P13:P28)</f>
        <v>0</v>
      </c>
      <c r="Q29" s="851"/>
      <c r="R29" s="852"/>
      <c r="S29" s="852"/>
      <c r="T29" s="119">
        <f>SUM(T13:T28)</f>
        <v>0</v>
      </c>
      <c r="U29" s="115">
        <f>SUM(U13:U28)</f>
        <v>0</v>
      </c>
    </row>
    <row r="30" spans="1:21" x14ac:dyDescent="0.25">
      <c r="A30" s="658"/>
      <c r="B30" s="658"/>
      <c r="C30" s="120"/>
      <c r="D30" s="120"/>
      <c r="E30" s="120"/>
      <c r="F30" s="659"/>
      <c r="G30" s="659"/>
      <c r="H30" s="99"/>
      <c r="I30" s="120"/>
      <c r="N30" s="647"/>
      <c r="O30" s="647"/>
      <c r="P30" s="30"/>
      <c r="Q30" s="30"/>
      <c r="R30" s="648"/>
      <c r="S30" s="648"/>
      <c r="T30" s="121"/>
      <c r="U30" s="122"/>
    </row>
    <row r="31" spans="1:21" x14ac:dyDescent="0.25">
      <c r="A31" s="195" t="s">
        <v>99</v>
      </c>
      <c r="B31" s="658"/>
      <c r="C31" s="120"/>
      <c r="D31" s="120"/>
      <c r="E31" s="120"/>
      <c r="F31" s="659"/>
      <c r="G31" s="659"/>
      <c r="H31" s="99"/>
      <c r="I31" s="120"/>
      <c r="N31" s="647"/>
      <c r="O31" s="647"/>
      <c r="P31" s="30"/>
      <c r="Q31" s="30"/>
      <c r="R31" s="648"/>
      <c r="S31" s="648"/>
      <c r="T31" s="121"/>
      <c r="U31" s="122"/>
    </row>
    <row r="32" spans="1:21" hidden="1" x14ac:dyDescent="0.25">
      <c r="A32" s="195"/>
      <c r="B32" s="658"/>
      <c r="C32" s="120"/>
      <c r="D32" s="120"/>
      <c r="E32" s="120"/>
      <c r="F32" s="659"/>
      <c r="G32" s="659"/>
      <c r="H32" s="99"/>
      <c r="I32" s="120"/>
      <c r="N32" s="647"/>
      <c r="O32" s="647"/>
      <c r="P32" s="30"/>
      <c r="Q32" s="30"/>
      <c r="R32" s="648"/>
      <c r="S32" s="648"/>
      <c r="T32" s="121"/>
      <c r="U32" s="122"/>
    </row>
    <row r="33" spans="1:21" hidden="1" x14ac:dyDescent="0.25">
      <c r="A33" s="195"/>
      <c r="B33" s="658"/>
      <c r="C33" s="120"/>
      <c r="D33" s="120"/>
      <c r="E33" s="120"/>
      <c r="F33" s="887" t="s">
        <v>298</v>
      </c>
      <c r="G33" s="887"/>
      <c r="H33" s="887"/>
      <c r="I33" s="120"/>
      <c r="N33" s="647"/>
      <c r="O33" s="647"/>
      <c r="P33" s="30"/>
      <c r="Q33" s="30"/>
      <c r="R33" s="648"/>
      <c r="S33" s="648"/>
      <c r="T33" s="121"/>
      <c r="U33" s="122"/>
    </row>
    <row r="34" spans="1:21" hidden="1" x14ac:dyDescent="0.25">
      <c r="A34" s="3"/>
      <c r="B34" s="646"/>
      <c r="C34" s="646"/>
      <c r="D34" s="646"/>
      <c r="E34" s="646"/>
      <c r="F34" s="887"/>
      <c r="G34" s="887"/>
      <c r="H34" s="887"/>
      <c r="I34" s="25" t="s">
        <v>75</v>
      </c>
      <c r="N34" s="853" t="s">
        <v>35</v>
      </c>
      <c r="O34" s="853"/>
      <c r="P34" s="853"/>
      <c r="Q34" s="853"/>
      <c r="R34" s="853"/>
      <c r="S34" s="853"/>
      <c r="T34" s="853"/>
      <c r="U34" s="26" t="s">
        <v>75</v>
      </c>
    </row>
    <row r="35" spans="1:21" hidden="1" x14ac:dyDescent="0.25">
      <c r="A35" s="658"/>
      <c r="B35" s="658"/>
      <c r="C35" s="600" t="s">
        <v>126</v>
      </c>
      <c r="D35" s="600" t="s">
        <v>127</v>
      </c>
      <c r="E35" s="108" t="s">
        <v>8</v>
      </c>
      <c r="F35" s="887"/>
      <c r="G35" s="887"/>
      <c r="H35" s="887"/>
      <c r="I35" s="25" t="s">
        <v>36</v>
      </c>
      <c r="N35" s="647"/>
      <c r="O35" s="647"/>
      <c r="P35" s="30"/>
      <c r="Q35" s="30"/>
      <c r="R35" s="648"/>
      <c r="S35" s="648"/>
      <c r="T35" s="121"/>
      <c r="U35" s="26" t="s">
        <v>36</v>
      </c>
    </row>
    <row r="36" spans="1:21" hidden="1" x14ac:dyDescent="0.25">
      <c r="A36" s="797" t="s">
        <v>64</v>
      </c>
      <c r="B36" s="797"/>
      <c r="C36" s="601" t="s">
        <v>2</v>
      </c>
      <c r="D36" s="601" t="s">
        <v>2</v>
      </c>
      <c r="E36" s="601"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191">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93">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93">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93">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93">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18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idden="1" x14ac:dyDescent="0.25">
      <c r="A44" s="61"/>
      <c r="B44" s="127"/>
      <c r="C44" s="120"/>
      <c r="D44" s="120"/>
      <c r="E44" s="140"/>
      <c r="F44" s="33"/>
      <c r="G44" s="128"/>
      <c r="H44" s="129"/>
      <c r="I44" s="120"/>
      <c r="N44" s="647"/>
      <c r="O44" s="647"/>
      <c r="P44" s="647"/>
      <c r="Q44" s="647"/>
      <c r="R44" s="35"/>
      <c r="S44" s="648"/>
      <c r="T44" s="648"/>
      <c r="U44" s="122"/>
    </row>
    <row r="45" spans="1:21" ht="16.5" hidden="1" thickBot="1" x14ac:dyDescent="0.3">
      <c r="A45" s="61"/>
      <c r="B45" s="127" t="s">
        <v>129</v>
      </c>
      <c r="C45" s="61"/>
      <c r="D45" s="61"/>
      <c r="E45" s="201">
        <f>H29+E43</f>
        <v>282.81259999999997</v>
      </c>
      <c r="F45" s="36"/>
      <c r="G45" s="128"/>
      <c r="H45" s="129" t="s">
        <v>131</v>
      </c>
      <c r="I45" s="113">
        <f>SUM(I43,I29)</f>
        <v>1289150.73</v>
      </c>
      <c r="N45" s="855" t="s">
        <v>56</v>
      </c>
      <c r="O45" s="855"/>
      <c r="P45" s="855"/>
      <c r="Q45" s="855"/>
      <c r="R45" s="37">
        <f>R43+T29</f>
        <v>0</v>
      </c>
      <c r="S45" s="852" t="s">
        <v>54</v>
      </c>
      <c r="T45" s="852"/>
      <c r="U45" s="130">
        <f>SUM(U43,U29)</f>
        <v>0</v>
      </c>
    </row>
    <row r="46" spans="1:21" hidden="1" x14ac:dyDescent="0.25">
      <c r="A46" s="658"/>
      <c r="B46" s="658"/>
      <c r="C46" s="658"/>
      <c r="D46" s="658"/>
      <c r="E46" s="658"/>
      <c r="F46" s="36"/>
      <c r="G46" s="649"/>
      <c r="H46" s="649"/>
      <c r="I46" s="120"/>
      <c r="N46" s="647"/>
      <c r="O46" s="647"/>
      <c r="P46" s="647"/>
      <c r="Q46" s="647"/>
      <c r="R46" s="37"/>
      <c r="S46" s="648"/>
      <c r="T46" s="648"/>
      <c r="U46" s="122"/>
    </row>
    <row r="47" spans="1:21" x14ac:dyDescent="0.25">
      <c r="A47" s="658"/>
      <c r="B47" s="127" t="s">
        <v>391</v>
      </c>
      <c r="C47" s="671" t="s">
        <v>391</v>
      </c>
      <c r="D47" s="671" t="s">
        <v>391</v>
      </c>
      <c r="E47" s="658"/>
      <c r="F47" s="36"/>
      <c r="G47" s="649"/>
      <c r="H47" s="649"/>
      <c r="I47" s="120"/>
      <c r="N47" s="647"/>
      <c r="O47" s="647"/>
      <c r="P47" s="647"/>
      <c r="Q47" s="647"/>
      <c r="R47" s="37"/>
      <c r="S47" s="648"/>
      <c r="T47" s="648"/>
      <c r="U47" s="122"/>
    </row>
    <row r="48" spans="1:21" x14ac:dyDescent="0.25">
      <c r="A48" s="658"/>
      <c r="B48" s="658"/>
      <c r="C48" s="600" t="s">
        <v>435</v>
      </c>
      <c r="D48" s="669" t="s">
        <v>436</v>
      </c>
      <c r="E48" s="108" t="s">
        <v>8</v>
      </c>
      <c r="F48" s="132" t="s">
        <v>132</v>
      </c>
      <c r="G48" s="133" t="s">
        <v>134</v>
      </c>
      <c r="H48" s="134" t="s">
        <v>135</v>
      </c>
      <c r="I48" s="120"/>
      <c r="N48" s="647"/>
      <c r="O48" s="647"/>
      <c r="P48" s="647"/>
      <c r="Q48" s="647"/>
      <c r="R48" s="37"/>
      <c r="S48" s="648"/>
      <c r="T48" s="648"/>
      <c r="U48" s="122"/>
    </row>
    <row r="49" spans="1:21" x14ac:dyDescent="0.25">
      <c r="A49" s="38" t="s">
        <v>89</v>
      </c>
      <c r="B49" s="38"/>
      <c r="C49" s="624" t="s">
        <v>2</v>
      </c>
      <c r="D49" s="622" t="s">
        <v>2</v>
      </c>
      <c r="E49" s="622" t="s">
        <v>2</v>
      </c>
      <c r="F49" s="650" t="s">
        <v>133</v>
      </c>
      <c r="G49" s="637" t="s">
        <v>133</v>
      </c>
      <c r="H49" s="135" t="s">
        <v>136</v>
      </c>
      <c r="I49" s="38"/>
      <c r="N49" s="845" t="s">
        <v>89</v>
      </c>
      <c r="O49" s="845"/>
      <c r="P49" s="856" t="s">
        <v>2</v>
      </c>
      <c r="Q49" s="856"/>
      <c r="R49" s="39" t="s">
        <v>25</v>
      </c>
      <c r="S49" s="633" t="s">
        <v>26</v>
      </c>
      <c r="T49" s="136" t="s">
        <v>27</v>
      </c>
      <c r="U49" s="39"/>
    </row>
    <row r="50" spans="1:21" x14ac:dyDescent="0.25">
      <c r="A50" s="791" t="s">
        <v>100</v>
      </c>
      <c r="B50" s="791"/>
      <c r="C50" s="192">
        <v>0</v>
      </c>
      <c r="D50" s="192">
        <v>0</v>
      </c>
      <c r="E50" s="147">
        <f>IF(D$59=0,C50*2,C50+D50)</f>
        <v>0</v>
      </c>
      <c r="F50" s="634" t="s">
        <v>21</v>
      </c>
      <c r="G50" s="644">
        <v>251</v>
      </c>
      <c r="H50" s="485">
        <f>'0664'!H50</f>
        <v>1047</v>
      </c>
      <c r="I50" s="120">
        <f>ROUND(E50*H50,2)</f>
        <v>0</v>
      </c>
      <c r="N50" s="863" t="s">
        <v>28</v>
      </c>
      <c r="O50" s="863"/>
      <c r="P50" s="864"/>
      <c r="Q50" s="864"/>
      <c r="R50" s="635" t="s">
        <v>21</v>
      </c>
      <c r="S50" s="654">
        <v>251</v>
      </c>
      <c r="T50" s="138">
        <f>H50</f>
        <v>1047</v>
      </c>
      <c r="U50" s="139">
        <f>ROUND(P50*T50,0)</f>
        <v>0</v>
      </c>
    </row>
    <row r="51" spans="1:21" x14ac:dyDescent="0.25">
      <c r="A51" s="792"/>
      <c r="B51" s="792"/>
      <c r="C51" s="192">
        <v>0</v>
      </c>
      <c r="D51" s="192">
        <v>0</v>
      </c>
      <c r="E51" s="147">
        <f t="shared" ref="E51:E58" si="10">IF(D$59=0,C51*2,C51+D51)</f>
        <v>0</v>
      </c>
      <c r="F51" s="644" t="s">
        <v>21</v>
      </c>
      <c r="G51" s="644">
        <v>252</v>
      </c>
      <c r="H51" s="485">
        <f>'0664'!H51</f>
        <v>3380</v>
      </c>
      <c r="I51" s="120">
        <f t="shared" ref="I51:I58" si="11">ROUND(E51*H51,2)</f>
        <v>0</v>
      </c>
      <c r="N51" s="863"/>
      <c r="O51" s="863"/>
      <c r="P51" s="865"/>
      <c r="Q51" s="865"/>
      <c r="R51" s="654" t="s">
        <v>21</v>
      </c>
      <c r="S51" s="654">
        <v>252</v>
      </c>
      <c r="T51" s="138">
        <f t="shared" ref="T51:T58" si="12">H51</f>
        <v>3380</v>
      </c>
      <c r="U51" s="139">
        <f t="shared" ref="U51:U58" si="13">ROUND(P51*T51,0)</f>
        <v>0</v>
      </c>
    </row>
    <row r="52" spans="1:21" x14ac:dyDescent="0.25">
      <c r="A52" s="792"/>
      <c r="B52" s="792"/>
      <c r="C52" s="192">
        <v>0</v>
      </c>
      <c r="D52" s="192">
        <v>0</v>
      </c>
      <c r="E52" s="147">
        <f t="shared" si="10"/>
        <v>0</v>
      </c>
      <c r="F52" s="644" t="s">
        <v>21</v>
      </c>
      <c r="G52" s="644">
        <v>253</v>
      </c>
      <c r="H52" s="485">
        <f>'0664'!H52</f>
        <v>6896</v>
      </c>
      <c r="I52" s="120">
        <f t="shared" si="11"/>
        <v>0</v>
      </c>
      <c r="N52" s="863"/>
      <c r="O52" s="863"/>
      <c r="P52" s="865"/>
      <c r="Q52" s="865"/>
      <c r="R52" s="654" t="s">
        <v>21</v>
      </c>
      <c r="S52" s="654">
        <v>253</v>
      </c>
      <c r="T52" s="138">
        <f t="shared" si="12"/>
        <v>6896</v>
      </c>
      <c r="U52" s="139">
        <f t="shared" si="13"/>
        <v>0</v>
      </c>
    </row>
    <row r="53" spans="1:21" x14ac:dyDescent="0.25">
      <c r="A53" s="792"/>
      <c r="B53" s="792"/>
      <c r="C53" s="192">
        <v>0</v>
      </c>
      <c r="D53" s="192">
        <v>0</v>
      </c>
      <c r="E53" s="147">
        <f t="shared" si="10"/>
        <v>0</v>
      </c>
      <c r="F53" s="660" t="s">
        <v>14</v>
      </c>
      <c r="G53" s="644">
        <v>251</v>
      </c>
      <c r="H53" s="485">
        <f>'0664'!H53</f>
        <v>1173</v>
      </c>
      <c r="I53" s="120">
        <f t="shared" si="11"/>
        <v>0</v>
      </c>
      <c r="N53" s="863"/>
      <c r="O53" s="863"/>
      <c r="P53" s="865"/>
      <c r="Q53" s="865"/>
      <c r="R53" s="45" t="s">
        <v>14</v>
      </c>
      <c r="S53" s="654">
        <v>251</v>
      </c>
      <c r="T53" s="138">
        <f t="shared" si="12"/>
        <v>1173</v>
      </c>
      <c r="U53" s="139">
        <f t="shared" si="13"/>
        <v>0</v>
      </c>
    </row>
    <row r="54" spans="1:21" x14ac:dyDescent="0.25">
      <c r="A54" s="792"/>
      <c r="B54" s="792"/>
      <c r="C54" s="192">
        <v>0</v>
      </c>
      <c r="D54" s="192">
        <v>0</v>
      </c>
      <c r="E54" s="147">
        <f t="shared" si="10"/>
        <v>0</v>
      </c>
      <c r="F54" s="660" t="s">
        <v>14</v>
      </c>
      <c r="G54" s="644">
        <v>252</v>
      </c>
      <c r="H54" s="485">
        <f>'0664'!H54</f>
        <v>3506</v>
      </c>
      <c r="I54" s="120">
        <f t="shared" si="11"/>
        <v>0</v>
      </c>
      <c r="N54" s="863"/>
      <c r="O54" s="863"/>
      <c r="P54" s="865"/>
      <c r="Q54" s="865"/>
      <c r="R54" s="45" t="s">
        <v>14</v>
      </c>
      <c r="S54" s="654">
        <v>252</v>
      </c>
      <c r="T54" s="138">
        <f t="shared" si="12"/>
        <v>3506</v>
      </c>
      <c r="U54" s="139">
        <f t="shared" si="13"/>
        <v>0</v>
      </c>
    </row>
    <row r="55" spans="1:21" x14ac:dyDescent="0.25">
      <c r="A55" s="792"/>
      <c r="B55" s="792"/>
      <c r="C55" s="192">
        <v>0</v>
      </c>
      <c r="D55" s="192">
        <v>0</v>
      </c>
      <c r="E55" s="147">
        <f t="shared" si="10"/>
        <v>0</v>
      </c>
      <c r="F55" s="660" t="s">
        <v>14</v>
      </c>
      <c r="G55" s="644">
        <v>253</v>
      </c>
      <c r="H55" s="485">
        <f>'0664'!H55</f>
        <v>7023</v>
      </c>
      <c r="I55" s="120">
        <f t="shared" si="11"/>
        <v>0</v>
      </c>
      <c r="N55" s="863"/>
      <c r="O55" s="863"/>
      <c r="P55" s="865"/>
      <c r="Q55" s="865"/>
      <c r="R55" s="45" t="s">
        <v>14</v>
      </c>
      <c r="S55" s="654">
        <v>253</v>
      </c>
      <c r="T55" s="138">
        <f t="shared" si="12"/>
        <v>7023</v>
      </c>
      <c r="U55" s="139">
        <f t="shared" si="13"/>
        <v>0</v>
      </c>
    </row>
    <row r="56" spans="1:21" x14ac:dyDescent="0.25">
      <c r="A56" s="792"/>
      <c r="B56" s="792"/>
      <c r="C56" s="192">
        <v>20.04</v>
      </c>
      <c r="D56" s="192">
        <v>19.57</v>
      </c>
      <c r="E56" s="147">
        <f t="shared" si="10"/>
        <v>39.61</v>
      </c>
      <c r="F56" s="660" t="s">
        <v>15</v>
      </c>
      <c r="G56" s="644">
        <v>251</v>
      </c>
      <c r="H56" s="485">
        <f>'0664'!H56</f>
        <v>835</v>
      </c>
      <c r="I56" s="120">
        <f t="shared" si="11"/>
        <v>33074.35</v>
      </c>
      <c r="N56" s="863"/>
      <c r="O56" s="863"/>
      <c r="P56" s="865"/>
      <c r="Q56" s="865"/>
      <c r="R56" s="45" t="s">
        <v>15</v>
      </c>
      <c r="S56" s="654">
        <v>251</v>
      </c>
      <c r="T56" s="138">
        <f t="shared" si="12"/>
        <v>835</v>
      </c>
      <c r="U56" s="139">
        <f t="shared" si="13"/>
        <v>0</v>
      </c>
    </row>
    <row r="57" spans="1:21" x14ac:dyDescent="0.25">
      <c r="A57" s="792"/>
      <c r="B57" s="792"/>
      <c r="C57" s="192">
        <v>1.02</v>
      </c>
      <c r="D57" s="192">
        <v>0.5</v>
      </c>
      <c r="E57" s="147">
        <f t="shared" si="10"/>
        <v>1.52</v>
      </c>
      <c r="F57" s="660" t="s">
        <v>15</v>
      </c>
      <c r="G57" s="644">
        <v>252</v>
      </c>
      <c r="H57" s="485">
        <f>'0664'!H57</f>
        <v>3168</v>
      </c>
      <c r="I57" s="120">
        <f t="shared" si="11"/>
        <v>4815.3599999999997</v>
      </c>
      <c r="N57" s="863"/>
      <c r="O57" s="863"/>
      <c r="P57" s="865"/>
      <c r="Q57" s="865"/>
      <c r="R57" s="45" t="s">
        <v>15</v>
      </c>
      <c r="S57" s="654">
        <v>252</v>
      </c>
      <c r="T57" s="138">
        <f t="shared" si="12"/>
        <v>3168</v>
      </c>
      <c r="U57" s="139">
        <f t="shared" si="13"/>
        <v>0</v>
      </c>
    </row>
    <row r="58" spans="1:21" ht="16.5" thickBot="1" x14ac:dyDescent="0.3">
      <c r="A58" s="792"/>
      <c r="B58" s="792"/>
      <c r="C58" s="192">
        <v>0</v>
      </c>
      <c r="D58" s="192">
        <v>0</v>
      </c>
      <c r="E58" s="147">
        <f t="shared" si="10"/>
        <v>0</v>
      </c>
      <c r="F58" s="660" t="s">
        <v>15</v>
      </c>
      <c r="G58" s="644">
        <v>253</v>
      </c>
      <c r="H58" s="485">
        <f>'0664'!H58</f>
        <v>6685</v>
      </c>
      <c r="I58" s="120">
        <f t="shared" si="11"/>
        <v>0</v>
      </c>
      <c r="N58" s="863"/>
      <c r="O58" s="863"/>
      <c r="P58" s="866"/>
      <c r="Q58" s="866"/>
      <c r="R58" s="45" t="s">
        <v>15</v>
      </c>
      <c r="S58" s="654">
        <v>253</v>
      </c>
      <c r="T58" s="138">
        <f t="shared" si="12"/>
        <v>6685</v>
      </c>
      <c r="U58" s="141">
        <f t="shared" si="13"/>
        <v>0</v>
      </c>
    </row>
    <row r="59" spans="1:21" ht="16.5" thickBot="1" x14ac:dyDescent="0.3">
      <c r="A59" s="767" t="s">
        <v>16</v>
      </c>
      <c r="B59" s="767"/>
      <c r="C59" s="116">
        <f>SUM(C50:C58)</f>
        <v>21.06</v>
      </c>
      <c r="D59" s="116">
        <f>SUM(D50:D58)</f>
        <v>20.07</v>
      </c>
      <c r="E59" s="116">
        <f>SUM(E50:E58)</f>
        <v>41.13</v>
      </c>
      <c r="F59" s="767" t="s">
        <v>78</v>
      </c>
      <c r="G59" s="767"/>
      <c r="H59" s="767"/>
      <c r="I59" s="116">
        <f>SUM(I50:I58)</f>
        <v>37889.71</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275.92</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626"/>
      <c r="G63" s="47" t="s">
        <v>13</v>
      </c>
      <c r="H63" s="145">
        <f>ROUND(C62/H62,6)</f>
        <v>1.446E-3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282.81259999999997</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594"/>
      <c r="G66" s="48" t="s">
        <v>13</v>
      </c>
      <c r="H66" s="149">
        <f>ROUND(C65/H65,6)</f>
        <v>1.3190000000000001E-3</v>
      </c>
      <c r="I66" s="149"/>
      <c r="N66" s="845" t="s">
        <v>20</v>
      </c>
      <c r="O66" s="845"/>
      <c r="P66" s="845"/>
      <c r="Q66" s="845"/>
      <c r="R66" s="845"/>
      <c r="S66" s="845"/>
      <c r="T66" s="867">
        <f>ROUND(P65/T65,6)</f>
        <v>0</v>
      </c>
      <c r="U66" s="867"/>
    </row>
    <row r="67" spans="1:21" s="61" customFormat="1" x14ac:dyDescent="0.25">
      <c r="A67" s="626"/>
      <c r="G67" s="47"/>
      <c r="H67" s="150"/>
      <c r="I67" s="150"/>
      <c r="N67" s="636"/>
      <c r="O67" s="636"/>
      <c r="P67" s="636"/>
      <c r="Q67" s="636"/>
      <c r="R67" s="632"/>
      <c r="S67" s="636"/>
      <c r="T67" s="153"/>
      <c r="U67" s="645"/>
    </row>
    <row r="68" spans="1:21" x14ac:dyDescent="0.25">
      <c r="A68" s="764" t="s">
        <v>87</v>
      </c>
      <c r="B68" s="764"/>
      <c r="C68" s="764"/>
      <c r="D68" s="626"/>
      <c r="E68" s="642" t="s">
        <v>3</v>
      </c>
      <c r="F68" s="544">
        <f>'0664'!F68</f>
        <v>42029577</v>
      </c>
      <c r="G68" s="634" t="s">
        <v>6</v>
      </c>
      <c r="H68" s="155">
        <f>H63</f>
        <v>1.446E-3</v>
      </c>
      <c r="I68" s="120">
        <f>ROUND(F68*H68,2)</f>
        <v>60774.77</v>
      </c>
      <c r="N68" s="840" t="s">
        <v>87</v>
      </c>
      <c r="O68" s="840"/>
      <c r="P68" s="840"/>
      <c r="Q68" s="50"/>
      <c r="R68" s="156">
        <f>F68</f>
        <v>42029577</v>
      </c>
      <c r="S68" s="635" t="s">
        <v>6</v>
      </c>
      <c r="T68" s="157">
        <f>T63</f>
        <v>0</v>
      </c>
      <c r="U68" s="115">
        <f>ROUND(R68*T68,0)</f>
        <v>0</v>
      </c>
    </row>
    <row r="69" spans="1:21" x14ac:dyDescent="0.25">
      <c r="A69" s="811" t="s">
        <v>98</v>
      </c>
      <c r="B69" s="764"/>
      <c r="C69" s="764"/>
      <c r="D69" s="626"/>
      <c r="E69" s="642"/>
      <c r="F69" s="202"/>
      <c r="G69" s="634"/>
      <c r="H69" s="155"/>
      <c r="I69" s="120"/>
      <c r="N69" s="840" t="s">
        <v>86</v>
      </c>
      <c r="O69" s="840"/>
      <c r="P69" s="840"/>
      <c r="Q69" s="158"/>
      <c r="R69" s="158"/>
      <c r="S69" s="158"/>
      <c r="T69" s="158"/>
      <c r="U69" s="158"/>
    </row>
    <row r="70" spans="1:21" x14ac:dyDescent="0.25">
      <c r="A70" s="813" t="s">
        <v>143</v>
      </c>
      <c r="B70" s="764"/>
      <c r="C70" s="764"/>
      <c r="D70" s="626"/>
      <c r="E70" s="642" t="s">
        <v>3</v>
      </c>
      <c r="F70" s="544">
        <f>'0664'!F70</f>
        <v>0</v>
      </c>
      <c r="G70" s="634" t="s">
        <v>6</v>
      </c>
      <c r="H70" s="155">
        <f>H63</f>
        <v>1.446E-3</v>
      </c>
      <c r="I70" s="120">
        <f>ROUND(F70*H70,2)</f>
        <v>0</v>
      </c>
      <c r="N70" s="631"/>
      <c r="O70" s="631"/>
      <c r="P70" s="631"/>
      <c r="Q70" s="50"/>
      <c r="R70" s="156">
        <f>F70</f>
        <v>0</v>
      </c>
      <c r="S70" s="635" t="s">
        <v>6</v>
      </c>
      <c r="T70" s="157">
        <f>T63</f>
        <v>0</v>
      </c>
      <c r="U70" s="115">
        <f>ROUND(R70*T70,0)</f>
        <v>0</v>
      </c>
    </row>
    <row r="71" spans="1:21" x14ac:dyDescent="0.25">
      <c r="A71" s="764" t="s">
        <v>85</v>
      </c>
      <c r="B71" s="764"/>
      <c r="C71" s="764"/>
      <c r="D71" s="556" t="s">
        <v>358</v>
      </c>
      <c r="E71" s="642" t="s">
        <v>372</v>
      </c>
      <c r="F71" s="544">
        <f>'0664'!F71</f>
        <v>146607</v>
      </c>
      <c r="G71" s="634" t="s">
        <v>6</v>
      </c>
      <c r="H71" s="155">
        <f>H63</f>
        <v>1.446E-3</v>
      </c>
      <c r="I71" s="120">
        <f>IF(D71="Y",ROUND(F71*H71,2),0)</f>
        <v>211.99</v>
      </c>
      <c r="N71" s="840" t="s">
        <v>85</v>
      </c>
      <c r="O71" s="840"/>
      <c r="P71" s="840"/>
      <c r="Q71" s="50"/>
      <c r="R71" s="156">
        <f>F71</f>
        <v>146607</v>
      </c>
      <c r="S71" s="635" t="s">
        <v>6</v>
      </c>
      <c r="T71" s="157">
        <f>T63</f>
        <v>0</v>
      </c>
      <c r="U71" s="115">
        <f>ROUND(R71*T71,0)</f>
        <v>0</v>
      </c>
    </row>
    <row r="72" spans="1:21" x14ac:dyDescent="0.25">
      <c r="A72" s="764" t="s">
        <v>84</v>
      </c>
      <c r="B72" s="764"/>
      <c r="C72" s="764"/>
      <c r="D72" s="626"/>
      <c r="E72" s="642" t="s">
        <v>3</v>
      </c>
      <c r="F72" s="544">
        <f>'0664'!F72</f>
        <v>11337910</v>
      </c>
      <c r="G72" s="634" t="s">
        <v>6</v>
      </c>
      <c r="H72" s="155">
        <f>H63</f>
        <v>1.446E-3</v>
      </c>
      <c r="I72" s="120">
        <f>ROUND(F72*H72,2)</f>
        <v>16394.62</v>
      </c>
      <c r="N72" s="840" t="s">
        <v>84</v>
      </c>
      <c r="O72" s="840"/>
      <c r="P72" s="840"/>
      <c r="Q72" s="50"/>
      <c r="R72" s="156">
        <f>F72</f>
        <v>11337910</v>
      </c>
      <c r="S72" s="635" t="s">
        <v>6</v>
      </c>
      <c r="T72" s="157">
        <f>T63</f>
        <v>0</v>
      </c>
      <c r="U72" s="115">
        <f>ROUND(R72*T72,0)</f>
        <v>0</v>
      </c>
    </row>
    <row r="73" spans="1:21" x14ac:dyDescent="0.25">
      <c r="A73" s="764" t="s">
        <v>83</v>
      </c>
      <c r="B73" s="764"/>
      <c r="C73" s="764"/>
      <c r="D73" s="626"/>
      <c r="E73" s="642" t="s">
        <v>3</v>
      </c>
      <c r="F73" s="544">
        <f>'0664'!F73</f>
        <v>13882385</v>
      </c>
      <c r="G73" s="634" t="s">
        <v>6</v>
      </c>
      <c r="H73" s="155">
        <f>H63</f>
        <v>1.446E-3</v>
      </c>
      <c r="I73" s="120">
        <f>ROUND(F73*H73,2)</f>
        <v>20073.93</v>
      </c>
      <c r="N73" s="840" t="s">
        <v>83</v>
      </c>
      <c r="O73" s="840"/>
      <c r="P73" s="840"/>
      <c r="Q73" s="50"/>
      <c r="R73" s="159">
        <f>F73</f>
        <v>13882385</v>
      </c>
      <c r="S73" s="635" t="s">
        <v>6</v>
      </c>
      <c r="T73" s="157">
        <f>T63</f>
        <v>0</v>
      </c>
      <c r="U73" s="115">
        <f>ROUND(R73*T73,0)</f>
        <v>0</v>
      </c>
    </row>
    <row r="74" spans="1:21" x14ac:dyDescent="0.25">
      <c r="A74" s="337" t="s">
        <v>101</v>
      </c>
      <c r="D74" s="626"/>
      <c r="E74" s="660"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626"/>
      <c r="C76" s="626"/>
      <c r="D76" s="626"/>
      <c r="E76" s="626"/>
      <c r="F76" s="626"/>
      <c r="G76" s="626"/>
      <c r="H76" s="626"/>
      <c r="I76" s="160"/>
      <c r="N76" s="687" t="s">
        <v>44</v>
      </c>
      <c r="O76" s="631"/>
      <c r="P76" s="631"/>
      <c r="Q76" s="631"/>
      <c r="R76" s="631"/>
      <c r="S76" s="631"/>
      <c r="T76" s="631"/>
      <c r="U76" s="122"/>
    </row>
    <row r="77" spans="1:21" x14ac:dyDescent="0.25">
      <c r="A77" s="765" t="s">
        <v>387</v>
      </c>
      <c r="B77" s="764"/>
      <c r="C77" s="764"/>
      <c r="D77" s="626"/>
      <c r="E77" s="642" t="s">
        <v>3</v>
      </c>
      <c r="F77" s="544">
        <f>'0664'!F77</f>
        <v>7462542</v>
      </c>
      <c r="G77" s="634" t="s">
        <v>6</v>
      </c>
      <c r="H77" s="155">
        <f>H63</f>
        <v>1.446E-3</v>
      </c>
      <c r="I77" s="120">
        <f t="shared" ref="I77:I82" si="14">ROUND(F77*H77,2)</f>
        <v>10790.84</v>
      </c>
      <c r="N77" s="860" t="s">
        <v>387</v>
      </c>
      <c r="O77" s="840"/>
      <c r="P77" s="840"/>
      <c r="Q77" s="50"/>
      <c r="R77" s="159">
        <f t="shared" ref="R77:R83" si="15">F77</f>
        <v>7462542</v>
      </c>
      <c r="S77" s="635" t="s">
        <v>6</v>
      </c>
      <c r="T77" s="157">
        <f>T64</f>
        <v>0</v>
      </c>
      <c r="U77" s="115">
        <f t="shared" ref="U77:U82" si="16">ROUND(R77*T77,0)</f>
        <v>0</v>
      </c>
    </row>
    <row r="78" spans="1:21" x14ac:dyDescent="0.25">
      <c r="A78" s="765" t="s">
        <v>388</v>
      </c>
      <c r="B78" s="764"/>
      <c r="C78" s="764"/>
      <c r="D78" s="626"/>
      <c r="E78" s="642" t="s">
        <v>3</v>
      </c>
      <c r="F78" s="544">
        <f>'0664'!F78</f>
        <v>0</v>
      </c>
      <c r="G78" s="634" t="s">
        <v>6</v>
      </c>
      <c r="H78" s="155">
        <f>H63</f>
        <v>1.446E-3</v>
      </c>
      <c r="I78" s="120">
        <f t="shared" si="14"/>
        <v>0</v>
      </c>
      <c r="N78" s="840" t="s">
        <v>388</v>
      </c>
      <c r="O78" s="840"/>
      <c r="P78" s="840"/>
      <c r="Q78" s="50"/>
      <c r="R78" s="159">
        <f t="shared" si="15"/>
        <v>0</v>
      </c>
      <c r="S78" s="635" t="s">
        <v>6</v>
      </c>
      <c r="T78" s="157">
        <f>T64</f>
        <v>0</v>
      </c>
      <c r="U78" s="115">
        <f t="shared" si="16"/>
        <v>0</v>
      </c>
    </row>
    <row r="79" spans="1:21" x14ac:dyDescent="0.25">
      <c r="A79" s="765" t="s">
        <v>414</v>
      </c>
      <c r="B79" s="764"/>
      <c r="C79" s="764"/>
      <c r="D79" s="626"/>
      <c r="E79" s="642" t="s">
        <v>4</v>
      </c>
      <c r="F79" s="544">
        <f>'0664'!F79</f>
        <v>0</v>
      </c>
      <c r="G79" s="634" t="s">
        <v>6</v>
      </c>
      <c r="H79" s="155">
        <f>H66</f>
        <v>1.3190000000000001E-3</v>
      </c>
      <c r="I79" s="120">
        <f t="shared" si="14"/>
        <v>0</v>
      </c>
      <c r="N79" s="860" t="s">
        <v>414</v>
      </c>
      <c r="O79" s="840"/>
      <c r="P79" s="840"/>
      <c r="Q79" s="50"/>
      <c r="R79" s="159">
        <f t="shared" si="15"/>
        <v>0</v>
      </c>
      <c r="S79" s="635" t="s">
        <v>6</v>
      </c>
      <c r="T79" s="157">
        <f>T66</f>
        <v>0</v>
      </c>
      <c r="U79" s="115">
        <f t="shared" si="16"/>
        <v>0</v>
      </c>
    </row>
    <row r="80" spans="1:21" x14ac:dyDescent="0.25">
      <c r="A80" s="765" t="s">
        <v>415</v>
      </c>
      <c r="B80" s="764"/>
      <c r="C80" s="764"/>
      <c r="D80" s="626"/>
      <c r="E80" s="642" t="s">
        <v>4</v>
      </c>
      <c r="F80" s="544">
        <f>'0664'!F80</f>
        <v>8562788</v>
      </c>
      <c r="G80" s="634" t="s">
        <v>6</v>
      </c>
      <c r="H80" s="155">
        <f>H66</f>
        <v>1.3190000000000001E-3</v>
      </c>
      <c r="I80" s="120">
        <f t="shared" si="14"/>
        <v>11294.32</v>
      </c>
      <c r="N80" s="860" t="s">
        <v>415</v>
      </c>
      <c r="O80" s="840"/>
      <c r="P80" s="840"/>
      <c r="Q80" s="50"/>
      <c r="R80" s="159">
        <f t="shared" si="15"/>
        <v>8562788</v>
      </c>
      <c r="S80" s="635" t="s">
        <v>6</v>
      </c>
      <c r="T80" s="157">
        <f>T66</f>
        <v>0</v>
      </c>
      <c r="U80" s="115">
        <f t="shared" si="16"/>
        <v>0</v>
      </c>
    </row>
    <row r="81" spans="1:21" x14ac:dyDescent="0.25">
      <c r="A81" s="765" t="s">
        <v>419</v>
      </c>
      <c r="B81" s="764"/>
      <c r="C81" s="764"/>
      <c r="D81" s="626"/>
      <c r="E81" s="642" t="s">
        <v>4</v>
      </c>
      <c r="F81" s="544">
        <f>'0664'!F81</f>
        <v>168663228</v>
      </c>
      <c r="G81" s="634" t="s">
        <v>6</v>
      </c>
      <c r="H81" s="155">
        <f>H66</f>
        <v>1.3190000000000001E-3</v>
      </c>
      <c r="I81" s="120">
        <f t="shared" si="14"/>
        <v>222466.8</v>
      </c>
      <c r="N81" s="860" t="s">
        <v>419</v>
      </c>
      <c r="O81" s="840"/>
      <c r="P81" s="840"/>
      <c r="Q81" s="50"/>
      <c r="R81" s="159">
        <f t="shared" si="15"/>
        <v>168663228</v>
      </c>
      <c r="S81" s="635" t="s">
        <v>6</v>
      </c>
      <c r="T81" s="157">
        <f>T66</f>
        <v>0</v>
      </c>
      <c r="U81" s="115">
        <f t="shared" si="16"/>
        <v>0</v>
      </c>
    </row>
    <row r="82" spans="1:21" x14ac:dyDescent="0.25">
      <c r="A82" s="765" t="s">
        <v>420</v>
      </c>
      <c r="B82" s="764"/>
      <c r="C82" s="764"/>
      <c r="D82" s="626"/>
      <c r="E82" s="642" t="s">
        <v>4</v>
      </c>
      <c r="F82" s="544">
        <f>'0664'!F82</f>
        <v>0</v>
      </c>
      <c r="G82" s="634" t="s">
        <v>6</v>
      </c>
      <c r="H82" s="155">
        <f>H66</f>
        <v>1.3190000000000001E-3</v>
      </c>
      <c r="I82" s="120">
        <f t="shared" si="14"/>
        <v>0</v>
      </c>
      <c r="N82" s="860" t="s">
        <v>420</v>
      </c>
      <c r="O82" s="840"/>
      <c r="P82" s="840"/>
      <c r="Q82" s="50"/>
      <c r="R82" s="156">
        <f t="shared" si="15"/>
        <v>0</v>
      </c>
      <c r="S82" s="635" t="s">
        <v>6</v>
      </c>
      <c r="T82" s="157">
        <f>T66</f>
        <v>0</v>
      </c>
      <c r="U82" s="115">
        <f t="shared" si="16"/>
        <v>0</v>
      </c>
    </row>
    <row r="83" spans="1:21" x14ac:dyDescent="0.25">
      <c r="A83" s="717" t="s">
        <v>425</v>
      </c>
      <c r="B83" s="626"/>
      <c r="C83" s="626"/>
      <c r="D83" s="626"/>
      <c r="E83" s="683" t="s">
        <v>45</v>
      </c>
      <c r="F83" s="544"/>
      <c r="G83" s="634"/>
      <c r="H83" s="155"/>
      <c r="I83" s="120">
        <v>27781.27</v>
      </c>
      <c r="N83" s="719" t="s">
        <v>425</v>
      </c>
      <c r="O83" s="631"/>
      <c r="P83" s="631"/>
      <c r="Q83" s="50"/>
      <c r="R83" s="159">
        <f t="shared" si="15"/>
        <v>0</v>
      </c>
      <c r="S83" s="635" t="s">
        <v>6</v>
      </c>
      <c r="T83" s="157">
        <f>T66</f>
        <v>0</v>
      </c>
      <c r="U83" s="115">
        <f>IF($H$116=1,I83,0)</f>
        <v>0</v>
      </c>
    </row>
    <row r="84" spans="1:21" x14ac:dyDescent="0.25">
      <c r="A84" s="765" t="s">
        <v>457</v>
      </c>
      <c r="B84" s="764"/>
      <c r="C84" s="764"/>
      <c r="D84" s="744"/>
      <c r="E84" s="747" t="s">
        <v>3</v>
      </c>
      <c r="F84" s="544">
        <f>'0664'!F84</f>
        <v>21614343</v>
      </c>
      <c r="G84" s="749" t="s">
        <v>6</v>
      </c>
      <c r="H84" s="155">
        <f>H63</f>
        <v>1.446E-3</v>
      </c>
      <c r="I84" s="120">
        <f>ROUND(F84*H84,2)</f>
        <v>31254.34</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626"/>
      <c r="C87" s="780" t="s">
        <v>74</v>
      </c>
      <c r="D87" s="780"/>
      <c r="E87" s="626"/>
      <c r="F87" s="660" t="s">
        <v>37</v>
      </c>
      <c r="G87" s="626"/>
      <c r="H87" s="626"/>
      <c r="I87" s="626"/>
      <c r="N87" s="631"/>
      <c r="O87" s="631"/>
      <c r="P87" s="631"/>
      <c r="Q87" s="631"/>
      <c r="R87" s="631"/>
      <c r="S87" s="631"/>
      <c r="T87" s="631"/>
      <c r="U87" s="63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630"/>
      <c r="B89" s="64" t="s">
        <v>150</v>
      </c>
      <c r="C89" s="781">
        <f>H13+H14+H19+H22+H25</f>
        <v>0</v>
      </c>
      <c r="D89" s="781"/>
      <c r="E89" s="54">
        <f>H8</f>
        <v>1.0424</v>
      </c>
      <c r="F89" s="545">
        <f>'0664'!F89</f>
        <v>966.9</v>
      </c>
      <c r="G89" s="661" t="s">
        <v>13</v>
      </c>
      <c r="H89" s="120">
        <f>ROUND(C89*E89*F89,2)</f>
        <v>0</v>
      </c>
      <c r="I89" s="124"/>
      <c r="N89" s="629"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0</v>
      </c>
      <c r="D90" s="781"/>
      <c r="E90" s="54">
        <f>H8</f>
        <v>1.0424</v>
      </c>
      <c r="F90" s="545">
        <f>'0664'!F90</f>
        <v>923.19</v>
      </c>
      <c r="G90" s="661" t="s">
        <v>13</v>
      </c>
      <c r="H90" s="120">
        <f>ROUND(C90*E90*F90,2)</f>
        <v>0</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282.81259999999997</v>
      </c>
      <c r="D91" s="781"/>
      <c r="E91" s="54">
        <f>H8</f>
        <v>1.0424</v>
      </c>
      <c r="F91" s="545">
        <f>'0664'!F91</f>
        <v>925.42</v>
      </c>
      <c r="G91" s="661" t="s">
        <v>13</v>
      </c>
      <c r="H91" s="113">
        <f>ROUND(C91*E91*F91,2)</f>
        <v>272817.38</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282.81259999999997</v>
      </c>
      <c r="D92" s="782"/>
      <c r="E92" s="168"/>
      <c r="F92" s="168"/>
      <c r="G92" s="168"/>
      <c r="H92" s="169" t="s">
        <v>145</v>
      </c>
      <c r="I92" s="120">
        <f>IF(A1=75,0,H91+H90+H89)</f>
        <v>272817.38</v>
      </c>
      <c r="N92" s="639"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640"/>
      <c r="B94" s="640"/>
      <c r="C94" s="640"/>
      <c r="D94" s="640"/>
      <c r="E94" s="640"/>
      <c r="F94" s="640"/>
      <c r="G94" s="640"/>
      <c r="H94" s="640"/>
      <c r="I94" s="640"/>
      <c r="N94" s="641"/>
      <c r="O94" s="641"/>
      <c r="P94" s="641"/>
      <c r="Q94" s="641"/>
      <c r="R94" s="641"/>
      <c r="S94" s="641"/>
      <c r="T94" s="641"/>
      <c r="U94" s="641"/>
    </row>
    <row r="95" spans="1:21" x14ac:dyDescent="0.25">
      <c r="A95" s="745" t="s">
        <v>459</v>
      </c>
      <c r="C95" s="642"/>
      <c r="D95" s="626"/>
      <c r="E95" s="683" t="s">
        <v>102</v>
      </c>
      <c r="F95" s="774"/>
      <c r="G95" s="774"/>
      <c r="H95" s="774"/>
      <c r="I95" s="774"/>
      <c r="N95" s="860" t="s">
        <v>459</v>
      </c>
      <c r="O95" s="840"/>
      <c r="P95" s="840"/>
      <c r="Q95" s="879"/>
      <c r="R95" s="879"/>
      <c r="S95" s="879"/>
      <c r="T95" s="879"/>
      <c r="U95" s="122"/>
    </row>
    <row r="96" spans="1:21" x14ac:dyDescent="0.25">
      <c r="B96" s="626"/>
      <c r="C96" s="600" t="s">
        <v>435</v>
      </c>
      <c r="D96" s="669" t="s">
        <v>436</v>
      </c>
      <c r="E96" s="108" t="s">
        <v>153</v>
      </c>
      <c r="F96" s="642"/>
      <c r="G96" s="642"/>
      <c r="H96" s="642"/>
      <c r="I96" s="642"/>
      <c r="N96" s="631"/>
      <c r="O96" s="631"/>
      <c r="P96" s="631"/>
      <c r="Q96" s="643"/>
      <c r="R96" s="643"/>
      <c r="S96" s="643"/>
      <c r="T96" s="643"/>
      <c r="U96" s="122"/>
    </row>
    <row r="97" spans="1:21" x14ac:dyDescent="0.25">
      <c r="B97" s="626"/>
      <c r="C97" s="624" t="s">
        <v>2</v>
      </c>
      <c r="D97" s="622" t="s">
        <v>2</v>
      </c>
      <c r="E97" s="622" t="s">
        <v>2</v>
      </c>
      <c r="F97" s="642"/>
      <c r="G97" s="642"/>
      <c r="H97" s="642"/>
      <c r="I97" s="642"/>
      <c r="N97" s="631"/>
      <c r="O97" s="631"/>
      <c r="P97" s="631"/>
      <c r="Q97" s="643"/>
      <c r="R97" s="643"/>
      <c r="S97" s="643"/>
      <c r="T97" s="643"/>
      <c r="U97" s="122"/>
    </row>
    <row r="98" spans="1:21" x14ac:dyDescent="0.25">
      <c r="A98" s="767" t="s">
        <v>66</v>
      </c>
      <c r="B98" s="767"/>
      <c r="C98" s="192">
        <v>0</v>
      </c>
      <c r="D98" s="192">
        <v>0</v>
      </c>
      <c r="E98" s="193">
        <f>(C98+D98)/2</f>
        <v>0</v>
      </c>
      <c r="F98" s="173" t="s">
        <v>39</v>
      </c>
      <c r="G98" s="546">
        <f>'0664'!G98</f>
        <v>486</v>
      </c>
      <c r="I98" s="120">
        <f>ROUND(G98*E98,2)</f>
        <v>0</v>
      </c>
      <c r="N98" s="873" t="s">
        <v>66</v>
      </c>
      <c r="O98" s="873"/>
      <c r="P98" s="874">
        <f>IF(H116=1,E98,0)</f>
        <v>0</v>
      </c>
      <c r="Q98" s="874"/>
      <c r="R98" s="874"/>
      <c r="S98" s="651" t="s">
        <v>39</v>
      </c>
      <c r="T98" s="72">
        <f>G98</f>
        <v>486</v>
      </c>
      <c r="U98" s="115">
        <f>ROUND(T98*P98,0)</f>
        <v>0</v>
      </c>
    </row>
    <row r="99" spans="1:21" x14ac:dyDescent="0.25">
      <c r="A99" s="767" t="s">
        <v>82</v>
      </c>
      <c r="B99" s="767"/>
      <c r="C99" s="192">
        <v>0</v>
      </c>
      <c r="D99" s="192">
        <v>0</v>
      </c>
      <c r="E99" s="193">
        <f>(C99+D99)/2</f>
        <v>0</v>
      </c>
      <c r="F99" s="173" t="s">
        <v>39</v>
      </c>
      <c r="G99" s="546">
        <f>'0664'!G99</f>
        <v>1498</v>
      </c>
      <c r="I99" s="120">
        <f>ROUND(G99*E99,2)</f>
        <v>0</v>
      </c>
      <c r="N99" s="873" t="s">
        <v>82</v>
      </c>
      <c r="O99" s="873"/>
      <c r="P99" s="847"/>
      <c r="Q99" s="847"/>
      <c r="R99" s="847"/>
      <c r="S99" s="651" t="s">
        <v>39</v>
      </c>
      <c r="T99" s="72">
        <f>G99</f>
        <v>1498</v>
      </c>
      <c r="U99" s="115">
        <f>ROUND(T99*P99,0)</f>
        <v>0</v>
      </c>
    </row>
    <row r="100" spans="1:21" x14ac:dyDescent="0.25">
      <c r="A100" s="174"/>
      <c r="B100" s="174"/>
      <c r="C100" s="89"/>
      <c r="D100" s="89"/>
      <c r="E100" s="89"/>
      <c r="F100" s="89"/>
      <c r="G100" s="175"/>
      <c r="H100" s="176"/>
      <c r="I100" s="120"/>
      <c r="N100" s="638"/>
      <c r="O100" s="638"/>
      <c r="P100" s="178"/>
      <c r="Q100" s="178"/>
      <c r="R100" s="178"/>
      <c r="S100" s="651"/>
      <c r="T100" s="72"/>
      <c r="U100" s="122"/>
    </row>
    <row r="101" spans="1:21" x14ac:dyDescent="0.25">
      <c r="A101" s="174"/>
      <c r="B101" s="174"/>
      <c r="C101" s="89"/>
      <c r="D101" s="89"/>
      <c r="E101" s="89"/>
      <c r="F101" s="89"/>
      <c r="G101" s="175"/>
      <c r="H101" s="176"/>
      <c r="I101" s="120"/>
      <c r="N101" s="638"/>
      <c r="O101" s="638"/>
      <c r="P101" s="178"/>
      <c r="Q101" s="178"/>
      <c r="R101" s="178"/>
      <c r="S101" s="651"/>
      <c r="T101" s="72"/>
      <c r="U101" s="122"/>
    </row>
    <row r="102" spans="1:21" hidden="1" x14ac:dyDescent="0.25">
      <c r="A102" s="765" t="s">
        <v>374</v>
      </c>
      <c r="B102" s="764"/>
      <c r="C102" s="764"/>
      <c r="D102" s="626"/>
      <c r="E102" s="686" t="s">
        <v>41</v>
      </c>
      <c r="F102" s="780"/>
      <c r="G102" s="780"/>
      <c r="H102" s="780"/>
      <c r="I102" s="780"/>
      <c r="N102" s="860" t="s">
        <v>383</v>
      </c>
      <c r="O102" s="840"/>
      <c r="P102" s="840"/>
      <c r="Q102" s="840"/>
      <c r="R102" s="840"/>
      <c r="S102" s="840"/>
      <c r="T102" s="840"/>
      <c r="U102" s="840"/>
    </row>
    <row r="103" spans="1:21" hidden="1" x14ac:dyDescent="0.25">
      <c r="B103" s="626"/>
      <c r="C103" s="776" t="s">
        <v>93</v>
      </c>
      <c r="D103" s="776"/>
      <c r="E103" s="776"/>
      <c r="F103" s="644"/>
      <c r="G103" s="644"/>
      <c r="H103" s="661" t="s">
        <v>154</v>
      </c>
      <c r="I103" s="644"/>
      <c r="N103" s="631"/>
      <c r="O103" s="631"/>
      <c r="P103" s="631"/>
      <c r="Q103" s="631"/>
      <c r="R103" s="631"/>
      <c r="S103" s="631"/>
      <c r="T103" s="631"/>
      <c r="U103" s="631"/>
    </row>
    <row r="104" spans="1:21" hidden="1" x14ac:dyDescent="0.25">
      <c r="B104" s="626"/>
      <c r="C104" s="600" t="s">
        <v>392</v>
      </c>
      <c r="D104" s="600" t="s">
        <v>370</v>
      </c>
      <c r="E104" s="185" t="s">
        <v>8</v>
      </c>
      <c r="F104" s="883" t="s">
        <v>155</v>
      </c>
      <c r="G104" s="770"/>
      <c r="H104" s="634" t="s">
        <v>38</v>
      </c>
      <c r="I104" s="644"/>
      <c r="N104" s="631"/>
      <c r="O104" s="631"/>
      <c r="P104" s="631"/>
      <c r="Q104" s="631"/>
      <c r="R104" s="631"/>
      <c r="S104" s="631"/>
      <c r="T104" s="631"/>
      <c r="U104" s="631"/>
    </row>
    <row r="105" spans="1:21" hidden="1" x14ac:dyDescent="0.25">
      <c r="A105" s="776" t="s">
        <v>96</v>
      </c>
      <c r="B105" s="776"/>
      <c r="C105" s="601" t="s">
        <v>2</v>
      </c>
      <c r="D105" s="601" t="s">
        <v>2</v>
      </c>
      <c r="E105" s="637" t="s">
        <v>2</v>
      </c>
      <c r="F105" s="776" t="s">
        <v>37</v>
      </c>
      <c r="G105" s="776"/>
      <c r="H105" s="637" t="s">
        <v>37</v>
      </c>
      <c r="I105" s="637" t="s">
        <v>8</v>
      </c>
      <c r="N105" s="859" t="s">
        <v>67</v>
      </c>
      <c r="O105" s="859"/>
      <c r="P105" s="874" t="s">
        <v>93</v>
      </c>
      <c r="Q105" s="874"/>
      <c r="R105" s="859" t="s">
        <v>68</v>
      </c>
      <c r="S105" s="859"/>
      <c r="T105" s="633" t="s">
        <v>69</v>
      </c>
      <c r="U105" s="633" t="s">
        <v>8</v>
      </c>
    </row>
    <row r="106" spans="1:21" hidden="1" x14ac:dyDescent="0.25">
      <c r="A106" s="771" t="s">
        <v>70</v>
      </c>
      <c r="B106" s="771"/>
      <c r="C106" s="190">
        <v>0</v>
      </c>
      <c r="D106" s="190">
        <v>0</v>
      </c>
      <c r="E106" s="191">
        <f>IF(D$59=0,C106*2,C106+D106)</f>
        <v>0</v>
      </c>
      <c r="F106" s="889">
        <v>0</v>
      </c>
      <c r="G106" s="889"/>
      <c r="H106" s="75">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93">
        <f>IF(D$59=0,C107*2,C107+D107)</f>
        <v>0</v>
      </c>
      <c r="F107" s="810">
        <f>ROUND(F106/2,2)</f>
        <v>0</v>
      </c>
      <c r="G107" s="810"/>
      <c r="H107" s="77">
        <f>IF(C107=0,0,62.5)</f>
        <v>0</v>
      </c>
      <c r="I107" s="120">
        <f>ROUND((H107+F107)*E107,2)</f>
        <v>0</v>
      </c>
      <c r="N107" s="848" t="s">
        <v>71</v>
      </c>
      <c r="O107" s="848"/>
      <c r="P107" s="847">
        <f>IF(H$116=1,C107,0)</f>
        <v>0</v>
      </c>
      <c r="Q107" s="847"/>
      <c r="R107" s="886">
        <f>ROUND(R106/2,2)</f>
        <v>0</v>
      </c>
      <c r="S107" s="886"/>
      <c r="T107" s="78">
        <f>H107</f>
        <v>0</v>
      </c>
      <c r="U107" s="115">
        <f>ROUND((T107+R107)*P107,0)</f>
        <v>0</v>
      </c>
    </row>
    <row r="108" spans="1:21" hidden="1" x14ac:dyDescent="0.25">
      <c r="A108" s="768" t="s">
        <v>72</v>
      </c>
      <c r="B108" s="768"/>
      <c r="C108" s="192">
        <v>0</v>
      </c>
      <c r="D108" s="192">
        <v>0</v>
      </c>
      <c r="E108" s="193">
        <f>IF(D$59=0,C108*2,C108+D108)</f>
        <v>0</v>
      </c>
      <c r="F108" s="773"/>
      <c r="G108" s="773"/>
      <c r="H108" s="79">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634"/>
      <c r="B110" s="634"/>
      <c r="C110" s="81"/>
      <c r="D110" s="81"/>
      <c r="E110" s="81"/>
      <c r="F110" s="81"/>
      <c r="G110" s="81"/>
      <c r="H110" s="81"/>
      <c r="I110" s="120"/>
      <c r="N110" s="635"/>
      <c r="O110" s="635"/>
      <c r="P110" s="82"/>
      <c r="Q110" s="82"/>
      <c r="R110" s="82"/>
      <c r="S110" s="82"/>
      <c r="T110" s="82"/>
      <c r="U110" s="187"/>
    </row>
    <row r="111" spans="1:21" x14ac:dyDescent="0.25">
      <c r="A111" s="765" t="s">
        <v>460</v>
      </c>
      <c r="B111" s="764"/>
      <c r="C111" s="764"/>
      <c r="D111" s="62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62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626"/>
      <c r="C113" s="626"/>
      <c r="D113" s="626"/>
      <c r="E113" s="628"/>
      <c r="F113" s="628"/>
      <c r="G113" s="628"/>
      <c r="H113" s="628"/>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2000900.7</v>
      </c>
      <c r="N114" s="629"/>
      <c r="O114" s="629"/>
      <c r="P114" s="629"/>
      <c r="Q114" s="629"/>
      <c r="R114" s="629"/>
      <c r="S114" s="629"/>
      <c r="T114" s="629"/>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626"/>
      <c r="C117" s="626"/>
      <c r="D117" s="626"/>
      <c r="E117" s="626"/>
      <c r="F117" s="626"/>
      <c r="G117" s="626"/>
      <c r="H117" s="89"/>
      <c r="I117" s="120"/>
      <c r="N117" s="88" t="s">
        <v>108</v>
      </c>
      <c r="O117" s="88"/>
      <c r="P117" s="88"/>
      <c r="Q117" s="88"/>
      <c r="R117" s="88"/>
      <c r="S117" s="88"/>
      <c r="T117" s="88"/>
      <c r="U117" s="88"/>
    </row>
    <row r="118" spans="1:21" x14ac:dyDescent="0.25">
      <c r="A118" s="3" t="s">
        <v>104</v>
      </c>
      <c r="B118" s="626"/>
      <c r="C118" s="626"/>
      <c r="D118" s="626"/>
      <c r="E118" s="626"/>
      <c r="F118" s="626"/>
      <c r="G118" s="396"/>
      <c r="H118" s="188">
        <f>IF(H116=1,I116,I114)</f>
        <v>2000900.7</v>
      </c>
      <c r="I118" s="113">
        <f>ROUND(IF(E29=0,0,IF(E29&gt;250,-(((250/E29)*H118)*IF(G118="H",0.02,0.05)),IF(G118="H",-0.02*H118,-0.05*H118))),2)</f>
        <v>-90646.78</v>
      </c>
      <c r="N118" s="90" t="s">
        <v>109</v>
      </c>
      <c r="O118" s="88"/>
      <c r="P118" s="88"/>
      <c r="Q118" s="88"/>
      <c r="R118" s="88"/>
      <c r="S118" s="88"/>
      <c r="T118" s="88"/>
      <c r="U118" s="88"/>
    </row>
    <row r="119" spans="1:21" x14ac:dyDescent="0.25">
      <c r="B119" s="626"/>
      <c r="C119" s="626"/>
      <c r="D119" s="626"/>
      <c r="E119" s="626"/>
      <c r="F119" s="626"/>
      <c r="G119" s="626"/>
      <c r="H119" s="89"/>
      <c r="I119" s="120"/>
      <c r="N119" s="627"/>
      <c r="O119" s="627"/>
      <c r="P119" s="627"/>
      <c r="Q119" s="627"/>
      <c r="R119" s="627"/>
      <c r="S119" s="627"/>
      <c r="T119" s="627"/>
      <c r="U119" s="627"/>
    </row>
    <row r="120" spans="1:21" x14ac:dyDescent="0.25">
      <c r="A120" s="552" t="s">
        <v>105</v>
      </c>
      <c r="B120" s="553"/>
      <c r="C120" s="553"/>
      <c r="D120" s="553"/>
      <c r="E120" s="553"/>
      <c r="F120" s="553"/>
      <c r="G120" s="553"/>
      <c r="H120" s="554"/>
      <c r="I120" s="555">
        <f>I114+I118</f>
        <v>1910253.92</v>
      </c>
      <c r="N120" s="627"/>
      <c r="O120" s="627"/>
      <c r="P120" s="627"/>
      <c r="Q120" s="627"/>
      <c r="R120" s="627"/>
      <c r="S120" s="627"/>
      <c r="T120" s="627"/>
      <c r="U120" s="627"/>
    </row>
    <row r="121" spans="1:21" x14ac:dyDescent="0.25">
      <c r="B121" s="626"/>
      <c r="C121" s="626"/>
      <c r="D121" s="626"/>
      <c r="E121" s="626"/>
      <c r="F121" s="626"/>
      <c r="G121" s="626"/>
      <c r="H121" s="89"/>
      <c r="I121" s="120"/>
      <c r="N121" s="627"/>
      <c r="O121" s="627"/>
      <c r="P121" s="627"/>
      <c r="Q121" s="627"/>
      <c r="R121" s="627"/>
      <c r="S121" s="627"/>
      <c r="T121" s="627"/>
      <c r="U121" s="627"/>
    </row>
    <row r="122" spans="1:21" x14ac:dyDescent="0.25">
      <c r="A122" s="3" t="s">
        <v>106</v>
      </c>
      <c r="B122" s="626"/>
      <c r="C122" s="189"/>
      <c r="D122" s="626"/>
      <c r="F122" s="626"/>
      <c r="G122" s="626"/>
      <c r="H122" s="89"/>
      <c r="I122" s="424">
        <v>-1920033.02</v>
      </c>
      <c r="N122" s="627"/>
      <c r="O122" s="627"/>
      <c r="P122" s="627"/>
      <c r="Q122" s="627"/>
      <c r="R122" s="627"/>
      <c r="S122" s="627"/>
      <c r="T122" s="627"/>
      <c r="U122" s="627"/>
    </row>
    <row r="123" spans="1:21" x14ac:dyDescent="0.25">
      <c r="B123" s="626"/>
      <c r="C123" s="626"/>
      <c r="D123" s="626"/>
      <c r="E123" s="626"/>
      <c r="F123" s="626"/>
      <c r="G123" s="626"/>
      <c r="H123" s="89"/>
      <c r="I123" s="120"/>
      <c r="N123" s="627"/>
      <c r="O123" s="627"/>
      <c r="P123" s="627"/>
      <c r="Q123" s="627"/>
      <c r="R123" s="627"/>
      <c r="S123" s="627"/>
      <c r="T123" s="627"/>
      <c r="U123" s="627"/>
    </row>
    <row r="124" spans="1:21" x14ac:dyDescent="0.25">
      <c r="A124" s="625" t="s">
        <v>313</v>
      </c>
      <c r="B124" s="626"/>
      <c r="C124" s="626"/>
      <c r="D124" s="626"/>
      <c r="E124" s="626"/>
      <c r="F124" s="626"/>
      <c r="G124" s="626"/>
      <c r="H124" s="89"/>
      <c r="I124" s="120">
        <f>I120+I122</f>
        <v>-9779.1000000000931</v>
      </c>
      <c r="N124" s="627"/>
      <c r="O124" s="627"/>
      <c r="P124" s="627"/>
      <c r="Q124" s="627"/>
      <c r="R124" s="627"/>
      <c r="S124" s="627"/>
      <c r="T124" s="627"/>
      <c r="U124" s="627"/>
    </row>
    <row r="125" spans="1:21" x14ac:dyDescent="0.25">
      <c r="A125" s="625"/>
      <c r="B125" s="626"/>
      <c r="C125" s="626"/>
      <c r="D125" s="626"/>
      <c r="E125" s="626"/>
      <c r="F125" s="626"/>
      <c r="G125" s="626"/>
      <c r="H125" s="89"/>
      <c r="I125" s="120"/>
      <c r="N125" s="627"/>
      <c r="O125" s="627"/>
      <c r="P125" s="627"/>
      <c r="Q125" s="627"/>
      <c r="R125" s="627"/>
      <c r="S125" s="627"/>
      <c r="T125" s="627"/>
      <c r="U125" s="627"/>
    </row>
    <row r="126" spans="1:21" x14ac:dyDescent="0.25">
      <c r="A126" s="625" t="s">
        <v>314</v>
      </c>
      <c r="B126" s="626"/>
      <c r="C126" s="626"/>
      <c r="D126" s="626"/>
      <c r="E126" s="626"/>
      <c r="F126" s="626"/>
      <c r="G126" s="626"/>
      <c r="H126" s="89"/>
      <c r="I126" s="425">
        <f>'0664'!I126</f>
        <v>1</v>
      </c>
      <c r="N126" s="627"/>
      <c r="O126" s="627"/>
      <c r="P126" s="627"/>
      <c r="Q126" s="627"/>
      <c r="R126" s="627"/>
      <c r="S126" s="627"/>
      <c r="T126" s="627"/>
      <c r="U126" s="627"/>
    </row>
    <row r="127" spans="1:21" x14ac:dyDescent="0.25">
      <c r="B127" s="626"/>
      <c r="C127" s="626"/>
      <c r="D127" s="626"/>
      <c r="E127" s="626"/>
      <c r="F127" s="626"/>
      <c r="G127" s="626"/>
      <c r="H127" s="89"/>
      <c r="I127" s="120"/>
      <c r="N127" s="627"/>
      <c r="O127" s="627"/>
      <c r="P127" s="627"/>
      <c r="Q127" s="627"/>
      <c r="R127" s="627"/>
      <c r="S127" s="627"/>
      <c r="T127" s="627"/>
      <c r="U127" s="627"/>
    </row>
    <row r="128" spans="1:21" ht="16.5" thickBot="1" x14ac:dyDescent="0.3">
      <c r="A128" s="3" t="s">
        <v>107</v>
      </c>
      <c r="B128" s="626"/>
      <c r="C128" s="626"/>
      <c r="D128" s="626"/>
      <c r="E128" s="626"/>
      <c r="F128" s="626"/>
      <c r="G128" s="626"/>
      <c r="H128" s="89"/>
      <c r="I128" s="205">
        <f>ROUND(I124/I126,2)</f>
        <v>-9779.1</v>
      </c>
      <c r="N128" s="627"/>
      <c r="O128" s="627"/>
      <c r="P128" s="627"/>
      <c r="Q128" s="627"/>
      <c r="R128" s="627"/>
      <c r="S128" s="627"/>
      <c r="T128" s="627"/>
      <c r="U128" s="627"/>
    </row>
    <row r="129" spans="1:21" ht="16.5" thickTop="1" x14ac:dyDescent="0.25">
      <c r="B129" s="626"/>
      <c r="C129" s="626"/>
      <c r="D129" s="626"/>
      <c r="E129" s="626"/>
      <c r="F129" s="626"/>
      <c r="G129" s="626"/>
      <c r="H129" s="89"/>
      <c r="I129" s="120"/>
      <c r="N129" s="627"/>
      <c r="O129" s="627"/>
      <c r="P129" s="723"/>
      <c r="Q129" s="627"/>
      <c r="R129" s="627"/>
      <c r="S129" s="627"/>
      <c r="T129" s="627"/>
      <c r="U129" s="627"/>
    </row>
    <row r="130" spans="1:21" ht="16.5" thickBot="1" x14ac:dyDescent="0.3">
      <c r="A130" s="3" t="s">
        <v>123</v>
      </c>
      <c r="B130" s="626"/>
      <c r="C130" s="626"/>
      <c r="D130" s="626"/>
      <c r="E130" s="626"/>
      <c r="F130" s="626"/>
      <c r="G130" s="626"/>
      <c r="H130" s="89"/>
      <c r="I130" s="180">
        <f>ROUND(IF(G118="H",(H118*0.02)+I118,(H118*0.05)+I118),2)</f>
        <v>9398.26</v>
      </c>
      <c r="N130" s="627"/>
      <c r="O130" s="627"/>
      <c r="P130" s="723"/>
      <c r="Q130" s="627"/>
      <c r="R130" s="627"/>
      <c r="S130" s="627"/>
      <c r="T130" s="627"/>
      <c r="U130" s="627"/>
    </row>
    <row r="131" spans="1:21" ht="16.5" thickTop="1" x14ac:dyDescent="0.25">
      <c r="B131" s="626"/>
      <c r="C131" s="626"/>
      <c r="D131" s="626"/>
      <c r="E131" s="626"/>
      <c r="F131" s="626"/>
      <c r="G131" s="626"/>
      <c r="H131" s="89"/>
      <c r="I131" s="181"/>
      <c r="N131" s="627"/>
      <c r="O131" s="627"/>
      <c r="P131" s="627"/>
      <c r="Q131" s="627"/>
      <c r="R131" s="627"/>
      <c r="S131" s="627"/>
      <c r="T131" s="627"/>
      <c r="U131" s="627"/>
    </row>
    <row r="132" spans="1:21" x14ac:dyDescent="0.25">
      <c r="B132" s="626"/>
      <c r="C132" s="626"/>
      <c r="D132" s="626"/>
      <c r="E132" s="626"/>
      <c r="F132" s="626"/>
      <c r="G132" s="626"/>
      <c r="H132" s="89"/>
      <c r="I132" s="120"/>
      <c r="N132" s="627"/>
      <c r="O132" s="627"/>
      <c r="P132" s="627"/>
      <c r="Q132" s="627"/>
      <c r="R132" s="627"/>
      <c r="S132" s="627"/>
      <c r="T132" s="627"/>
      <c r="U132" s="627"/>
    </row>
    <row r="133" spans="1:21" x14ac:dyDescent="0.25">
      <c r="B133" s="626"/>
      <c r="C133" s="626"/>
      <c r="D133" s="626"/>
      <c r="E133" s="626"/>
      <c r="F133" s="626"/>
      <c r="G133" s="626"/>
      <c r="H133" s="89"/>
      <c r="I133" s="181"/>
      <c r="N133" s="627"/>
      <c r="O133" s="627"/>
      <c r="P133" s="627"/>
      <c r="Q133" s="627"/>
      <c r="R133" s="627"/>
      <c r="S133" s="627"/>
      <c r="T133" s="627"/>
      <c r="U133" s="627"/>
    </row>
    <row r="134" spans="1:21" x14ac:dyDescent="0.25">
      <c r="A134" s="492" t="s">
        <v>7</v>
      </c>
      <c r="B134" s="492"/>
      <c r="C134" s="492"/>
      <c r="D134" s="492"/>
      <c r="E134" s="492"/>
      <c r="F134" s="492"/>
      <c r="G134" s="492"/>
      <c r="H134" s="492"/>
      <c r="I134" s="492"/>
      <c r="J134" s="182"/>
      <c r="N134" s="627"/>
      <c r="O134" s="627"/>
      <c r="P134" s="627"/>
      <c r="Q134" s="627"/>
      <c r="R134" s="627"/>
      <c r="S134" s="627"/>
      <c r="T134" s="627"/>
      <c r="U134" s="627"/>
    </row>
    <row r="135" spans="1:21" ht="15.75" customHeight="1" x14ac:dyDescent="0.25">
      <c r="A135" s="615" t="str">
        <f>'0664'!A135</f>
        <v>(a) Additional FTE includes FTE earned through Advanced Placement, International Baccalaureate, Advanced International Certificate of Education, Industry Certified Career</v>
      </c>
      <c r="B135" s="616"/>
      <c r="C135" s="616"/>
      <c r="D135" s="616"/>
      <c r="E135" s="616"/>
      <c r="F135" s="616"/>
      <c r="G135" s="616"/>
      <c r="H135" s="616"/>
      <c r="I135" s="616"/>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16"/>
      <c r="C136" s="616"/>
      <c r="D136" s="616"/>
      <c r="E136" s="616"/>
      <c r="F136" s="616"/>
      <c r="G136" s="616"/>
      <c r="H136" s="616"/>
      <c r="I136" s="616"/>
      <c r="J136" s="96"/>
      <c r="K136" s="95"/>
      <c r="L136" s="95"/>
      <c r="M136" s="95"/>
      <c r="N136" s="627"/>
      <c r="O136" s="627"/>
      <c r="P136" s="627"/>
      <c r="Q136" s="627"/>
      <c r="R136" s="627"/>
      <c r="S136" s="627"/>
      <c r="T136" s="627"/>
      <c r="U136" s="627"/>
    </row>
    <row r="137" spans="1:21" x14ac:dyDescent="0.25">
      <c r="A137" s="615" t="str">
        <f>'0664'!A137</f>
        <v>(b) District allocations multiplied by percentage from item 3A.</v>
      </c>
      <c r="B137" s="493"/>
      <c r="C137" s="493"/>
      <c r="D137" s="493"/>
      <c r="E137" s="493"/>
      <c r="F137" s="493"/>
      <c r="G137" s="493"/>
      <c r="H137" s="493"/>
      <c r="I137" s="493"/>
      <c r="J137" s="95"/>
      <c r="K137" s="95"/>
      <c r="L137" s="95"/>
      <c r="M137" s="95"/>
      <c r="N137" s="97"/>
      <c r="O137" s="98"/>
      <c r="P137" s="98"/>
      <c r="Q137" s="98"/>
      <c r="R137" s="98"/>
      <c r="S137" s="98"/>
      <c r="T137" s="98"/>
      <c r="U137" s="98"/>
    </row>
    <row r="138" spans="1:21" s="95" customFormat="1" x14ac:dyDescent="0.2">
      <c r="A138" s="615" t="str">
        <f>'0664'!A138</f>
        <v>(c) District allocations multiplied by percentage from item 3B.</v>
      </c>
      <c r="B138" s="493"/>
      <c r="C138" s="493"/>
      <c r="D138" s="493"/>
      <c r="E138" s="493"/>
      <c r="F138" s="493"/>
      <c r="G138" s="493"/>
      <c r="H138" s="493"/>
      <c r="I138" s="493"/>
      <c r="N138" s="97"/>
    </row>
    <row r="139" spans="1:21" s="95" customFormat="1" ht="15.75" customHeight="1" x14ac:dyDescent="0.2">
      <c r="A139" s="615" t="str">
        <f>'0664'!A139</f>
        <v>(d) The Digital Classroom Allocation is provided pursuant to s. 1011.62(12), F.S.</v>
      </c>
      <c r="B139" s="493"/>
      <c r="C139" s="493"/>
      <c r="D139" s="493"/>
      <c r="E139" s="493"/>
      <c r="F139" s="493"/>
      <c r="G139" s="493"/>
      <c r="H139" s="493"/>
      <c r="I139" s="493"/>
      <c r="N139" s="97"/>
    </row>
    <row r="140" spans="1:21" s="95" customFormat="1" ht="15.75" customHeight="1" x14ac:dyDescent="0.2">
      <c r="A140" s="615" t="str">
        <f>'0664'!A140</f>
        <v>(e) School districts are required to pay for instructional materials used for the instruction of public high school students who are earning credit toward high school</v>
      </c>
      <c r="B140" s="493"/>
      <c r="C140" s="493"/>
      <c r="D140" s="493"/>
      <c r="E140" s="493"/>
      <c r="F140" s="493"/>
      <c r="G140" s="493"/>
      <c r="H140" s="493"/>
      <c r="I140" s="493"/>
      <c r="N140" s="97"/>
    </row>
    <row r="141" spans="1:21" s="95" customFormat="1" ht="15.75" customHeight="1" x14ac:dyDescent="0.2">
      <c r="A141" s="697" t="str">
        <f>'0664'!A141</f>
        <v xml:space="preserve">graduation under the dual enrollment program as provided in s. 1011.62(l)(i), F.S.  </v>
      </c>
      <c r="B141" s="493"/>
      <c r="C141" s="493"/>
      <c r="D141" s="493"/>
      <c r="E141" s="493"/>
      <c r="F141" s="493"/>
      <c r="G141" s="493"/>
      <c r="H141" s="493"/>
      <c r="I141" s="493"/>
      <c r="N141" s="97"/>
    </row>
    <row r="142" spans="1:21" s="95" customFormat="1" x14ac:dyDescent="0.2">
      <c r="A142" s="615" t="str">
        <f>'0664'!A142</f>
        <v>(f) This allocation will be frozen as of the 2021-22 FEFP Second Calculation and will not be recalculated throughout the year. Charter school allocations should be</v>
      </c>
      <c r="B142" s="493"/>
      <c r="C142" s="493"/>
      <c r="D142" s="493"/>
      <c r="E142" s="493"/>
      <c r="F142" s="493"/>
      <c r="G142" s="493"/>
      <c r="H142" s="493"/>
      <c r="I142" s="493"/>
      <c r="N142" s="97"/>
    </row>
    <row r="143" spans="1:21" s="95" customFormat="1" x14ac:dyDescent="0.2">
      <c r="A143" s="617" t="str">
        <f>'0664'!A143</f>
        <v xml:space="preserve">distributed on weighted FTE (or base funding as is done in the FEFP) and should not be recalculated with fluctuations in student enrollment later in the year. </v>
      </c>
      <c r="B143" s="493"/>
      <c r="C143" s="493"/>
      <c r="D143" s="493"/>
      <c r="E143" s="493"/>
      <c r="F143" s="493"/>
      <c r="G143" s="493"/>
      <c r="H143" s="493"/>
      <c r="I143" s="493"/>
      <c r="N143" s="97"/>
    </row>
    <row r="144" spans="1:21" s="95" customFormat="1" x14ac:dyDescent="0.2">
      <c r="A144" s="615" t="str">
        <f>'0664'!A144</f>
        <v>(g) Numbers entered here will be multiplied by the district level transportation funding per rider. "All Adjusted Fundable Riders" should include both basic and ESE Riders.</v>
      </c>
      <c r="B144" s="493"/>
      <c r="C144" s="493"/>
      <c r="D144" s="493"/>
      <c r="E144" s="493"/>
      <c r="F144" s="493"/>
      <c r="G144" s="493"/>
      <c r="H144" s="493"/>
      <c r="I144" s="493"/>
      <c r="N144" s="97"/>
    </row>
    <row r="145" spans="1:21" s="95" customFormat="1" x14ac:dyDescent="0.2">
      <c r="A145" s="697" t="str">
        <f>'0664'!A145</f>
        <v>"All Adjusted ESE Riders" should include only ESE Riders.</v>
      </c>
      <c r="B145" s="493"/>
      <c r="C145" s="493"/>
      <c r="D145" s="493"/>
      <c r="E145" s="493"/>
      <c r="F145" s="493"/>
      <c r="G145" s="493"/>
      <c r="H145" s="493"/>
      <c r="I145" s="493"/>
      <c r="N145" s="97"/>
    </row>
    <row r="146" spans="1:21" s="95" customFormat="1" x14ac:dyDescent="0.2">
      <c r="A146" s="615" t="str">
        <f>'0664'!A146</f>
        <v xml:space="preserve">(h) The Federally Connected Student Supplement provides additional funding for students on federal lands that receive Section 8003 impact aide pursuant to s. 1011.62(13), F.S. </v>
      </c>
      <c r="B146" s="493"/>
      <c r="C146" s="493"/>
      <c r="D146" s="493"/>
      <c r="E146" s="493"/>
      <c r="F146" s="493"/>
      <c r="G146" s="493"/>
      <c r="H146" s="493"/>
      <c r="I146" s="493"/>
      <c r="N146" s="97"/>
    </row>
    <row r="147" spans="1:21" s="95" customFormat="1" x14ac:dyDescent="0.2">
      <c r="A147" s="615" t="str">
        <f>'0664'!A147</f>
        <v>(i) Teacher Classroom Supply Assistance Program allocation pursuant to s. 1012.71, F.S., for certified teachers employed by a public school district or public charter school</v>
      </c>
      <c r="B147" s="493"/>
      <c r="C147" s="493"/>
      <c r="D147" s="493"/>
      <c r="E147" s="493"/>
      <c r="F147" s="493"/>
      <c r="G147" s="493"/>
      <c r="H147" s="493"/>
      <c r="I147" s="493"/>
      <c r="N147" s="97"/>
    </row>
    <row r="148" spans="1:21" s="95" customFormat="1" x14ac:dyDescent="0.2">
      <c r="A148" s="617" t="str">
        <f>'0664'!A148</f>
        <v xml:space="preserve">before September 1 of each year whose full-time or job-share responsibility is the classroom instruction of students in prekindergarten through grade 12, including </v>
      </c>
      <c r="B148" s="493"/>
      <c r="C148" s="493"/>
      <c r="D148" s="493"/>
      <c r="E148" s="493"/>
      <c r="F148" s="493"/>
      <c r="G148" s="493"/>
      <c r="H148" s="493"/>
      <c r="I148" s="493"/>
      <c r="N148" s="97"/>
    </row>
    <row r="149" spans="1:21" s="95" customFormat="1" ht="15.75" customHeight="1" x14ac:dyDescent="0.2">
      <c r="A149" s="617" t="str">
        <f>'0664'!A149</f>
        <v>full-time media specialists and certified school counselors serving students in prekindergarten through grade 12, who are funded through the FEFP.</v>
      </c>
      <c r="B149" s="493"/>
      <c r="C149" s="493"/>
      <c r="D149" s="493"/>
      <c r="E149" s="493"/>
      <c r="F149" s="493"/>
      <c r="G149" s="493"/>
      <c r="H149" s="493"/>
      <c r="I149" s="493"/>
      <c r="N149" s="97"/>
    </row>
    <row r="150" spans="1:21" s="95" customFormat="1" ht="15.75" customHeight="1" x14ac:dyDescent="0.2">
      <c r="A150" s="615" t="str">
        <f>'0664'!A150</f>
        <v xml:space="preserve">(j) Funding based on student eligibility and meals provided, if participating in the National School Lunch Program. </v>
      </c>
      <c r="B150" s="618"/>
      <c r="C150" s="618"/>
      <c r="D150" s="618"/>
      <c r="E150" s="618"/>
      <c r="F150" s="618"/>
      <c r="G150" s="618"/>
      <c r="H150" s="618"/>
      <c r="I150" s="618"/>
      <c r="N150" s="97"/>
    </row>
    <row r="151" spans="1:21" s="95" customFormat="1" ht="15.75" customHeight="1" x14ac:dyDescent="0.2">
      <c r="A151" s="615" t="str">
        <f>'0664'!A151</f>
        <v>(k) Consistent with s. 1002.33(20)(a), F.S., for charter schools with a population of 75% or more ESE students, the administrative fee shall be calculated based on</v>
      </c>
      <c r="B151" s="702"/>
      <c r="C151" s="702"/>
      <c r="D151" s="702"/>
      <c r="E151" s="702"/>
      <c r="F151" s="702"/>
      <c r="G151" s="702"/>
      <c r="H151" s="702"/>
      <c r="I151" s="702"/>
      <c r="N151" s="97"/>
    </row>
    <row r="152" spans="1:21" s="95" customFormat="1" ht="15.75" customHeight="1" x14ac:dyDescent="0.2">
      <c r="A152" s="697" t="str">
        <f>'0664'!A152</f>
        <v xml:space="preserve">unweighted full-time equivalent students. </v>
      </c>
      <c r="B152" s="702"/>
      <c r="C152" s="702"/>
      <c r="D152" s="702"/>
      <c r="E152" s="702"/>
      <c r="F152" s="702"/>
      <c r="G152" s="702"/>
      <c r="H152" s="702"/>
      <c r="I152" s="702"/>
      <c r="N152" s="97"/>
    </row>
    <row r="153" spans="1:21" s="95" customFormat="1" ht="15.75" customHeight="1" x14ac:dyDescent="0.2">
      <c r="A153" s="615"/>
      <c r="B153" s="702"/>
      <c r="C153" s="702"/>
      <c r="D153" s="702"/>
      <c r="E153" s="702"/>
      <c r="F153" s="702"/>
      <c r="G153" s="702"/>
      <c r="H153" s="702"/>
      <c r="I153" s="702"/>
      <c r="N153" s="97"/>
    </row>
    <row r="154" spans="1:21" s="95" customFormat="1" ht="15.75" customHeight="1" x14ac:dyDescent="0.25">
      <c r="A154" s="709" t="str">
        <f>'0664'!A154</f>
        <v>Administrative fees:</v>
      </c>
      <c r="B154" s="618"/>
      <c r="C154" s="618"/>
      <c r="D154" s="618"/>
      <c r="E154" s="618"/>
      <c r="F154" s="618"/>
      <c r="G154" s="618"/>
      <c r="H154" s="618"/>
      <c r="I154" s="618"/>
      <c r="J154" s="3"/>
      <c r="K154" s="3"/>
      <c r="L154" s="3"/>
      <c r="M154" s="3"/>
      <c r="N154" s="97"/>
    </row>
    <row r="155" spans="1:21" s="95" customFormat="1" ht="15.75" customHeight="1" x14ac:dyDescent="0.25">
      <c r="A155" s="710" t="str">
        <f>'0664'!A155</f>
        <v xml:space="preserve">Administrative fees charged by the school district pursuant to s. 1002.33(20)(a), F.S., shall be calculated based upon 5% of available funds from the FEFP and categorical </v>
      </c>
      <c r="B155" s="618"/>
      <c r="C155" s="618"/>
      <c r="D155" s="618"/>
      <c r="E155" s="618"/>
      <c r="F155" s="618"/>
      <c r="G155" s="618"/>
      <c r="H155" s="618"/>
      <c r="I155" s="618"/>
      <c r="J155" s="3"/>
      <c r="K155" s="3"/>
      <c r="L155" s="3"/>
      <c r="M155" s="3"/>
      <c r="N155" s="97"/>
    </row>
    <row r="156" spans="1:21" s="95" customFormat="1" ht="15.75" customHeight="1" x14ac:dyDescent="0.25">
      <c r="A156" s="711" t="str">
        <f>'0664'!A156</f>
        <v>funding for which charter students may be eligible.  To calculate the administrative fee to be withheld for schools with more than 250 students, divide the school</v>
      </c>
      <c r="B156" s="618"/>
      <c r="C156" s="618"/>
      <c r="D156" s="618"/>
      <c r="E156" s="618"/>
      <c r="F156" s="618"/>
      <c r="G156" s="618"/>
      <c r="H156" s="618"/>
      <c r="I156" s="618"/>
      <c r="J156" s="3"/>
      <c r="K156" s="3"/>
      <c r="L156" s="3"/>
      <c r="M156" s="3"/>
      <c r="N156" s="97"/>
    </row>
    <row r="157" spans="1:21" s="95" customFormat="1" ht="15.75" customHeight="1" x14ac:dyDescent="0.25">
      <c r="A157" s="711" t="str">
        <f>'0664'!A157</f>
        <v xml:space="preserve">population into 250. Multiply that fraction times the funds available, then times 5%.  </v>
      </c>
      <c r="B157" s="494"/>
      <c r="C157" s="494"/>
      <c r="D157" s="494"/>
      <c r="E157" s="494"/>
      <c r="F157" s="494"/>
      <c r="G157" s="494"/>
      <c r="H157" s="494"/>
      <c r="I157" s="494"/>
      <c r="J157" s="3"/>
      <c r="K157" s="3"/>
      <c r="L157" s="3"/>
      <c r="M157" s="3"/>
      <c r="N157" s="97"/>
    </row>
    <row r="158" spans="1:21" s="95" customFormat="1" ht="15.75" customHeight="1" x14ac:dyDescent="0.25">
      <c r="A158" s="710"/>
      <c r="B158" s="703"/>
      <c r="C158" s="703"/>
      <c r="D158" s="703"/>
      <c r="E158" s="703"/>
      <c r="F158" s="703"/>
      <c r="G158" s="703"/>
      <c r="H158" s="703"/>
      <c r="I158" s="703"/>
      <c r="N158" s="93"/>
      <c r="O158" s="3"/>
      <c r="P158" s="3"/>
      <c r="Q158" s="3"/>
      <c r="R158" s="3"/>
      <c r="S158" s="3"/>
      <c r="T158" s="3"/>
      <c r="U158" s="3"/>
    </row>
    <row r="159" spans="1:21" ht="15.75" customHeight="1" x14ac:dyDescent="0.25">
      <c r="A159" s="710" t="str">
        <f>'0664'!A159</f>
        <v xml:space="preserve">For high performing charter schools, administrative fees charged by the school district shall be calculated based upon 2% of available funds from the FEFP and categorical </v>
      </c>
      <c r="B159" s="494"/>
      <c r="C159" s="494"/>
      <c r="D159" s="494"/>
      <c r="E159" s="494"/>
      <c r="F159" s="494"/>
      <c r="G159" s="494"/>
      <c r="H159" s="494"/>
      <c r="I159" s="494"/>
      <c r="J159" s="95"/>
      <c r="K159" s="95"/>
      <c r="L159" s="95"/>
      <c r="M159" s="95"/>
      <c r="N159" s="97"/>
      <c r="O159" s="95"/>
      <c r="P159" s="95"/>
      <c r="Q159" s="95"/>
      <c r="R159" s="95"/>
      <c r="S159" s="95"/>
      <c r="T159" s="95"/>
      <c r="U159" s="95"/>
    </row>
    <row r="160" spans="1:21" ht="15.75" customHeight="1" x14ac:dyDescent="0.25">
      <c r="A160" s="711" t="str">
        <f>'0664'!A160</f>
        <v>funding for which charter students may be eligible.  To calculate the administrative fee to be withheld for schools with more than 250 students, divide the school</v>
      </c>
      <c r="B160" s="685"/>
      <c r="C160" s="685"/>
      <c r="D160" s="685"/>
      <c r="E160" s="685"/>
      <c r="F160" s="685"/>
      <c r="G160" s="685"/>
      <c r="H160" s="685"/>
      <c r="I160" s="685"/>
      <c r="J160" s="95"/>
      <c r="K160" s="95"/>
      <c r="L160" s="95"/>
      <c r="M160" s="95"/>
      <c r="N160" s="97"/>
      <c r="O160" s="95"/>
      <c r="P160" s="95"/>
      <c r="Q160" s="95"/>
      <c r="R160" s="95"/>
      <c r="S160" s="95"/>
      <c r="T160" s="95"/>
      <c r="U160" s="95"/>
    </row>
    <row r="161" spans="1:14" s="95" customFormat="1" ht="15.75" customHeight="1" x14ac:dyDescent="0.2">
      <c r="A161" s="711" t="str">
        <f>'0664'!A161</f>
        <v xml:space="preserve">population into 250. Multiply that fraction times the funds available, then times 2%.  </v>
      </c>
      <c r="B161" s="494"/>
      <c r="C161" s="494"/>
      <c r="D161" s="494"/>
      <c r="E161" s="494"/>
      <c r="F161" s="494"/>
      <c r="G161" s="494"/>
      <c r="H161" s="494"/>
      <c r="I161" s="494"/>
      <c r="N161" s="97"/>
    </row>
    <row r="162" spans="1:14" x14ac:dyDescent="0.25">
      <c r="A162" s="615"/>
      <c r="N162" s="93"/>
    </row>
    <row r="163" spans="1:14" x14ac:dyDescent="0.25">
      <c r="A163" s="709" t="str">
        <f>'0664'!A163</f>
        <v>Other:</v>
      </c>
      <c r="N163" s="93"/>
    </row>
    <row r="164" spans="1:14" x14ac:dyDescent="0.25">
      <c r="A164" s="710" t="str">
        <f>'0664'!A164</f>
        <v>FEFP and categorical funding are recalculated during the year to reflect the revised number of full-time equivalent students reported during the survey periods designated</v>
      </c>
      <c r="N164" s="93"/>
    </row>
    <row r="165" spans="1:14" x14ac:dyDescent="0.25">
      <c r="A165" s="713" t="str">
        <f>'0664'!A165</f>
        <v>by the Commissioner of Education.</v>
      </c>
      <c r="N165" s="93"/>
    </row>
    <row r="166" spans="1:14" x14ac:dyDescent="0.25">
      <c r="A166" s="710" t="str">
        <f>'0664'!A166</f>
        <v>Revenues flow to districts from state sources and from county tax collectors on various distribution schedules.</v>
      </c>
      <c r="N166" s="93"/>
    </row>
    <row r="167" spans="1:14" x14ac:dyDescent="0.25">
      <c r="A167" s="93"/>
      <c r="N167" s="93"/>
    </row>
    <row r="168" spans="1:14" x14ac:dyDescent="0.25">
      <c r="A168" s="93"/>
      <c r="N168" s="93"/>
    </row>
    <row r="169" spans="1:14" x14ac:dyDescent="0.25">
      <c r="A169" s="93"/>
      <c r="N169" s="93"/>
    </row>
    <row r="170" spans="1:14" x14ac:dyDescent="0.25">
      <c r="A170" s="93"/>
      <c r="N170" s="93"/>
    </row>
    <row r="171" spans="1:14" x14ac:dyDescent="0.25">
      <c r="A171" s="9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 ref="F12:G12"/>
    <mergeCell ref="N12:O12"/>
    <mergeCell ref="P12:Q12"/>
    <mergeCell ref="R12:S12"/>
    <mergeCell ref="A13:B13"/>
    <mergeCell ref="F13:G13"/>
    <mergeCell ref="N13:O13"/>
    <mergeCell ref="P13:Q13"/>
    <mergeCell ref="R13:S13"/>
    <mergeCell ref="A12:B12"/>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82:C82"/>
    <mergeCell ref="N82:P82"/>
    <mergeCell ref="A86:I86"/>
    <mergeCell ref="N86:U86"/>
    <mergeCell ref="A79:C79"/>
    <mergeCell ref="N79:P79"/>
    <mergeCell ref="A80:C80"/>
    <mergeCell ref="N80:P80"/>
    <mergeCell ref="A81:C81"/>
    <mergeCell ref="N81:P81"/>
    <mergeCell ref="C87:D87"/>
    <mergeCell ref="A84:C84"/>
    <mergeCell ref="N84:P84"/>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A98:B98"/>
    <mergeCell ref="N98:O98"/>
    <mergeCell ref="P98:R98"/>
    <mergeCell ref="A99:B99"/>
    <mergeCell ref="N99:O99"/>
    <mergeCell ref="P99:R99"/>
    <mergeCell ref="A102:C102"/>
    <mergeCell ref="F102:I102"/>
    <mergeCell ref="N102:U102"/>
    <mergeCell ref="C103:E103"/>
    <mergeCell ref="F104:G104"/>
    <mergeCell ref="A105:B105"/>
    <mergeCell ref="F105:G105"/>
    <mergeCell ref="N105:O105"/>
    <mergeCell ref="P105:Q105"/>
    <mergeCell ref="R105:S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N109:O109"/>
    <mergeCell ref="A111:C111"/>
    <mergeCell ref="F111:H111"/>
    <mergeCell ref="N111:P111"/>
    <mergeCell ref="A112:C112"/>
    <mergeCell ref="F112:H112"/>
    <mergeCell ref="N112:P112"/>
    <mergeCell ref="N135:U135"/>
    <mergeCell ref="N113:T113"/>
    <mergeCell ref="A114:H114"/>
    <mergeCell ref="A115:G115"/>
    <mergeCell ref="N115:U115"/>
    <mergeCell ref="A116:G116"/>
    <mergeCell ref="N116:U116"/>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K42"/>
  <sheetViews>
    <sheetView zoomScale="90" zoomScaleNormal="90" workbookViewId="0">
      <selection activeCell="E18" activeCellId="1" sqref="E16 E18"/>
    </sheetView>
  </sheetViews>
  <sheetFormatPr defaultRowHeight="15.75" x14ac:dyDescent="0.25"/>
  <cols>
    <col min="1" max="1" width="9.140625" style="212"/>
    <col min="2" max="2" width="47.85546875" style="212" bestFit="1" customWidth="1"/>
    <col min="3" max="3" width="8.42578125" style="212" bestFit="1" customWidth="1"/>
    <col min="4" max="4" width="5.5703125" style="212" customWidth="1"/>
    <col min="5" max="5" width="17.42578125" style="212" customWidth="1"/>
    <col min="6" max="6" width="10.140625" style="212" bestFit="1" customWidth="1"/>
    <col min="7" max="16384" width="9.140625" style="212"/>
  </cols>
  <sheetData>
    <row r="1" spans="1:11" x14ac:dyDescent="0.25">
      <c r="A1" s="209"/>
      <c r="B1" s="210"/>
      <c r="C1" s="237"/>
      <c r="D1" s="237"/>
      <c r="E1" s="211">
        <v>50</v>
      </c>
      <c r="F1" s="209"/>
      <c r="G1" s="209"/>
      <c r="H1" s="209"/>
    </row>
    <row r="2" spans="1:11" ht="21" x14ac:dyDescent="0.35">
      <c r="A2" s="213"/>
      <c r="B2" s="227" t="s">
        <v>349</v>
      </c>
      <c r="C2" s="227"/>
      <c r="D2" s="227"/>
      <c r="E2" s="213"/>
      <c r="F2" s="213"/>
      <c r="G2" s="213"/>
      <c r="H2" s="213"/>
    </row>
    <row r="3" spans="1:11" x14ac:dyDescent="0.25">
      <c r="B3" s="228" t="s">
        <v>324</v>
      </c>
      <c r="C3" s="228"/>
      <c r="D3" s="228"/>
      <c r="E3" s="438" t="str">
        <f>'0664'!F4</f>
        <v>FY 2021-2022 Final Payment</v>
      </c>
      <c r="F3" s="208"/>
      <c r="G3" s="208"/>
      <c r="H3" s="208"/>
    </row>
    <row r="4" spans="1:11" x14ac:dyDescent="0.25">
      <c r="A4" s="209"/>
      <c r="B4" s="209"/>
      <c r="C4" s="209"/>
      <c r="D4" s="209"/>
      <c r="E4" s="209"/>
      <c r="F4" s="209"/>
      <c r="G4" s="209"/>
      <c r="H4" s="209"/>
    </row>
    <row r="5" spans="1:11" x14ac:dyDescent="0.25">
      <c r="A5" s="209"/>
      <c r="B5" s="214" t="s">
        <v>187</v>
      </c>
      <c r="C5" s="214"/>
      <c r="D5" s="214"/>
      <c r="E5" s="215" t="s">
        <v>9</v>
      </c>
      <c r="F5" s="209"/>
      <c r="G5" s="209"/>
      <c r="H5" s="209"/>
    </row>
    <row r="6" spans="1:11" x14ac:dyDescent="0.25">
      <c r="A6" s="209"/>
      <c r="B6" s="209"/>
      <c r="C6" s="209"/>
      <c r="D6" s="209"/>
      <c r="E6" s="209"/>
      <c r="F6" s="209"/>
      <c r="G6" s="209"/>
      <c r="H6" s="209"/>
    </row>
    <row r="7" spans="1:11" x14ac:dyDescent="0.25">
      <c r="A7" s="209"/>
      <c r="B7" s="216"/>
      <c r="C7" s="238"/>
      <c r="D7" s="238"/>
      <c r="E7" s="217" t="s">
        <v>188</v>
      </c>
      <c r="F7" s="209"/>
      <c r="G7" s="209"/>
      <c r="H7" s="209"/>
    </row>
    <row r="8" spans="1:11" x14ac:dyDescent="0.25">
      <c r="A8" s="209"/>
      <c r="B8" s="229" t="s">
        <v>200</v>
      </c>
      <c r="C8" s="229"/>
      <c r="D8" s="229"/>
      <c r="E8" s="384">
        <v>885681905</v>
      </c>
      <c r="F8" s="209"/>
      <c r="G8" s="209"/>
      <c r="H8" s="209"/>
      <c r="K8" s="388" t="s">
        <v>340</v>
      </c>
    </row>
    <row r="9" spans="1:11" x14ac:dyDescent="0.25">
      <c r="A9" s="209"/>
      <c r="B9" s="229" t="s">
        <v>303</v>
      </c>
      <c r="C9" s="229"/>
      <c r="D9" s="229"/>
      <c r="E9" s="384">
        <v>0</v>
      </c>
      <c r="F9" s="209"/>
      <c r="G9" s="209"/>
      <c r="H9" s="209"/>
      <c r="K9" s="388" t="s">
        <v>340</v>
      </c>
    </row>
    <row r="10" spans="1:11" x14ac:dyDescent="0.25">
      <c r="A10" s="209"/>
      <c r="B10" s="218" t="s">
        <v>189</v>
      </c>
      <c r="C10" s="218"/>
      <c r="D10" s="218"/>
      <c r="E10" s="384">
        <v>126865223</v>
      </c>
      <c r="F10" s="209"/>
      <c r="G10" s="209"/>
      <c r="H10" s="209"/>
      <c r="K10" s="388" t="s">
        <v>340</v>
      </c>
    </row>
    <row r="11" spans="1:11" x14ac:dyDescent="0.25">
      <c r="A11" s="209"/>
      <c r="B11" s="218" t="s">
        <v>190</v>
      </c>
      <c r="C11" s="218"/>
      <c r="D11" s="218"/>
      <c r="E11" s="384">
        <v>0</v>
      </c>
      <c r="F11" s="209"/>
      <c r="G11" s="209"/>
      <c r="H11" s="209"/>
      <c r="K11" s="388" t="s">
        <v>340</v>
      </c>
    </row>
    <row r="12" spans="1:11" x14ac:dyDescent="0.25">
      <c r="A12" s="209"/>
      <c r="B12" s="218" t="s">
        <v>191</v>
      </c>
      <c r="C12" s="218"/>
      <c r="D12" s="218"/>
      <c r="E12" s="384">
        <v>8613749</v>
      </c>
      <c r="F12" s="209"/>
      <c r="G12" s="209"/>
      <c r="H12" s="209"/>
      <c r="K12" s="388" t="s">
        <v>340</v>
      </c>
    </row>
    <row r="13" spans="1:11" x14ac:dyDescent="0.25">
      <c r="A13" s="209"/>
      <c r="B13" s="218" t="s">
        <v>192</v>
      </c>
      <c r="C13" s="218"/>
      <c r="D13" s="218"/>
      <c r="E13" s="384">
        <v>14865036</v>
      </c>
      <c r="F13" s="235"/>
      <c r="G13" s="209"/>
      <c r="H13" s="209"/>
      <c r="K13" s="388" t="s">
        <v>340</v>
      </c>
    </row>
    <row r="14" spans="1:11" x14ac:dyDescent="0.25">
      <c r="A14" s="209"/>
      <c r="B14" s="241" t="s">
        <v>8</v>
      </c>
      <c r="C14" s="218" t="s">
        <v>202</v>
      </c>
      <c r="D14" s="218"/>
      <c r="E14" s="233">
        <f>SUM(E8:E13)</f>
        <v>1036025913</v>
      </c>
      <c r="F14" s="209"/>
      <c r="G14" s="209"/>
      <c r="H14" s="209"/>
    </row>
    <row r="15" spans="1:11" x14ac:dyDescent="0.25">
      <c r="A15" s="209"/>
      <c r="B15" s="218"/>
      <c r="C15" s="218"/>
      <c r="D15" s="218"/>
      <c r="E15" s="234"/>
      <c r="F15" s="209"/>
      <c r="G15" s="209"/>
      <c r="H15" s="209"/>
    </row>
    <row r="16" spans="1:11" x14ac:dyDescent="0.25">
      <c r="A16" s="209"/>
      <c r="B16" s="229" t="s">
        <v>201</v>
      </c>
      <c r="C16" s="229" t="s">
        <v>3</v>
      </c>
      <c r="D16" s="229"/>
      <c r="E16" s="385">
        <v>187935.23</v>
      </c>
      <c r="F16" s="209"/>
      <c r="G16" s="209"/>
      <c r="H16" s="209"/>
      <c r="K16" s="388" t="s">
        <v>340</v>
      </c>
    </row>
    <row r="17" spans="1:8" x14ac:dyDescent="0.25">
      <c r="A17" s="209"/>
      <c r="B17" s="229"/>
      <c r="C17" s="229"/>
      <c r="D17" s="229"/>
      <c r="E17" s="231"/>
      <c r="F17" s="209"/>
      <c r="G17" s="209"/>
      <c r="H17" s="209"/>
    </row>
    <row r="18" spans="1:8" x14ac:dyDescent="0.25">
      <c r="A18" s="209"/>
      <c r="B18" s="218" t="s">
        <v>193</v>
      </c>
      <c r="C18" s="218" t="s">
        <v>203</v>
      </c>
      <c r="D18" s="218"/>
      <c r="E18" s="232">
        <f>ROUND(E14/E16,2)</f>
        <v>5512.68</v>
      </c>
      <c r="F18" s="209"/>
      <c r="G18" s="209"/>
      <c r="H18" s="209"/>
    </row>
    <row r="19" spans="1:8" x14ac:dyDescent="0.25">
      <c r="A19" s="209"/>
      <c r="B19" s="218" t="s">
        <v>194</v>
      </c>
      <c r="C19" s="218"/>
      <c r="D19" s="218"/>
      <c r="E19" s="236">
        <f>IF(E18&gt;5230,0,5230-E18)</f>
        <v>0</v>
      </c>
      <c r="F19" s="209"/>
      <c r="G19" s="209"/>
      <c r="H19" s="209"/>
    </row>
    <row r="20" spans="1:8" x14ac:dyDescent="0.25">
      <c r="A20" s="209"/>
      <c r="B20" s="218" t="s">
        <v>195</v>
      </c>
      <c r="C20" s="218"/>
      <c r="D20" s="218"/>
      <c r="E20" s="230">
        <f>E18+E19</f>
        <v>5512.68</v>
      </c>
      <c r="F20" s="209"/>
      <c r="G20" s="209"/>
      <c r="H20" s="209"/>
    </row>
    <row r="21" spans="1:8" x14ac:dyDescent="0.25">
      <c r="A21" s="209"/>
      <c r="B21" s="209"/>
      <c r="C21" s="209"/>
      <c r="D21" s="209"/>
      <c r="E21" s="209"/>
      <c r="F21" s="209"/>
      <c r="G21" s="209"/>
      <c r="H21" s="209"/>
    </row>
    <row r="22" spans="1:8" x14ac:dyDescent="0.25">
      <c r="A22" s="209"/>
      <c r="B22" s="403" t="s">
        <v>311</v>
      </c>
      <c r="C22" s="220"/>
      <c r="D22" s="220"/>
      <c r="E22" s="386">
        <v>0</v>
      </c>
      <c r="F22" s="209"/>
      <c r="G22" s="209"/>
      <c r="H22" s="209"/>
    </row>
    <row r="23" spans="1:8" x14ac:dyDescent="0.25">
      <c r="A23" s="209"/>
      <c r="B23" s="403" t="s">
        <v>312</v>
      </c>
      <c r="C23" s="220"/>
      <c r="D23" s="220"/>
      <c r="E23" s="387">
        <v>0</v>
      </c>
      <c r="F23" s="209"/>
      <c r="G23" s="209"/>
      <c r="H23" s="209"/>
    </row>
    <row r="24" spans="1:8" x14ac:dyDescent="0.25">
      <c r="A24" s="209"/>
      <c r="B24" s="221" t="s">
        <v>196</v>
      </c>
      <c r="C24" s="221"/>
      <c r="D24" s="221"/>
      <c r="E24" s="222">
        <f>+E22+E23</f>
        <v>0</v>
      </c>
      <c r="F24" s="209"/>
      <c r="G24" s="209"/>
      <c r="H24" s="209"/>
    </row>
    <row r="25" spans="1:8" x14ac:dyDescent="0.25">
      <c r="A25" s="209"/>
      <c r="B25" s="221"/>
      <c r="C25" s="221"/>
      <c r="D25" s="221"/>
      <c r="E25" s="239"/>
      <c r="F25" s="209"/>
      <c r="G25" s="209"/>
      <c r="H25" s="209"/>
    </row>
    <row r="26" spans="1:8" x14ac:dyDescent="0.25">
      <c r="A26" s="209"/>
      <c r="B26" s="223" t="s">
        <v>197</v>
      </c>
      <c r="C26" s="223"/>
      <c r="D26" s="223"/>
      <c r="E26" s="240">
        <f>E20*E24</f>
        <v>0</v>
      </c>
      <c r="F26" s="209"/>
      <c r="G26" s="209"/>
      <c r="H26" s="209"/>
    </row>
    <row r="27" spans="1:8" x14ac:dyDescent="0.25">
      <c r="A27" s="209"/>
      <c r="B27" s="242" t="s">
        <v>204</v>
      </c>
      <c r="C27" s="223"/>
      <c r="D27" s="223"/>
      <c r="E27" s="224">
        <v>0.7</v>
      </c>
      <c r="F27" s="209"/>
      <c r="G27" s="209"/>
      <c r="H27" s="209"/>
    </row>
    <row r="28" spans="1:8" x14ac:dyDescent="0.25">
      <c r="A28" s="209"/>
      <c r="B28" s="223" t="s">
        <v>198</v>
      </c>
      <c r="C28" s="223"/>
      <c r="D28" s="223"/>
      <c r="E28" s="240">
        <f>ROUND(E26*E27,2)</f>
        <v>0</v>
      </c>
      <c r="F28" s="209"/>
      <c r="G28" s="209"/>
      <c r="H28" s="209"/>
    </row>
    <row r="29" spans="1:8" x14ac:dyDescent="0.25">
      <c r="A29" s="209"/>
      <c r="B29" s="223" t="s">
        <v>199</v>
      </c>
      <c r="C29" s="223"/>
      <c r="D29" s="223"/>
      <c r="E29" s="225">
        <f>-ROUND(E28*0.05,2)</f>
        <v>0</v>
      </c>
      <c r="F29" s="209"/>
      <c r="G29" s="209"/>
      <c r="H29" s="209"/>
    </row>
    <row r="30" spans="1:8" x14ac:dyDescent="0.25">
      <c r="A30" s="209"/>
      <c r="B30" s="223" t="s">
        <v>105</v>
      </c>
      <c r="C30" s="223"/>
      <c r="D30" s="223"/>
      <c r="E30" s="244">
        <f>E28+E29</f>
        <v>0</v>
      </c>
      <c r="F30" s="209"/>
      <c r="G30" s="209"/>
      <c r="H30" s="209"/>
    </row>
    <row r="31" spans="1:8" x14ac:dyDescent="0.25">
      <c r="A31" s="209"/>
      <c r="B31" s="209"/>
      <c r="C31" s="209"/>
      <c r="D31" s="209"/>
      <c r="E31" s="209"/>
      <c r="F31" s="209"/>
      <c r="G31" s="219"/>
      <c r="H31" s="209"/>
    </row>
    <row r="32" spans="1:8" x14ac:dyDescent="0.25">
      <c r="A32" s="209"/>
      <c r="B32" s="3" t="s">
        <v>106</v>
      </c>
      <c r="C32" s="223"/>
      <c r="D32" s="223"/>
      <c r="E32" s="389">
        <v>0</v>
      </c>
      <c r="F32" s="209"/>
      <c r="G32" s="219"/>
      <c r="H32" s="209"/>
    </row>
    <row r="33" spans="1:8" x14ac:dyDescent="0.25">
      <c r="A33" s="209"/>
      <c r="B33" s="3"/>
      <c r="C33" s="223"/>
      <c r="D33" s="223"/>
      <c r="E33" s="416"/>
      <c r="F33" s="209"/>
      <c r="G33" s="219"/>
      <c r="H33" s="209"/>
    </row>
    <row r="34" spans="1:8" x14ac:dyDescent="0.25">
      <c r="A34" s="209"/>
      <c r="B34" s="3" t="s">
        <v>313</v>
      </c>
      <c r="C34" s="223"/>
      <c r="D34" s="223"/>
      <c r="E34" s="416">
        <f>E30+E32</f>
        <v>0</v>
      </c>
      <c r="F34" s="209"/>
      <c r="G34" s="219"/>
      <c r="H34" s="209"/>
    </row>
    <row r="35" spans="1:8" x14ac:dyDescent="0.25">
      <c r="A35" s="209"/>
      <c r="B35" s="3"/>
      <c r="C35" s="223"/>
      <c r="D35" s="223"/>
      <c r="E35" s="416"/>
      <c r="F35" s="209"/>
      <c r="G35" s="219"/>
      <c r="H35" s="209"/>
    </row>
    <row r="36" spans="1:8" x14ac:dyDescent="0.25">
      <c r="A36" s="209"/>
      <c r="B36" s="3" t="s">
        <v>315</v>
      </c>
      <c r="C36" s="243"/>
      <c r="D36" s="243"/>
      <c r="E36" s="428">
        <v>11</v>
      </c>
      <c r="F36" s="209"/>
      <c r="G36" s="219"/>
      <c r="H36" s="209"/>
    </row>
    <row r="37" spans="1:8" x14ac:dyDescent="0.25">
      <c r="A37" s="209"/>
      <c r="B37" s="3"/>
      <c r="C37" s="223"/>
      <c r="D37" s="223"/>
      <c r="E37" s="244"/>
      <c r="F37" s="209"/>
      <c r="G37" s="219"/>
      <c r="H37" s="209"/>
    </row>
    <row r="38" spans="1:8" ht="16.5" thickBot="1" x14ac:dyDescent="0.3">
      <c r="A38" s="209"/>
      <c r="B38" s="3" t="s">
        <v>107</v>
      </c>
      <c r="C38" s="226"/>
      <c r="D38" s="226"/>
      <c r="E38" s="417">
        <f>IF(E36=0,0,ROUND(E34/E36,2))</f>
        <v>0</v>
      </c>
      <c r="F38" s="209"/>
      <c r="G38" s="209"/>
      <c r="H38" s="209"/>
    </row>
    <row r="39" spans="1:8" ht="16.5" thickTop="1" x14ac:dyDescent="0.25"/>
    <row r="41" spans="1:8" x14ac:dyDescent="0.25">
      <c r="A41" s="495" t="s">
        <v>343</v>
      </c>
      <c r="B41" s="496"/>
      <c r="C41" s="496"/>
      <c r="D41" s="496"/>
      <c r="E41" s="496"/>
    </row>
    <row r="42" spans="1:8" x14ac:dyDescent="0.25">
      <c r="A42" s="495" t="s">
        <v>344</v>
      </c>
      <c r="B42" s="496"/>
      <c r="C42" s="496"/>
      <c r="D42" s="496"/>
      <c r="E42" s="496"/>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U202"/>
  <sheetViews>
    <sheetView showGridLines="0" zoomScale="90" zoomScaleNormal="90" workbookViewId="0">
      <pane ySplit="1" topLeftCell="A98" activePane="bottomLeft" state="frozen"/>
      <selection activeCell="A46" sqref="A46:IV46"/>
      <selection pane="bottomLeft" activeCell="I128" sqref="I128"/>
    </sheetView>
  </sheetViews>
  <sheetFormatPr defaultRowHeight="15.75" x14ac:dyDescent="0.25"/>
  <cols>
    <col min="1" max="1" width="10.28515625" style="86"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157</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323.77999999999997</v>
      </c>
      <c r="D17" s="192">
        <v>307.99</v>
      </c>
      <c r="E17" s="147">
        <f t="shared" si="3"/>
        <v>631.77</v>
      </c>
      <c r="F17" s="814">
        <f>'0664'!F17:G17</f>
        <v>1.01</v>
      </c>
      <c r="G17" s="814"/>
      <c r="H17" s="99">
        <f t="shared" si="4"/>
        <v>638.08770000000004</v>
      </c>
      <c r="I17" s="120">
        <f t="shared" si="0"/>
        <v>2908608.81</v>
      </c>
      <c r="N17" s="840" t="s">
        <v>33</v>
      </c>
      <c r="O17" s="840"/>
      <c r="P17" s="841">
        <f t="shared" si="1"/>
        <v>0</v>
      </c>
      <c r="Q17" s="841"/>
      <c r="R17" s="842">
        <v>1</v>
      </c>
      <c r="S17" s="842"/>
      <c r="T17" s="114">
        <f t="shared" si="5"/>
        <v>0</v>
      </c>
      <c r="U17" s="115">
        <f t="shared" si="2"/>
        <v>0</v>
      </c>
    </row>
    <row r="18" spans="1:21" x14ac:dyDescent="0.25">
      <c r="A18" s="764" t="s">
        <v>34</v>
      </c>
      <c r="B18" s="764"/>
      <c r="C18" s="192">
        <v>115.07</v>
      </c>
      <c r="D18" s="192">
        <v>111.16</v>
      </c>
      <c r="E18" s="147">
        <f t="shared" si="3"/>
        <v>226.23</v>
      </c>
      <c r="F18" s="814">
        <f>'0664'!F18:G18</f>
        <v>1.01</v>
      </c>
      <c r="G18" s="814"/>
      <c r="H18" s="99">
        <f t="shared" si="4"/>
        <v>228.4923</v>
      </c>
      <c r="I18" s="120">
        <f t="shared" si="0"/>
        <v>1041541.34</v>
      </c>
      <c r="J18" s="81" t="str">
        <f>IF(ROUND(E18,2)=ROUND(SUM(E56:E58),2)," ","CHECK 9-12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7.72</v>
      </c>
      <c r="D27" s="192">
        <v>5.94</v>
      </c>
      <c r="E27" s="147">
        <f t="shared" si="3"/>
        <v>13.66</v>
      </c>
      <c r="F27" s="814">
        <f>'0664'!F27:G27</f>
        <v>1.1990000000000001</v>
      </c>
      <c r="G27" s="814"/>
      <c r="H27" s="99">
        <f t="shared" si="4"/>
        <v>16.378299999999999</v>
      </c>
      <c r="I27" s="120">
        <f t="shared" si="0"/>
        <v>74657.56</v>
      </c>
      <c r="N27" s="840" t="s">
        <v>118</v>
      </c>
      <c r="O27" s="840"/>
      <c r="P27" s="841">
        <f t="shared" si="1"/>
        <v>0</v>
      </c>
      <c r="Q27" s="841"/>
      <c r="R27" s="842">
        <v>1</v>
      </c>
      <c r="S27" s="842"/>
      <c r="T27" s="114">
        <f t="shared" si="5"/>
        <v>0</v>
      </c>
      <c r="U27" s="115">
        <f t="shared" si="2"/>
        <v>0</v>
      </c>
    </row>
    <row r="28" spans="1:21" x14ac:dyDescent="0.25">
      <c r="A28" s="790" t="s">
        <v>119</v>
      </c>
      <c r="B28" s="790"/>
      <c r="C28" s="137">
        <v>132.25</v>
      </c>
      <c r="D28" s="137">
        <v>128.85</v>
      </c>
      <c r="E28" s="204">
        <f t="shared" si="3"/>
        <v>261.10000000000002</v>
      </c>
      <c r="F28" s="815">
        <f>'0664'!F28:G28</f>
        <v>1.01</v>
      </c>
      <c r="G28" s="815"/>
      <c r="H28" s="112">
        <f t="shared" si="4"/>
        <v>263.71100000000001</v>
      </c>
      <c r="I28" s="113">
        <f t="shared" si="0"/>
        <v>1202079.49</v>
      </c>
      <c r="N28" s="845" t="s">
        <v>119</v>
      </c>
      <c r="O28" s="845"/>
      <c r="P28" s="841">
        <f t="shared" si="1"/>
        <v>0</v>
      </c>
      <c r="Q28" s="841"/>
      <c r="R28" s="846">
        <v>1</v>
      </c>
      <c r="S28" s="846"/>
      <c r="T28" s="114">
        <f t="shared" si="5"/>
        <v>0</v>
      </c>
      <c r="U28" s="115">
        <f t="shared" si="2"/>
        <v>0</v>
      </c>
    </row>
    <row r="29" spans="1:21" x14ac:dyDescent="0.25">
      <c r="A29" s="828" t="s">
        <v>5</v>
      </c>
      <c r="B29" s="828"/>
      <c r="C29" s="113">
        <f>SUM(C13:C28)</f>
        <v>578.81999999999994</v>
      </c>
      <c r="D29" s="113">
        <f>SUM(D13:D28)</f>
        <v>553.93999999999994</v>
      </c>
      <c r="E29" s="113">
        <f>SUM(E13:E28)</f>
        <v>1132.76</v>
      </c>
      <c r="F29" s="820"/>
      <c r="G29" s="820"/>
      <c r="H29" s="118">
        <f>SUM(H13:H28)</f>
        <v>1146.6693</v>
      </c>
      <c r="I29" s="113">
        <f>SUM(I13:I28)</f>
        <v>5226887.2</v>
      </c>
      <c r="N29" s="850" t="s">
        <v>5</v>
      </c>
      <c r="O29" s="850"/>
      <c r="P29" s="851">
        <f>SUM(P13:P28)</f>
        <v>0</v>
      </c>
      <c r="Q29" s="851"/>
      <c r="R29" s="852"/>
      <c r="S29" s="852"/>
      <c r="T29" s="119">
        <f>SUM(T13:T28)</f>
        <v>0</v>
      </c>
      <c r="U29" s="115">
        <f>SUM(U13:U28)</f>
        <v>0</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1146.6693</v>
      </c>
      <c r="F45" s="36"/>
      <c r="G45" s="128"/>
      <c r="H45" s="129" t="s">
        <v>131</v>
      </c>
      <c r="I45" s="113">
        <f>SUM(I43,I29)</f>
        <v>5226887.2</v>
      </c>
      <c r="N45" s="855" t="s">
        <v>56</v>
      </c>
      <c r="O45" s="855"/>
      <c r="P45" s="855"/>
      <c r="Q45" s="855"/>
      <c r="R45" s="37">
        <f>R43+T29</f>
        <v>0</v>
      </c>
      <c r="S45" s="852" t="s">
        <v>54</v>
      </c>
      <c r="T45" s="852"/>
      <c r="U45" s="130">
        <f>SUM(U43,U29)</f>
        <v>0</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110.01</v>
      </c>
      <c r="D56" s="192">
        <v>104.25</v>
      </c>
      <c r="E56" s="147">
        <f t="shared" si="10"/>
        <v>214.26</v>
      </c>
      <c r="F56" s="143" t="s">
        <v>15</v>
      </c>
      <c r="G56" s="52">
        <v>251</v>
      </c>
      <c r="H56" s="485">
        <f>'0664'!H56</f>
        <v>835</v>
      </c>
      <c r="I56" s="120">
        <f t="shared" si="11"/>
        <v>178907.1</v>
      </c>
      <c r="N56" s="863"/>
      <c r="O56" s="863"/>
      <c r="P56" s="865"/>
      <c r="Q56" s="865"/>
      <c r="R56" s="45" t="s">
        <v>15</v>
      </c>
      <c r="S56" s="43">
        <v>251</v>
      </c>
      <c r="T56" s="138">
        <f t="shared" si="12"/>
        <v>835</v>
      </c>
      <c r="U56" s="139">
        <f t="shared" si="13"/>
        <v>0</v>
      </c>
    </row>
    <row r="57" spans="1:21" x14ac:dyDescent="0.25">
      <c r="A57" s="792"/>
      <c r="B57" s="792"/>
      <c r="C57" s="192">
        <v>5.0599999999999996</v>
      </c>
      <c r="D57" s="192">
        <v>6.91</v>
      </c>
      <c r="E57" s="147">
        <f t="shared" si="10"/>
        <v>11.969999999999999</v>
      </c>
      <c r="F57" s="143" t="s">
        <v>15</v>
      </c>
      <c r="G57" s="52">
        <v>252</v>
      </c>
      <c r="H57" s="485">
        <f>'0664'!H57</f>
        <v>3168</v>
      </c>
      <c r="I57" s="120">
        <f t="shared" si="11"/>
        <v>37920.959999999999</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115.07000000000001</v>
      </c>
      <c r="D59" s="116">
        <f>SUM(D50:D58)</f>
        <v>111.16</v>
      </c>
      <c r="E59" s="116">
        <f>SUM(E50:E58)</f>
        <v>226.23</v>
      </c>
      <c r="F59" s="767" t="s">
        <v>78</v>
      </c>
      <c r="G59" s="767"/>
      <c r="H59" s="767"/>
      <c r="I59" s="116">
        <f>SUM(I50:I58)</f>
        <v>216828.06</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1132.76</v>
      </c>
      <c r="D62" s="882" t="s">
        <v>137</v>
      </c>
      <c r="E62" s="882"/>
      <c r="F62" s="882"/>
      <c r="G62" s="882"/>
      <c r="H62" s="542">
        <f>'0664'!H62</f>
        <v>190754.06</v>
      </c>
      <c r="I62" s="144"/>
      <c r="N62" s="860" t="s">
        <v>327</v>
      </c>
      <c r="O62" s="840"/>
      <c r="P62" s="46">
        <f>P29</f>
        <v>0</v>
      </c>
      <c r="Q62" s="861" t="s">
        <v>79</v>
      </c>
      <c r="R62" s="861"/>
      <c r="S62" s="861"/>
      <c r="T62" s="862">
        <f>H62</f>
        <v>190754.06</v>
      </c>
      <c r="U62" s="862"/>
    </row>
    <row r="63" spans="1:21" x14ac:dyDescent="0.25">
      <c r="B63" s="86"/>
      <c r="G63" s="47" t="s">
        <v>13</v>
      </c>
      <c r="H63" s="145">
        <f>ROUND(C62/H62,6)</f>
        <v>5.9379999999999997E-3</v>
      </c>
      <c r="I63" s="146"/>
      <c r="N63" s="840" t="s">
        <v>19</v>
      </c>
      <c r="O63" s="840"/>
      <c r="P63" s="840"/>
      <c r="Q63" s="840"/>
      <c r="R63" s="840"/>
      <c r="S63" s="840"/>
      <c r="T63" s="868">
        <f>ROUND(P62/T62,6)</f>
        <v>0</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1146.6693</v>
      </c>
      <c r="D65" s="882" t="s">
        <v>142</v>
      </c>
      <c r="E65" s="882"/>
      <c r="F65" s="882"/>
      <c r="G65" s="882"/>
      <c r="H65" s="543">
        <f>'0664'!H65</f>
        <v>214462.41</v>
      </c>
      <c r="I65" s="147"/>
      <c r="N65" s="840" t="s">
        <v>81</v>
      </c>
      <c r="O65" s="840"/>
      <c r="P65" s="46">
        <f>R45</f>
        <v>0</v>
      </c>
      <c r="Q65" s="861" t="s">
        <v>80</v>
      </c>
      <c r="R65" s="861"/>
      <c r="S65" s="861"/>
      <c r="T65" s="862">
        <f>H65</f>
        <v>214462.41</v>
      </c>
      <c r="U65" s="862"/>
    </row>
    <row r="66" spans="1:21" s="38" customFormat="1" x14ac:dyDescent="0.25">
      <c r="A66" s="148"/>
      <c r="G66" s="48" t="s">
        <v>13</v>
      </c>
      <c r="H66" s="149">
        <f>ROUND(C65/H65,6)</f>
        <v>5.3470000000000002E-3</v>
      </c>
      <c r="I66" s="149"/>
      <c r="N66" s="845" t="s">
        <v>20</v>
      </c>
      <c r="O66" s="845"/>
      <c r="P66" s="845"/>
      <c r="Q66" s="845"/>
      <c r="R66" s="845"/>
      <c r="S66" s="845"/>
      <c r="T66" s="867">
        <f>ROUND(P65/T65,6)</f>
        <v>0</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5.9379999999999997E-3</v>
      </c>
      <c r="I68" s="120">
        <f>ROUND(F68*H68,2)</f>
        <v>249571.63</v>
      </c>
      <c r="N68" s="840" t="s">
        <v>87</v>
      </c>
      <c r="O68" s="840"/>
      <c r="P68" s="840"/>
      <c r="Q68" s="50"/>
      <c r="R68" s="156">
        <f>F68</f>
        <v>42029577</v>
      </c>
      <c r="S68" s="42" t="s">
        <v>6</v>
      </c>
      <c r="T68" s="157">
        <f>T63</f>
        <v>0</v>
      </c>
      <c r="U68" s="115">
        <f>ROUND(R68*T68,0)</f>
        <v>0</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5.9379999999999997E-3</v>
      </c>
      <c r="I70" s="120">
        <f>ROUND(F70*H70,2)</f>
        <v>0</v>
      </c>
      <c r="N70" s="51"/>
      <c r="O70" s="51"/>
      <c r="P70" s="51"/>
      <c r="Q70" s="50"/>
      <c r="R70" s="156">
        <f>F70</f>
        <v>0</v>
      </c>
      <c r="S70" s="42" t="s">
        <v>6</v>
      </c>
      <c r="T70" s="157">
        <f>T63</f>
        <v>0</v>
      </c>
      <c r="U70" s="115">
        <f>ROUND(R70*T70,0)</f>
        <v>0</v>
      </c>
    </row>
    <row r="71" spans="1:21" x14ac:dyDescent="0.25">
      <c r="A71" s="764" t="s">
        <v>85</v>
      </c>
      <c r="B71" s="764"/>
      <c r="C71" s="764"/>
      <c r="D71" s="556" t="s">
        <v>358</v>
      </c>
      <c r="E71" s="610" t="s">
        <v>372</v>
      </c>
      <c r="F71" s="544">
        <f>'0664'!F71</f>
        <v>146607</v>
      </c>
      <c r="G71" s="40" t="s">
        <v>6</v>
      </c>
      <c r="H71" s="155">
        <f>H63</f>
        <v>5.9379999999999997E-3</v>
      </c>
      <c r="I71" s="120">
        <f>IF(D71="Y",ROUND(F71*H71,2),0)</f>
        <v>870.55</v>
      </c>
      <c r="N71" s="840" t="s">
        <v>85</v>
      </c>
      <c r="O71" s="840"/>
      <c r="P71" s="840"/>
      <c r="Q71" s="50"/>
      <c r="R71" s="156">
        <f>F71</f>
        <v>146607</v>
      </c>
      <c r="S71" s="42" t="s">
        <v>6</v>
      </c>
      <c r="T71" s="157">
        <f>T63</f>
        <v>0</v>
      </c>
      <c r="U71" s="115">
        <f>ROUND(R71*T71,0)</f>
        <v>0</v>
      </c>
    </row>
    <row r="72" spans="1:21" x14ac:dyDescent="0.25">
      <c r="A72" s="764" t="s">
        <v>84</v>
      </c>
      <c r="B72" s="764"/>
      <c r="C72" s="764"/>
      <c r="D72" s="86"/>
      <c r="E72" s="71" t="s">
        <v>3</v>
      </c>
      <c r="F72" s="544">
        <f>'0664'!F72</f>
        <v>11337910</v>
      </c>
      <c r="G72" s="40" t="s">
        <v>6</v>
      </c>
      <c r="H72" s="155">
        <f>H63</f>
        <v>5.9379999999999997E-3</v>
      </c>
      <c r="I72" s="120">
        <f>ROUND(F72*H72,2)</f>
        <v>67324.509999999995</v>
      </c>
      <c r="N72" s="840" t="s">
        <v>84</v>
      </c>
      <c r="O72" s="840"/>
      <c r="P72" s="840"/>
      <c r="Q72" s="50"/>
      <c r="R72" s="156">
        <f>F72</f>
        <v>11337910</v>
      </c>
      <c r="S72" s="42" t="s">
        <v>6</v>
      </c>
      <c r="T72" s="157">
        <f>T63</f>
        <v>0</v>
      </c>
      <c r="U72" s="115">
        <f>ROUND(R72*T72,0)</f>
        <v>0</v>
      </c>
    </row>
    <row r="73" spans="1:21" x14ac:dyDescent="0.25">
      <c r="A73" s="764" t="s">
        <v>83</v>
      </c>
      <c r="B73" s="764"/>
      <c r="C73" s="764"/>
      <c r="D73" s="86"/>
      <c r="E73" s="71" t="s">
        <v>3</v>
      </c>
      <c r="F73" s="544">
        <f>'0664'!F73</f>
        <v>13882385</v>
      </c>
      <c r="G73" s="40" t="s">
        <v>6</v>
      </c>
      <c r="H73" s="155">
        <f>H63</f>
        <v>5.9379999999999997E-3</v>
      </c>
      <c r="I73" s="120">
        <f>ROUND(F73*H73,2)</f>
        <v>82433.600000000006</v>
      </c>
      <c r="N73" s="840" t="s">
        <v>83</v>
      </c>
      <c r="O73" s="840"/>
      <c r="P73" s="840"/>
      <c r="Q73" s="50"/>
      <c r="R73" s="159">
        <f>F73</f>
        <v>13882385</v>
      </c>
      <c r="S73" s="42" t="s">
        <v>6</v>
      </c>
      <c r="T73" s="157">
        <f>T63</f>
        <v>0</v>
      </c>
      <c r="U73" s="115">
        <f>ROUND(R73*T73,0)</f>
        <v>0</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5.9379999999999997E-3</v>
      </c>
      <c r="I77" s="120">
        <f t="shared" ref="I77:I82" si="14">ROUND(F77*H77,2)</f>
        <v>44312.57</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5.9379999999999997E-3</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5.3470000000000002E-3</v>
      </c>
      <c r="I79" s="120">
        <f t="shared" si="14"/>
        <v>0</v>
      </c>
      <c r="N79" s="860" t="s">
        <v>414</v>
      </c>
      <c r="O79" s="840"/>
      <c r="P79" s="840"/>
      <c r="Q79" s="50"/>
      <c r="R79" s="159">
        <f t="shared" si="15"/>
        <v>0</v>
      </c>
      <c r="S79" s="42" t="s">
        <v>6</v>
      </c>
      <c r="T79" s="157">
        <f>T66</f>
        <v>0</v>
      </c>
      <c r="U79" s="115">
        <f t="shared" si="16"/>
        <v>0</v>
      </c>
    </row>
    <row r="80" spans="1:21" x14ac:dyDescent="0.25">
      <c r="A80" s="765" t="s">
        <v>415</v>
      </c>
      <c r="B80" s="764"/>
      <c r="C80" s="764"/>
      <c r="D80" s="86"/>
      <c r="E80" s="71" t="s">
        <v>4</v>
      </c>
      <c r="F80" s="544">
        <f>'0664'!F80</f>
        <v>8562788</v>
      </c>
      <c r="G80" s="40" t="s">
        <v>6</v>
      </c>
      <c r="H80" s="155">
        <f>H66</f>
        <v>5.3470000000000002E-3</v>
      </c>
      <c r="I80" s="120">
        <f t="shared" si="14"/>
        <v>45785.23</v>
      </c>
      <c r="N80" s="860" t="s">
        <v>415</v>
      </c>
      <c r="O80" s="840"/>
      <c r="P80" s="840"/>
      <c r="Q80" s="50"/>
      <c r="R80" s="159">
        <f t="shared" si="15"/>
        <v>8562788</v>
      </c>
      <c r="S80" s="42" t="s">
        <v>6</v>
      </c>
      <c r="T80" s="157">
        <f>T66</f>
        <v>0</v>
      </c>
      <c r="U80" s="115">
        <f t="shared" si="16"/>
        <v>0</v>
      </c>
    </row>
    <row r="81" spans="1:21" x14ac:dyDescent="0.25">
      <c r="A81" s="765" t="s">
        <v>419</v>
      </c>
      <c r="B81" s="764"/>
      <c r="C81" s="764"/>
      <c r="D81" s="86"/>
      <c r="E81" s="71" t="s">
        <v>4</v>
      </c>
      <c r="F81" s="544">
        <f>'0664'!F81</f>
        <v>168663228</v>
      </c>
      <c r="G81" s="40" t="s">
        <v>6</v>
      </c>
      <c r="H81" s="155">
        <f>H66</f>
        <v>5.3470000000000002E-3</v>
      </c>
      <c r="I81" s="120">
        <f t="shared" si="14"/>
        <v>901842.28</v>
      </c>
      <c r="N81" s="860" t="s">
        <v>419</v>
      </c>
      <c r="O81" s="840"/>
      <c r="P81" s="840"/>
      <c r="Q81" s="50"/>
      <c r="R81" s="159">
        <f t="shared" si="15"/>
        <v>168663228</v>
      </c>
      <c r="S81" s="42" t="s">
        <v>6</v>
      </c>
      <c r="T81" s="157">
        <f>T66</f>
        <v>0</v>
      </c>
      <c r="U81" s="115">
        <f t="shared" si="16"/>
        <v>0</v>
      </c>
    </row>
    <row r="82" spans="1:21" x14ac:dyDescent="0.25">
      <c r="A82" s="765" t="s">
        <v>420</v>
      </c>
      <c r="B82" s="764"/>
      <c r="C82" s="764"/>
      <c r="D82" s="86"/>
      <c r="E82" s="71" t="s">
        <v>4</v>
      </c>
      <c r="F82" s="544">
        <f>'0664'!F82</f>
        <v>0</v>
      </c>
      <c r="G82" s="40" t="s">
        <v>6</v>
      </c>
      <c r="H82" s="155">
        <f>H66</f>
        <v>5.3470000000000002E-3</v>
      </c>
      <c r="I82" s="120">
        <f t="shared" si="14"/>
        <v>0</v>
      </c>
      <c r="N82" s="860" t="s">
        <v>420</v>
      </c>
      <c r="O82" s="840"/>
      <c r="P82" s="840"/>
      <c r="Q82" s="50"/>
      <c r="R82" s="156">
        <f t="shared" si="15"/>
        <v>0</v>
      </c>
      <c r="S82" s="42" t="s">
        <v>6</v>
      </c>
      <c r="T82" s="157">
        <f>T66</f>
        <v>0</v>
      </c>
      <c r="U82" s="115">
        <f t="shared" si="16"/>
        <v>0</v>
      </c>
    </row>
    <row r="83" spans="1:21" x14ac:dyDescent="0.25">
      <c r="A83" s="717" t="s">
        <v>425</v>
      </c>
      <c r="B83" s="443"/>
      <c r="C83" s="443"/>
      <c r="D83" s="443"/>
      <c r="E83" s="683" t="s">
        <v>45</v>
      </c>
      <c r="F83" s="544"/>
      <c r="G83" s="445"/>
      <c r="H83" s="155"/>
      <c r="I83" s="120">
        <v>220421.38</v>
      </c>
      <c r="N83" s="719" t="s">
        <v>425</v>
      </c>
      <c r="O83" s="444"/>
      <c r="P83" s="444"/>
      <c r="Q83" s="50"/>
      <c r="R83" s="159">
        <f t="shared" si="15"/>
        <v>0</v>
      </c>
      <c r="S83" s="446" t="s">
        <v>6</v>
      </c>
      <c r="T83" s="157">
        <f>T66</f>
        <v>0</v>
      </c>
      <c r="U83" s="115">
        <f>IF($H$116=1,I83,0)</f>
        <v>0</v>
      </c>
    </row>
    <row r="84" spans="1:21" x14ac:dyDescent="0.25">
      <c r="A84" s="765" t="s">
        <v>457</v>
      </c>
      <c r="B84" s="764"/>
      <c r="C84" s="764"/>
      <c r="D84" s="744"/>
      <c r="E84" s="747" t="s">
        <v>3</v>
      </c>
      <c r="F84" s="544">
        <f>'0664'!F84</f>
        <v>21614343</v>
      </c>
      <c r="G84" s="749" t="s">
        <v>6</v>
      </c>
      <c r="H84" s="155">
        <f>H63</f>
        <v>5.9379999999999997E-3</v>
      </c>
      <c r="I84" s="120">
        <f>ROUND(F84*H84,2)</f>
        <v>128345.97</v>
      </c>
      <c r="N84" s="860" t="s">
        <v>457</v>
      </c>
      <c r="O84" s="840"/>
      <c r="P84" s="840"/>
      <c r="Q84" s="50"/>
      <c r="R84" s="156">
        <f>F84</f>
        <v>21614343</v>
      </c>
      <c r="S84" s="751" t="s">
        <v>6</v>
      </c>
      <c r="T84" s="157">
        <f>T68</f>
        <v>0</v>
      </c>
      <c r="U84" s="115">
        <f>ROUND(R84*T84,0)</f>
        <v>0</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0</v>
      </c>
      <c r="D90" s="781"/>
      <c r="E90" s="54">
        <f>H8</f>
        <v>1.0424</v>
      </c>
      <c r="F90" s="545">
        <f>'0664'!F90</f>
        <v>923.19</v>
      </c>
      <c r="G90" s="186" t="s">
        <v>13</v>
      </c>
      <c r="H90" s="120">
        <f>ROUND(C90*E90*F90,2)</f>
        <v>0</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1146.6693</v>
      </c>
      <c r="D91" s="781"/>
      <c r="E91" s="54">
        <f>H8</f>
        <v>1.0424</v>
      </c>
      <c r="F91" s="545">
        <f>'0664'!F91</f>
        <v>925.42</v>
      </c>
      <c r="G91" s="186" t="s">
        <v>13</v>
      </c>
      <c r="H91" s="113">
        <f>ROUND(C91*E91*F91,2)</f>
        <v>1106143.49</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1146.6693</v>
      </c>
      <c r="D92" s="782"/>
      <c r="E92" s="168"/>
      <c r="F92" s="168"/>
      <c r="G92" s="168"/>
      <c r="H92" s="169" t="s">
        <v>145</v>
      </c>
      <c r="I92" s="120">
        <f>IF(A1=75,0,H91+H90+H89)</f>
        <v>1106143.49</v>
      </c>
      <c r="N92" s="70" t="s">
        <v>122</v>
      </c>
      <c r="O92" s="69">
        <f>SUM(O89:O91)</f>
        <v>0</v>
      </c>
      <c r="P92" s="876" t="s">
        <v>18</v>
      </c>
      <c r="Q92" s="877"/>
      <c r="R92" s="877"/>
      <c r="S92" s="877"/>
      <c r="T92" s="877"/>
      <c r="U92" s="115">
        <f>IF(N1=75,0,T91+T90+T89)</f>
        <v>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8"/>
      <c r="D95" s="8"/>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366</v>
      </c>
      <c r="D98" s="192">
        <v>330</v>
      </c>
      <c r="E98" s="147">
        <f>(C98+D98)/2</f>
        <v>348</v>
      </c>
      <c r="F98" s="173" t="s">
        <v>39</v>
      </c>
      <c r="G98" s="546">
        <f>'0664'!G98</f>
        <v>486</v>
      </c>
      <c r="I98" s="120">
        <f>ROUND(G98*E98,2)</f>
        <v>169128</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0</v>
      </c>
    </row>
    <row r="114" spans="1:21" ht="16.5" thickTop="1" x14ac:dyDescent="0.25">
      <c r="A114" s="767" t="s">
        <v>8</v>
      </c>
      <c r="B114" s="767"/>
      <c r="C114" s="767"/>
      <c r="D114" s="767"/>
      <c r="E114" s="767"/>
      <c r="F114" s="767"/>
      <c r="G114" s="767"/>
      <c r="H114" s="767"/>
      <c r="I114" s="120">
        <f>SUM(I112,I111,I109,I99,I98,I92,I84,I82,I81,I83,I80,I79,I78,I77,I75,I74,I73,I72,I71,I70,I68,I59,I45)</f>
        <v>8459894.4699999988</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t="str">
        <f>IF(E29=0,"",IF((E14+E16+SUM(E18:E24))/E29&gt;0.75,1,""))</f>
        <v/>
      </c>
      <c r="I116" s="147">
        <f>U113</f>
        <v>0</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7" t="s">
        <v>306</v>
      </c>
      <c r="H118" s="188">
        <f>IF(H116=1,I116,I114)</f>
        <v>8459894.4699999988</v>
      </c>
      <c r="I118" s="113">
        <f>ROUND(IF(E29=0,0,IF(E29&gt;250,-(((250/E29)*H118)*IF(G118="H",0.02,0.05)),IF(G118="H",-0.02*H118,-0.05*H118))),2)</f>
        <v>-37341.949999999997</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8422552.5199999996</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-8402250.4800000004</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20302.039999999106</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20302.04</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IF(G118="H",(H118*0.02)+I118,(H118*0.05)+I118)</f>
        <v>131855.93939999997</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89" t="str">
        <f>'0664'!A135</f>
        <v>(a) Additional FTE includes FTE earned through Advanced Placement, International Baccalaureate, Advanced International Certificate of Education, Industry Certified Career</v>
      </c>
      <c r="B135" s="690"/>
      <c r="C135" s="690"/>
      <c r="D135" s="690"/>
      <c r="E135" s="690"/>
      <c r="F135" s="690"/>
      <c r="G135" s="690"/>
      <c r="H135" s="690"/>
      <c r="I135" s="690"/>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90"/>
      <c r="C136" s="690"/>
      <c r="D136" s="690"/>
      <c r="E136" s="690"/>
      <c r="F136" s="690"/>
      <c r="G136" s="690"/>
      <c r="H136" s="690"/>
      <c r="I136" s="690"/>
      <c r="J136" s="96"/>
      <c r="K136" s="95"/>
      <c r="L136" s="95"/>
      <c r="M136" s="95"/>
      <c r="N136" s="479"/>
      <c r="O136" s="479"/>
      <c r="P136" s="479"/>
      <c r="Q136" s="479"/>
      <c r="R136" s="479"/>
      <c r="S136" s="479"/>
      <c r="T136" s="479"/>
      <c r="U136" s="479"/>
    </row>
    <row r="137" spans="1:21" x14ac:dyDescent="0.25">
      <c r="A137" s="689" t="str">
        <f>'0664'!A137</f>
        <v>(b) District allocations multiplied by percentage from item 3A.</v>
      </c>
      <c r="B137" s="691"/>
      <c r="C137" s="691"/>
      <c r="D137" s="691"/>
      <c r="E137" s="691"/>
      <c r="F137" s="691"/>
      <c r="G137" s="691"/>
      <c r="H137" s="691"/>
      <c r="I137" s="691"/>
      <c r="J137" s="95"/>
      <c r="K137" s="95"/>
      <c r="L137" s="95"/>
      <c r="M137" s="95"/>
      <c r="N137" s="97"/>
      <c r="O137" s="98"/>
      <c r="P137" s="98"/>
      <c r="Q137" s="98"/>
      <c r="R137" s="98"/>
      <c r="S137" s="98"/>
      <c r="T137" s="98"/>
      <c r="U137" s="98"/>
    </row>
    <row r="138" spans="1:21" s="95" customFormat="1" x14ac:dyDescent="0.2">
      <c r="A138" s="689" t="str">
        <f>'0664'!A138</f>
        <v>(c) District allocations multiplied by percentage from item 3B.</v>
      </c>
      <c r="B138" s="691"/>
      <c r="C138" s="691"/>
      <c r="D138" s="691"/>
      <c r="E138" s="691"/>
      <c r="F138" s="691"/>
      <c r="G138" s="691"/>
      <c r="H138" s="691"/>
      <c r="I138" s="691"/>
      <c r="N138" s="97"/>
    </row>
    <row r="139" spans="1:21" s="95" customFormat="1" ht="15.75" customHeight="1" x14ac:dyDescent="0.2">
      <c r="A139" s="689" t="str">
        <f>'0664'!A139</f>
        <v>(d) The Digital Classroom Allocation is provided pursuant to s. 1011.62(12), F.S.</v>
      </c>
      <c r="B139" s="691"/>
      <c r="C139" s="691"/>
      <c r="D139" s="691"/>
      <c r="E139" s="691"/>
      <c r="F139" s="691"/>
      <c r="G139" s="691"/>
      <c r="H139" s="691"/>
      <c r="I139" s="691"/>
      <c r="N139" s="97"/>
    </row>
    <row r="140" spans="1:21" s="95" customFormat="1" ht="15.75" customHeight="1" x14ac:dyDescent="0.2">
      <c r="A140" s="689" t="str">
        <f>'0664'!A140</f>
        <v>(e) School districts are required to pay for instructional materials used for the instruction of public high school students who are earning credit toward high school</v>
      </c>
      <c r="B140" s="691"/>
      <c r="C140" s="691"/>
      <c r="D140" s="691"/>
      <c r="E140" s="691"/>
      <c r="F140" s="691"/>
      <c r="G140" s="691"/>
      <c r="H140" s="691"/>
      <c r="I140" s="691"/>
      <c r="N140" s="97"/>
    </row>
    <row r="141" spans="1:21" s="95" customFormat="1" ht="15.75" customHeight="1" x14ac:dyDescent="0.2">
      <c r="A141" s="697" t="str">
        <f>'0664'!A141</f>
        <v xml:space="preserve">graduation under the dual enrollment program as provided in s. 1011.62(l)(i), F.S.  </v>
      </c>
      <c r="B141" s="691"/>
      <c r="C141" s="691"/>
      <c r="D141" s="691"/>
      <c r="E141" s="691"/>
      <c r="F141" s="691"/>
      <c r="G141" s="691"/>
      <c r="H141" s="691"/>
      <c r="I141" s="691"/>
      <c r="N141" s="97"/>
    </row>
    <row r="142" spans="1:21" s="95" customFormat="1" x14ac:dyDescent="0.2">
      <c r="A142" s="689" t="str">
        <f>'0664'!A142</f>
        <v>(f) This allocation will be frozen as of the 2021-22 FEFP Second Calculation and will not be recalculated throughout the year. Charter school allocations should be</v>
      </c>
      <c r="B142" s="691"/>
      <c r="C142" s="691"/>
      <c r="D142" s="691"/>
      <c r="E142" s="691"/>
      <c r="F142" s="691"/>
      <c r="G142" s="691"/>
      <c r="H142" s="691"/>
      <c r="I142" s="691"/>
      <c r="N142" s="97"/>
    </row>
    <row r="143" spans="1:21" s="95" customFormat="1" x14ac:dyDescent="0.2">
      <c r="A143" s="697" t="str">
        <f>'0664'!A143</f>
        <v xml:space="preserve">distributed on weighted FTE (or base funding as is done in the FEFP) and should not be recalculated with fluctuations in student enrollment later in the year. </v>
      </c>
      <c r="B143" s="691"/>
      <c r="C143" s="691"/>
      <c r="D143" s="691"/>
      <c r="E143" s="691"/>
      <c r="F143" s="691"/>
      <c r="G143" s="691"/>
      <c r="H143" s="691"/>
      <c r="I143" s="691"/>
      <c r="N143" s="97"/>
    </row>
    <row r="144" spans="1:21" s="95" customFormat="1" x14ac:dyDescent="0.2">
      <c r="A144" s="689" t="str">
        <f>'0664'!A144</f>
        <v>(g) Numbers entered here will be multiplied by the district level transportation funding per rider. "All Adjusted Fundable Riders" should include both basic and ESE Riders.</v>
      </c>
      <c r="B144" s="691"/>
      <c r="C144" s="691"/>
      <c r="D144" s="691"/>
      <c r="E144" s="691"/>
      <c r="F144" s="691"/>
      <c r="G144" s="691"/>
      <c r="H144" s="691"/>
      <c r="I144" s="691"/>
      <c r="N144" s="97"/>
    </row>
    <row r="145" spans="1:21" s="95" customFormat="1" x14ac:dyDescent="0.2">
      <c r="A145" s="697" t="str">
        <f>'0664'!A145</f>
        <v>"All Adjusted ESE Riders" should include only ESE Riders.</v>
      </c>
      <c r="B145" s="691"/>
      <c r="C145" s="691"/>
      <c r="D145" s="691"/>
      <c r="E145" s="691"/>
      <c r="F145" s="691"/>
      <c r="G145" s="691"/>
      <c r="H145" s="691"/>
      <c r="I145" s="691"/>
      <c r="N145" s="97"/>
    </row>
    <row r="146" spans="1:21" s="95" customFormat="1" x14ac:dyDescent="0.2">
      <c r="A146" s="689" t="str">
        <f>'0664'!A146</f>
        <v xml:space="preserve">(h) The Federally Connected Student Supplement provides additional funding for students on federal lands that receive Section 8003 impact aide pursuant to s. 1011.62(13), F.S. </v>
      </c>
      <c r="B146" s="691"/>
      <c r="C146" s="691"/>
      <c r="D146" s="691"/>
      <c r="E146" s="691"/>
      <c r="F146" s="691"/>
      <c r="G146" s="691"/>
      <c r="H146" s="691"/>
      <c r="I146" s="691"/>
      <c r="N146" s="97"/>
    </row>
    <row r="147" spans="1:21" s="95" customFormat="1" x14ac:dyDescent="0.2">
      <c r="A147" s="689" t="str">
        <f>'0664'!A147</f>
        <v>(i) Teacher Classroom Supply Assistance Program allocation pursuant to s. 1012.71, F.S., for certified teachers employed by a public school district or public charter school</v>
      </c>
      <c r="B147" s="691"/>
      <c r="C147" s="691"/>
      <c r="D147" s="691"/>
      <c r="E147" s="691"/>
      <c r="F147" s="691"/>
      <c r="G147" s="691"/>
      <c r="H147" s="691"/>
      <c r="I147" s="691"/>
      <c r="N147" s="97"/>
    </row>
    <row r="148" spans="1:21" s="95" customFormat="1" x14ac:dyDescent="0.2">
      <c r="A148" s="697" t="str">
        <f>'0664'!A148</f>
        <v xml:space="preserve">before September 1 of each year whose full-time or job-share responsibility is the classroom instruction of students in prekindergarten through grade 12, including </v>
      </c>
      <c r="B148" s="691"/>
      <c r="C148" s="691"/>
      <c r="D148" s="691"/>
      <c r="E148" s="691"/>
      <c r="F148" s="691"/>
      <c r="G148" s="691"/>
      <c r="H148" s="691"/>
      <c r="I148" s="691"/>
      <c r="N148" s="97"/>
    </row>
    <row r="149" spans="1:21" s="95" customFormat="1" ht="15.75" customHeight="1" x14ac:dyDescent="0.2">
      <c r="A149" s="697" t="str">
        <f>'0664'!A149</f>
        <v>full-time media specialists and certified school counselors serving students in prekindergarten through grade 12, who are funded through the FEFP.</v>
      </c>
      <c r="B149" s="691"/>
      <c r="C149" s="691"/>
      <c r="D149" s="691"/>
      <c r="E149" s="691"/>
      <c r="F149" s="691"/>
      <c r="G149" s="691"/>
      <c r="H149" s="691"/>
      <c r="I149" s="691"/>
      <c r="N149" s="97"/>
    </row>
    <row r="150" spans="1:21" s="95" customFormat="1" ht="15.75" customHeight="1" x14ac:dyDescent="0.2">
      <c r="A150" s="689" t="str">
        <f>'0664'!A150</f>
        <v xml:space="preserve">(j) Funding based on student eligibility and meals provided, if participating in the National School Lunch Program. </v>
      </c>
      <c r="B150" s="691"/>
      <c r="C150" s="691"/>
      <c r="D150" s="691"/>
      <c r="E150" s="691"/>
      <c r="F150" s="691"/>
      <c r="G150" s="691"/>
      <c r="H150" s="691"/>
      <c r="I150" s="691"/>
      <c r="N150" s="97"/>
    </row>
    <row r="151" spans="1:21" s="95" customFormat="1" ht="15.75" customHeight="1" x14ac:dyDescent="0.2">
      <c r="A151" s="689" t="str">
        <f>'0664'!A151</f>
        <v>(k) Consistent with s. 1002.33(20)(a), F.S., for charter schools with a population of 75% or more ESE students, the administrative fee shall be calculated based on</v>
      </c>
      <c r="B151" s="691"/>
      <c r="C151" s="691"/>
      <c r="D151" s="691"/>
      <c r="E151" s="691"/>
      <c r="F151" s="691"/>
      <c r="G151" s="691"/>
      <c r="H151" s="691"/>
      <c r="I151" s="691"/>
      <c r="N151" s="97"/>
    </row>
    <row r="152" spans="1:21" s="95" customFormat="1" ht="15.75" customHeight="1" x14ac:dyDescent="0.2">
      <c r="A152" s="697" t="str">
        <f>'0664'!A152</f>
        <v xml:space="preserve">unweighted full-time equivalent students. </v>
      </c>
      <c r="B152" s="691"/>
      <c r="C152" s="691"/>
      <c r="D152" s="691"/>
      <c r="E152" s="691"/>
      <c r="F152" s="691"/>
      <c r="G152" s="691"/>
      <c r="H152" s="691"/>
      <c r="I152" s="691"/>
      <c r="N152" s="97"/>
    </row>
    <row r="153" spans="1:21" s="95" customFormat="1" ht="15.75" customHeight="1" x14ac:dyDescent="0.2">
      <c r="A153" s="689"/>
      <c r="B153" s="691"/>
      <c r="C153" s="691"/>
      <c r="D153" s="691"/>
      <c r="E153" s="691"/>
      <c r="F153" s="691"/>
      <c r="G153" s="691"/>
      <c r="H153" s="691"/>
      <c r="I153" s="691"/>
      <c r="N153" s="97"/>
    </row>
    <row r="154" spans="1:21" s="95" customFormat="1" ht="15.75" customHeight="1" x14ac:dyDescent="0.25">
      <c r="A154" s="708" t="str">
        <f>'0664'!A154</f>
        <v>Administrative fees:</v>
      </c>
      <c r="B154" s="691"/>
      <c r="C154" s="691"/>
      <c r="D154" s="691"/>
      <c r="E154" s="691"/>
      <c r="F154" s="691"/>
      <c r="G154" s="691"/>
      <c r="H154" s="691"/>
      <c r="I154" s="691"/>
      <c r="J154" s="3"/>
      <c r="K154" s="3"/>
      <c r="L154" s="3"/>
      <c r="M154" s="3"/>
      <c r="N154" s="97"/>
    </row>
    <row r="155" spans="1:21" s="95" customFormat="1" ht="15.75" customHeight="1" x14ac:dyDescent="0.25">
      <c r="A155" s="712" t="str">
        <f>'0664'!A155</f>
        <v xml:space="preserve">Administrative fees charged by the school district pursuant to s. 1002.33(20)(a), F.S., shall be calculated based upon 5% of available funds from the FEFP and categorical </v>
      </c>
      <c r="B155" s="694"/>
      <c r="C155" s="694"/>
      <c r="D155" s="694"/>
      <c r="E155" s="694"/>
      <c r="F155" s="694"/>
      <c r="G155" s="694"/>
      <c r="H155" s="694"/>
      <c r="I155" s="694"/>
      <c r="J155" s="3"/>
      <c r="K155" s="3"/>
      <c r="L155" s="3"/>
      <c r="M155" s="3"/>
      <c r="N155" s="97"/>
    </row>
    <row r="156" spans="1:21" s="95" customFormat="1" ht="15.75" customHeight="1" x14ac:dyDescent="0.25">
      <c r="A156" s="713" t="str">
        <f>'0664'!A156</f>
        <v>funding for which charter students may be eligible.  To calculate the administrative fee to be withheld for schools with more than 250 students, divide the school</v>
      </c>
      <c r="B156" s="705"/>
      <c r="C156" s="705"/>
      <c r="D156" s="705"/>
      <c r="E156" s="705"/>
      <c r="F156" s="705"/>
      <c r="G156" s="705"/>
      <c r="H156" s="705"/>
      <c r="I156" s="705"/>
      <c r="J156" s="3"/>
      <c r="K156" s="3"/>
      <c r="L156" s="3"/>
      <c r="M156" s="3"/>
      <c r="N156" s="97"/>
    </row>
    <row r="157" spans="1:21" s="95" customFormat="1" ht="15.75" customHeight="1" x14ac:dyDescent="0.25">
      <c r="A157" s="713" t="str">
        <f>'0664'!A157</f>
        <v xml:space="preserve">population into 250. Multiply that fraction times the funds available, then times 5%.  </v>
      </c>
      <c r="B157" s="705"/>
      <c r="C157" s="705"/>
      <c r="D157" s="705"/>
      <c r="E157" s="705"/>
      <c r="F157" s="705"/>
      <c r="G157" s="705"/>
      <c r="H157" s="705"/>
      <c r="I157" s="705"/>
      <c r="J157" s="3"/>
      <c r="K157" s="3"/>
      <c r="L157" s="3"/>
      <c r="M157" s="3"/>
      <c r="N157" s="97"/>
    </row>
    <row r="158" spans="1:21" s="95" customFormat="1" ht="15.75" customHeight="1" x14ac:dyDescent="0.25">
      <c r="A158" s="712"/>
      <c r="B158" s="705"/>
      <c r="C158" s="705"/>
      <c r="D158" s="705"/>
      <c r="E158" s="705"/>
      <c r="F158" s="705"/>
      <c r="G158" s="705"/>
      <c r="H158" s="705"/>
      <c r="I158" s="705"/>
      <c r="N158" s="93"/>
      <c r="O158" s="3"/>
      <c r="P158" s="3"/>
      <c r="Q158" s="3"/>
      <c r="R158" s="3"/>
      <c r="S158" s="3"/>
      <c r="T158" s="3"/>
      <c r="U158" s="3"/>
    </row>
    <row r="159" spans="1:21" ht="15.75" customHeight="1" x14ac:dyDescent="0.25">
      <c r="A159" s="712" t="str">
        <f>'0664'!A159</f>
        <v xml:space="preserve">For high performing charter schools, administrative fees charged by the school district shall be calculated based upon 2% of available funds from the FEFP and categorical </v>
      </c>
      <c r="B159" s="694"/>
      <c r="C159" s="694"/>
      <c r="D159" s="694"/>
      <c r="E159" s="694"/>
      <c r="F159" s="694"/>
      <c r="G159" s="694"/>
      <c r="H159" s="694"/>
      <c r="I159" s="694"/>
      <c r="J159" s="95"/>
      <c r="K159" s="95"/>
      <c r="L159" s="95"/>
      <c r="M159" s="95"/>
      <c r="N159" s="97"/>
      <c r="O159" s="95"/>
      <c r="P159" s="95"/>
      <c r="Q159" s="95"/>
      <c r="R159" s="95"/>
      <c r="S159" s="95"/>
      <c r="T159" s="95"/>
      <c r="U159" s="95"/>
    </row>
    <row r="160" spans="1:21" ht="15.75" customHeight="1" x14ac:dyDescent="0.25">
      <c r="A160" s="713" t="str">
        <f>'0664'!A160</f>
        <v>funding for which charter students may be eligible.  To calculate the administrative fee to be withheld for schools with more than 250 students, divide the school</v>
      </c>
      <c r="B160" s="694"/>
      <c r="C160" s="694"/>
      <c r="D160" s="694"/>
      <c r="E160" s="694"/>
      <c r="F160" s="694"/>
      <c r="G160" s="694"/>
      <c r="H160" s="694"/>
      <c r="I160" s="694"/>
      <c r="J160" s="95"/>
      <c r="K160" s="95"/>
      <c r="L160" s="95"/>
      <c r="M160" s="95"/>
      <c r="N160" s="97"/>
      <c r="O160" s="95"/>
      <c r="P160" s="95"/>
      <c r="Q160" s="95"/>
      <c r="R160" s="95"/>
      <c r="S160" s="95"/>
      <c r="T160" s="95"/>
      <c r="U160" s="95"/>
    </row>
    <row r="161" spans="1:14" s="95" customFormat="1" ht="15.75" customHeight="1" x14ac:dyDescent="0.2">
      <c r="A161" s="713" t="str">
        <f>'0664'!A161</f>
        <v xml:space="preserve">population into 250. Multiply that fraction times the funds available, then times 2%.  </v>
      </c>
      <c r="B161" s="694"/>
      <c r="C161" s="694"/>
      <c r="D161" s="694"/>
      <c r="E161" s="694"/>
      <c r="F161" s="694"/>
      <c r="G161" s="694"/>
      <c r="H161" s="694"/>
      <c r="I161" s="694"/>
      <c r="N161" s="97"/>
    </row>
    <row r="162" spans="1:14" x14ac:dyDescent="0.25">
      <c r="A162" s="689"/>
      <c r="B162" s="695"/>
      <c r="C162" s="695"/>
      <c r="D162" s="695"/>
      <c r="E162" s="695"/>
      <c r="F162" s="695"/>
      <c r="G162" s="695"/>
      <c r="H162" s="695"/>
      <c r="I162" s="695"/>
      <c r="N162" s="93"/>
    </row>
    <row r="163" spans="1:14" x14ac:dyDescent="0.25">
      <c r="A163" s="708" t="str">
        <f>'0664'!A163</f>
        <v>Other:</v>
      </c>
      <c r="B163" s="706"/>
      <c r="C163" s="706"/>
      <c r="D163" s="706"/>
      <c r="E163" s="706"/>
      <c r="F163" s="706"/>
      <c r="G163" s="706"/>
      <c r="H163" s="706"/>
      <c r="I163" s="706"/>
      <c r="N163" s="93"/>
    </row>
    <row r="164" spans="1:14" x14ac:dyDescent="0.25">
      <c r="A164" s="712" t="str">
        <f>'0664'!A164</f>
        <v>FEFP and categorical funding are recalculated during the year to reflect the revised number of full-time equivalent students reported during the survey periods designated</v>
      </c>
      <c r="B164" s="695"/>
      <c r="C164" s="695"/>
      <c r="D164" s="695"/>
      <c r="E164" s="695"/>
      <c r="F164" s="695"/>
      <c r="G164" s="695"/>
      <c r="H164" s="695"/>
      <c r="I164" s="695"/>
      <c r="N164" s="93"/>
    </row>
    <row r="165" spans="1:14" x14ac:dyDescent="0.25">
      <c r="A165" s="713" t="str">
        <f>'0664'!A165</f>
        <v>by the Commissioner of Education.</v>
      </c>
      <c r="B165" s="707"/>
      <c r="C165" s="707"/>
      <c r="D165" s="707"/>
      <c r="E165" s="707"/>
      <c r="F165" s="707"/>
      <c r="G165" s="707"/>
      <c r="H165" s="707"/>
      <c r="I165" s="707"/>
      <c r="N165" s="93"/>
    </row>
    <row r="166" spans="1:14" x14ac:dyDescent="0.25">
      <c r="A166" s="712" t="str">
        <f>'0664'!A166</f>
        <v>Revenues flow to districts from state sources and from county tax collectors on various distribution schedules.</v>
      </c>
      <c r="B166" s="695"/>
      <c r="C166" s="695"/>
      <c r="D166" s="695"/>
      <c r="E166" s="695"/>
      <c r="F166" s="695"/>
      <c r="G166" s="695"/>
      <c r="H166" s="695"/>
      <c r="I166" s="695"/>
      <c r="N166" s="93"/>
    </row>
    <row r="167" spans="1:14" x14ac:dyDescent="0.25">
      <c r="A167" s="494"/>
      <c r="B167" s="494"/>
      <c r="C167" s="494"/>
      <c r="D167" s="494"/>
      <c r="E167" s="494"/>
      <c r="F167" s="494"/>
      <c r="G167" s="494"/>
      <c r="H167" s="494"/>
      <c r="I167" s="494"/>
      <c r="N167" s="93"/>
    </row>
    <row r="168" spans="1:14" x14ac:dyDescent="0.25">
      <c r="A168" s="93"/>
      <c r="N168" s="93"/>
    </row>
    <row r="169" spans="1:14" x14ac:dyDescent="0.25">
      <c r="A169" s="93"/>
      <c r="N169" s="93"/>
    </row>
    <row r="170" spans="1:14" x14ac:dyDescent="0.25">
      <c r="A170" s="93"/>
      <c r="N170" s="93"/>
    </row>
    <row r="171" spans="1:14" x14ac:dyDescent="0.25">
      <c r="A171" s="93"/>
      <c r="B171" s="183"/>
      <c r="C171" s="183"/>
      <c r="D171" s="183"/>
      <c r="E171" s="183"/>
      <c r="F171" s="183"/>
      <c r="G171" s="183"/>
      <c r="H171" s="183"/>
      <c r="I171" s="18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78:P78"/>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R105:S105"/>
    <mergeCell ref="A98:B98"/>
    <mergeCell ref="N98:O98"/>
    <mergeCell ref="P98:R98"/>
    <mergeCell ref="A99:B99"/>
    <mergeCell ref="N99:O99"/>
    <mergeCell ref="P99:R99"/>
    <mergeCell ref="R107:S107"/>
    <mergeCell ref="A102:C102"/>
    <mergeCell ref="F102:I102"/>
    <mergeCell ref="N102:U102"/>
    <mergeCell ref="C103:E103"/>
    <mergeCell ref="F104:G104"/>
    <mergeCell ref="A105:B105"/>
    <mergeCell ref="F105:G105"/>
    <mergeCell ref="N105:O105"/>
    <mergeCell ref="P105:Q105"/>
    <mergeCell ref="R108:S108"/>
    <mergeCell ref="A109:B109"/>
    <mergeCell ref="N109:O109"/>
    <mergeCell ref="A106:B106"/>
    <mergeCell ref="F106:G106"/>
    <mergeCell ref="N106:O106"/>
    <mergeCell ref="P106:Q106"/>
    <mergeCell ref="R106:S106"/>
    <mergeCell ref="A107:B107"/>
    <mergeCell ref="F107:G107"/>
    <mergeCell ref="N135:U135"/>
    <mergeCell ref="N115:U115"/>
    <mergeCell ref="N112:P112"/>
    <mergeCell ref="A112:C112"/>
    <mergeCell ref="F112:H112"/>
    <mergeCell ref="N113:T113"/>
    <mergeCell ref="A114:H114"/>
    <mergeCell ref="A115:G115"/>
    <mergeCell ref="N116:U116"/>
    <mergeCell ref="A116:G116"/>
    <mergeCell ref="A111:C111"/>
    <mergeCell ref="F111:H111"/>
    <mergeCell ref="N111:P111"/>
    <mergeCell ref="A108:B108"/>
    <mergeCell ref="F108:G108"/>
    <mergeCell ref="N108:O108"/>
    <mergeCell ref="P108:Q108"/>
    <mergeCell ref="N107:O107"/>
    <mergeCell ref="P107:Q107"/>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U202"/>
  <sheetViews>
    <sheetView showGridLines="0" zoomScale="90" zoomScaleNormal="90" workbookViewId="0">
      <pane ySplit="1" topLeftCell="A95"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158</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18.59</v>
      </c>
      <c r="D18" s="192">
        <v>18.940000000000001</v>
      </c>
      <c r="E18" s="147">
        <f t="shared" si="3"/>
        <v>37.53</v>
      </c>
      <c r="F18" s="814">
        <f>'0664'!F18:G18</f>
        <v>1.01</v>
      </c>
      <c r="G18" s="814"/>
      <c r="H18" s="99">
        <f t="shared" si="4"/>
        <v>37.905299999999997</v>
      </c>
      <c r="I18" s="120">
        <f t="shared" si="0"/>
        <v>172784.54</v>
      </c>
      <c r="J18" s="81" t="str">
        <f>IF(ROUND(E18,2)=ROUND(SUM(E56:E58),2)," ","CHECK 4-8 LINES BELOW")</f>
        <v xml:space="preserve"> </v>
      </c>
      <c r="N18" s="840" t="s">
        <v>34</v>
      </c>
      <c r="O18" s="840"/>
      <c r="P18" s="841">
        <f t="shared" si="1"/>
        <v>37.53</v>
      </c>
      <c r="Q18" s="841"/>
      <c r="R18" s="842">
        <v>1</v>
      </c>
      <c r="S18" s="842"/>
      <c r="T18" s="114">
        <f t="shared" si="5"/>
        <v>37.53</v>
      </c>
      <c r="U18" s="117">
        <f t="shared" si="2"/>
        <v>171074</v>
      </c>
    </row>
    <row r="19" spans="1:21" x14ac:dyDescent="0.25">
      <c r="A19" s="764" t="s">
        <v>110</v>
      </c>
      <c r="B19" s="764"/>
      <c r="C19" s="192">
        <v>0</v>
      </c>
      <c r="D19" s="192">
        <v>0</v>
      </c>
      <c r="E19" s="147">
        <f t="shared" si="3"/>
        <v>0</v>
      </c>
      <c r="F19" s="814">
        <f>'0664'!F19:G19</f>
        <v>3.6480000000000001</v>
      </c>
      <c r="G19" s="814"/>
      <c r="H19" s="99">
        <f t="shared" si="4"/>
        <v>0</v>
      </c>
      <c r="I19" s="120">
        <f t="shared" si="0"/>
        <v>0</v>
      </c>
      <c r="N19" s="840" t="s">
        <v>110</v>
      </c>
      <c r="O19" s="840"/>
      <c r="P19" s="841">
        <f t="shared" si="1"/>
        <v>0</v>
      </c>
      <c r="Q19" s="841"/>
      <c r="R19" s="842">
        <v>1</v>
      </c>
      <c r="S19" s="842"/>
      <c r="T19" s="114">
        <f t="shared" si="5"/>
        <v>0</v>
      </c>
      <c r="U19" s="115">
        <f t="shared" si="2"/>
        <v>0</v>
      </c>
    </row>
    <row r="20" spans="1:21" x14ac:dyDescent="0.25">
      <c r="A20" s="764" t="s">
        <v>111</v>
      </c>
      <c r="B20" s="764"/>
      <c r="C20" s="192">
        <v>0</v>
      </c>
      <c r="D20" s="192">
        <v>0</v>
      </c>
      <c r="E20" s="147">
        <f t="shared" si="3"/>
        <v>0</v>
      </c>
      <c r="F20" s="814">
        <f>'0664'!F20:G20</f>
        <v>3.6480000000000001</v>
      </c>
      <c r="G20" s="814"/>
      <c r="H20" s="99">
        <f t="shared" si="4"/>
        <v>0</v>
      </c>
      <c r="I20" s="120">
        <f t="shared" si="0"/>
        <v>0</v>
      </c>
      <c r="N20" s="840" t="s">
        <v>111</v>
      </c>
      <c r="O20" s="840"/>
      <c r="P20" s="841">
        <f t="shared" si="1"/>
        <v>0</v>
      </c>
      <c r="Q20" s="841"/>
      <c r="R20" s="842">
        <v>1</v>
      </c>
      <c r="S20" s="842"/>
      <c r="T20" s="114">
        <f t="shared" si="5"/>
        <v>0</v>
      </c>
      <c r="U20" s="115">
        <f t="shared" si="2"/>
        <v>0</v>
      </c>
    </row>
    <row r="21" spans="1:21" x14ac:dyDescent="0.25">
      <c r="A21" s="764" t="s">
        <v>112</v>
      </c>
      <c r="B21" s="764"/>
      <c r="C21" s="192">
        <v>16.989999999999998</v>
      </c>
      <c r="D21" s="192">
        <v>16.47</v>
      </c>
      <c r="E21" s="147">
        <f t="shared" si="3"/>
        <v>33.459999999999994</v>
      </c>
      <c r="F21" s="814">
        <f>'0664'!F21:G21</f>
        <v>3.6480000000000001</v>
      </c>
      <c r="G21" s="814"/>
      <c r="H21" s="99">
        <f t="shared" si="4"/>
        <v>122.0621</v>
      </c>
      <c r="I21" s="120">
        <f t="shared" si="0"/>
        <v>556398.28</v>
      </c>
      <c r="N21" s="840" t="s">
        <v>112</v>
      </c>
      <c r="O21" s="840"/>
      <c r="P21" s="841">
        <f t="shared" si="1"/>
        <v>33.459999999999994</v>
      </c>
      <c r="Q21" s="841"/>
      <c r="R21" s="842">
        <v>1</v>
      </c>
      <c r="S21" s="842"/>
      <c r="T21" s="114">
        <f t="shared" si="5"/>
        <v>33.46</v>
      </c>
      <c r="U21" s="115">
        <f t="shared" si="2"/>
        <v>152521</v>
      </c>
    </row>
    <row r="22" spans="1:21" x14ac:dyDescent="0.25">
      <c r="A22" s="764" t="s">
        <v>113</v>
      </c>
      <c r="B22" s="764"/>
      <c r="C22" s="192">
        <v>0</v>
      </c>
      <c r="D22" s="192">
        <v>0</v>
      </c>
      <c r="E22" s="147">
        <f t="shared" si="3"/>
        <v>0</v>
      </c>
      <c r="F22" s="814">
        <f>'0664'!F22:G22</f>
        <v>5.34</v>
      </c>
      <c r="G22" s="814"/>
      <c r="H22" s="99">
        <f t="shared" si="4"/>
        <v>0</v>
      </c>
      <c r="I22" s="120">
        <f t="shared" si="0"/>
        <v>0</v>
      </c>
      <c r="N22" s="840" t="s">
        <v>113</v>
      </c>
      <c r="O22" s="840"/>
      <c r="P22" s="841">
        <f t="shared" si="1"/>
        <v>0</v>
      </c>
      <c r="Q22" s="841"/>
      <c r="R22" s="842">
        <v>1</v>
      </c>
      <c r="S22" s="842"/>
      <c r="T22" s="114">
        <f t="shared" si="5"/>
        <v>0</v>
      </c>
      <c r="U22" s="115">
        <f t="shared" si="2"/>
        <v>0</v>
      </c>
    </row>
    <row r="23" spans="1:21" x14ac:dyDescent="0.25">
      <c r="A23" s="764" t="s">
        <v>114</v>
      </c>
      <c r="B23" s="764"/>
      <c r="C23" s="192">
        <v>0</v>
      </c>
      <c r="D23" s="192">
        <v>0</v>
      </c>
      <c r="E23" s="147">
        <f t="shared" si="3"/>
        <v>0</v>
      </c>
      <c r="F23" s="814">
        <f>'0664'!F23:G23</f>
        <v>5.34</v>
      </c>
      <c r="G23" s="814"/>
      <c r="H23" s="99">
        <f t="shared" si="4"/>
        <v>0</v>
      </c>
      <c r="I23" s="120">
        <f t="shared" si="0"/>
        <v>0</v>
      </c>
      <c r="N23" s="840" t="s">
        <v>114</v>
      </c>
      <c r="O23" s="840"/>
      <c r="P23" s="841">
        <f t="shared" si="1"/>
        <v>0</v>
      </c>
      <c r="Q23" s="841"/>
      <c r="R23" s="842">
        <v>1</v>
      </c>
      <c r="S23" s="842"/>
      <c r="T23" s="114">
        <f t="shared" si="5"/>
        <v>0</v>
      </c>
      <c r="U23" s="115">
        <f t="shared" si="2"/>
        <v>0</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35.58</v>
      </c>
      <c r="D29" s="113">
        <f>SUM(D13:D28)</f>
        <v>35.409999999999997</v>
      </c>
      <c r="E29" s="113">
        <f>SUM(E13:E28)</f>
        <v>70.989999999999995</v>
      </c>
      <c r="F29" s="820"/>
      <c r="G29" s="820"/>
      <c r="H29" s="118">
        <f>SUM(H13:H28)</f>
        <v>159.9674</v>
      </c>
      <c r="I29" s="113">
        <f>SUM(I13:I28)</f>
        <v>729182.82000000007</v>
      </c>
      <c r="N29" s="850" t="s">
        <v>5</v>
      </c>
      <c r="O29" s="850"/>
      <c r="P29" s="851">
        <f>SUM(P13:P28)</f>
        <v>70.989999999999995</v>
      </c>
      <c r="Q29" s="851"/>
      <c r="R29" s="852"/>
      <c r="S29" s="852"/>
      <c r="T29" s="119">
        <f>SUM(T13:T28)</f>
        <v>70.990000000000009</v>
      </c>
      <c r="U29" s="115">
        <f>SUM(U13:U28)</f>
        <v>323595</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159.9674</v>
      </c>
      <c r="F45" s="36"/>
      <c r="G45" s="128"/>
      <c r="H45" s="129" t="s">
        <v>131</v>
      </c>
      <c r="I45" s="113">
        <f>SUM(I43,I29)</f>
        <v>729182.82000000007</v>
      </c>
      <c r="N45" s="855" t="s">
        <v>56</v>
      </c>
      <c r="O45" s="855"/>
      <c r="P45" s="855"/>
      <c r="Q45" s="855"/>
      <c r="R45" s="37">
        <f>R43+T29</f>
        <v>70.990000000000009</v>
      </c>
      <c r="S45" s="852" t="s">
        <v>54</v>
      </c>
      <c r="T45" s="852"/>
      <c r="U45" s="130">
        <f>SUM(U43,U29)</f>
        <v>323595</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M47" s="39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M48" s="39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1.55</v>
      </c>
      <c r="E57" s="147">
        <f t="shared" si="10"/>
        <v>1.55</v>
      </c>
      <c r="F57" s="143" t="s">
        <v>15</v>
      </c>
      <c r="G57" s="52">
        <v>252</v>
      </c>
      <c r="H57" s="485">
        <f>'0664'!H57</f>
        <v>3168</v>
      </c>
      <c r="I57" s="120">
        <f t="shared" si="11"/>
        <v>4910.3999999999996</v>
      </c>
      <c r="N57" s="863"/>
      <c r="O57" s="863"/>
      <c r="P57" s="865"/>
      <c r="Q57" s="865"/>
      <c r="R57" s="45" t="s">
        <v>15</v>
      </c>
      <c r="S57" s="43">
        <v>252</v>
      </c>
      <c r="T57" s="138">
        <f t="shared" si="12"/>
        <v>3168</v>
      </c>
      <c r="U57" s="139">
        <f t="shared" si="13"/>
        <v>0</v>
      </c>
    </row>
    <row r="58" spans="1:21" ht="16.5" thickBot="1" x14ac:dyDescent="0.3">
      <c r="A58" s="792"/>
      <c r="B58" s="792"/>
      <c r="C58" s="192">
        <v>18.59</v>
      </c>
      <c r="D58" s="192">
        <v>17.39</v>
      </c>
      <c r="E58" s="147">
        <f t="shared" si="10"/>
        <v>35.980000000000004</v>
      </c>
      <c r="F58" s="143" t="s">
        <v>15</v>
      </c>
      <c r="G58" s="52">
        <v>253</v>
      </c>
      <c r="H58" s="485">
        <f>'0664'!H58</f>
        <v>6685</v>
      </c>
      <c r="I58" s="120">
        <f t="shared" si="11"/>
        <v>240526.3</v>
      </c>
      <c r="N58" s="863"/>
      <c r="O58" s="863"/>
      <c r="P58" s="866"/>
      <c r="Q58" s="866"/>
      <c r="R58" s="45" t="s">
        <v>15</v>
      </c>
      <c r="S58" s="43">
        <v>253</v>
      </c>
      <c r="T58" s="138">
        <f t="shared" si="12"/>
        <v>6685</v>
      </c>
      <c r="U58" s="141">
        <f t="shared" si="13"/>
        <v>0</v>
      </c>
    </row>
    <row r="59" spans="1:21" ht="16.5" thickBot="1" x14ac:dyDescent="0.3">
      <c r="A59" s="767" t="s">
        <v>16</v>
      </c>
      <c r="B59" s="767"/>
      <c r="C59" s="116">
        <f>SUM(C50:C58)</f>
        <v>18.59</v>
      </c>
      <c r="D59" s="116">
        <f>SUM(D50:D58)</f>
        <v>18.940000000000001</v>
      </c>
      <c r="E59" s="116">
        <f>SUM(E50:E58)</f>
        <v>37.53</v>
      </c>
      <c r="F59" s="767" t="s">
        <v>78</v>
      </c>
      <c r="G59" s="767"/>
      <c r="H59" s="767"/>
      <c r="I59" s="116">
        <f>SUM(I50:I58)</f>
        <v>245436.69999999998</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70.989999999999995</v>
      </c>
      <c r="D62" s="882" t="s">
        <v>137</v>
      </c>
      <c r="E62" s="882"/>
      <c r="F62" s="882"/>
      <c r="G62" s="882"/>
      <c r="H62" s="542">
        <f>'0664'!H62</f>
        <v>190754.06</v>
      </c>
      <c r="I62" s="144"/>
      <c r="N62" s="860" t="s">
        <v>327</v>
      </c>
      <c r="O62" s="840"/>
      <c r="P62" s="46">
        <f>P29</f>
        <v>70.989999999999995</v>
      </c>
      <c r="Q62" s="861" t="s">
        <v>79</v>
      </c>
      <c r="R62" s="861"/>
      <c r="S62" s="861"/>
      <c r="T62" s="862">
        <f>H62</f>
        <v>190754.06</v>
      </c>
      <c r="U62" s="862"/>
    </row>
    <row r="63" spans="1:21" x14ac:dyDescent="0.25">
      <c r="B63" s="86"/>
      <c r="G63" s="47" t="s">
        <v>13</v>
      </c>
      <c r="H63" s="145">
        <f>ROUND(C62/H62,6)</f>
        <v>3.7199999999999999E-4</v>
      </c>
      <c r="I63" s="146"/>
      <c r="N63" s="840" t="s">
        <v>19</v>
      </c>
      <c r="O63" s="840"/>
      <c r="P63" s="840"/>
      <c r="Q63" s="840"/>
      <c r="R63" s="840"/>
      <c r="S63" s="840"/>
      <c r="T63" s="868">
        <f>ROUND(P62/T62,6)</f>
        <v>3.7199999999999999E-4</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159.9674</v>
      </c>
      <c r="D65" s="882" t="s">
        <v>142</v>
      </c>
      <c r="E65" s="882"/>
      <c r="F65" s="882"/>
      <c r="G65" s="882"/>
      <c r="H65" s="543">
        <f>'0664'!H65</f>
        <v>214462.41</v>
      </c>
      <c r="I65" s="147"/>
      <c r="N65" s="840" t="s">
        <v>81</v>
      </c>
      <c r="O65" s="840"/>
      <c r="P65" s="46">
        <f>R45</f>
        <v>70.990000000000009</v>
      </c>
      <c r="Q65" s="861" t="s">
        <v>80</v>
      </c>
      <c r="R65" s="861"/>
      <c r="S65" s="861"/>
      <c r="T65" s="862">
        <f>H65</f>
        <v>214462.41</v>
      </c>
      <c r="U65" s="862"/>
    </row>
    <row r="66" spans="1:21" s="38" customFormat="1" x14ac:dyDescent="0.25">
      <c r="A66" s="148"/>
      <c r="G66" s="48" t="s">
        <v>13</v>
      </c>
      <c r="H66" s="149">
        <f>ROUND(C65/H65,6)</f>
        <v>7.4600000000000003E-4</v>
      </c>
      <c r="I66" s="149"/>
      <c r="N66" s="845" t="s">
        <v>20</v>
      </c>
      <c r="O66" s="845"/>
      <c r="P66" s="845"/>
      <c r="Q66" s="845"/>
      <c r="R66" s="845"/>
      <c r="S66" s="845"/>
      <c r="T66" s="867">
        <f>ROUND(P65/T65,6)</f>
        <v>3.3100000000000002E-4</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3.7199999999999999E-4</v>
      </c>
      <c r="I68" s="120">
        <f>ROUND(F68*H68,2)</f>
        <v>15635</v>
      </c>
      <c r="N68" s="840" t="s">
        <v>87</v>
      </c>
      <c r="O68" s="840"/>
      <c r="P68" s="840"/>
      <c r="Q68" s="50"/>
      <c r="R68" s="156">
        <f>F68</f>
        <v>42029577</v>
      </c>
      <c r="S68" s="42" t="s">
        <v>6</v>
      </c>
      <c r="T68" s="157">
        <f>T63</f>
        <v>3.7199999999999999E-4</v>
      </c>
      <c r="U68" s="115">
        <f>ROUND(R68*T68,0)</f>
        <v>15635</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3.7199999999999999E-4</v>
      </c>
      <c r="I70" s="120">
        <f>ROUND(F70*H70,2)</f>
        <v>0</v>
      </c>
      <c r="N70" s="51"/>
      <c r="O70" s="51"/>
      <c r="P70" s="51"/>
      <c r="Q70" s="50"/>
      <c r="R70" s="156">
        <f>F70</f>
        <v>0</v>
      </c>
      <c r="S70" s="42" t="s">
        <v>6</v>
      </c>
      <c r="T70" s="157">
        <f>T63</f>
        <v>3.7199999999999999E-4</v>
      </c>
      <c r="U70" s="115">
        <f>ROUND(R70*T70,0)</f>
        <v>0</v>
      </c>
    </row>
    <row r="71" spans="1:21" x14ac:dyDescent="0.25">
      <c r="A71" s="764" t="s">
        <v>85</v>
      </c>
      <c r="B71" s="764"/>
      <c r="C71" s="764"/>
      <c r="D71" s="556" t="s">
        <v>358</v>
      </c>
      <c r="E71" s="610" t="s">
        <v>372</v>
      </c>
      <c r="F71" s="544">
        <f>'0664'!F71</f>
        <v>146607</v>
      </c>
      <c r="G71" s="40" t="s">
        <v>6</v>
      </c>
      <c r="H71" s="155">
        <f>H63</f>
        <v>3.7199999999999999E-4</v>
      </c>
      <c r="I71" s="120">
        <f>IF(D71="Y",ROUND(F71*H71,2),0)</f>
        <v>54.54</v>
      </c>
      <c r="N71" s="840" t="s">
        <v>85</v>
      </c>
      <c r="O71" s="840"/>
      <c r="P71" s="840"/>
      <c r="Q71" s="50"/>
      <c r="R71" s="156">
        <f>F71</f>
        <v>146607</v>
      </c>
      <c r="S71" s="42" t="s">
        <v>6</v>
      </c>
      <c r="T71" s="157">
        <f>T63</f>
        <v>3.7199999999999999E-4</v>
      </c>
      <c r="U71" s="115">
        <f>ROUND(R71*T71,0)</f>
        <v>55</v>
      </c>
    </row>
    <row r="72" spans="1:21" x14ac:dyDescent="0.25">
      <c r="A72" s="764" t="s">
        <v>84</v>
      </c>
      <c r="B72" s="764"/>
      <c r="C72" s="764"/>
      <c r="D72" s="86"/>
      <c r="E72" s="71" t="s">
        <v>3</v>
      </c>
      <c r="F72" s="544">
        <f>'0664'!F72</f>
        <v>11337910</v>
      </c>
      <c r="G72" s="40" t="s">
        <v>6</v>
      </c>
      <c r="H72" s="155">
        <f>H63</f>
        <v>3.7199999999999999E-4</v>
      </c>
      <c r="I72" s="120">
        <f>ROUND(F72*H72,2)</f>
        <v>4217.7</v>
      </c>
      <c r="N72" s="840" t="s">
        <v>84</v>
      </c>
      <c r="O72" s="840"/>
      <c r="P72" s="840"/>
      <c r="Q72" s="50"/>
      <c r="R72" s="156">
        <f>F72</f>
        <v>11337910</v>
      </c>
      <c r="S72" s="42" t="s">
        <v>6</v>
      </c>
      <c r="T72" s="157">
        <f>T63</f>
        <v>3.7199999999999999E-4</v>
      </c>
      <c r="U72" s="115">
        <f>ROUND(R72*T72,0)</f>
        <v>4218</v>
      </c>
    </row>
    <row r="73" spans="1:21" x14ac:dyDescent="0.25">
      <c r="A73" s="764" t="s">
        <v>83</v>
      </c>
      <c r="B73" s="764"/>
      <c r="C73" s="764"/>
      <c r="D73" s="86"/>
      <c r="E73" s="71" t="s">
        <v>3</v>
      </c>
      <c r="F73" s="544">
        <f>'0664'!F73</f>
        <v>13882385</v>
      </c>
      <c r="G73" s="40" t="s">
        <v>6</v>
      </c>
      <c r="H73" s="155">
        <f>H63</f>
        <v>3.7199999999999999E-4</v>
      </c>
      <c r="I73" s="120">
        <f>ROUND(F73*H73,2)</f>
        <v>5164.25</v>
      </c>
      <c r="N73" s="840" t="s">
        <v>83</v>
      </c>
      <c r="O73" s="840"/>
      <c r="P73" s="840"/>
      <c r="Q73" s="50"/>
      <c r="R73" s="159">
        <f>F73</f>
        <v>13882385</v>
      </c>
      <c r="S73" s="42" t="s">
        <v>6</v>
      </c>
      <c r="T73" s="157">
        <f>T63</f>
        <v>3.7199999999999999E-4</v>
      </c>
      <c r="U73" s="115">
        <f>ROUND(R73*T73,0)</f>
        <v>5164</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3.7199999999999999E-4</v>
      </c>
      <c r="I77" s="120">
        <f t="shared" ref="I77:I82" si="14">ROUND(F77*H77,2)</f>
        <v>2776.07</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3.7199999999999999E-4</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7.4600000000000003E-4</v>
      </c>
      <c r="I79" s="120">
        <f t="shared" si="14"/>
        <v>0</v>
      </c>
      <c r="N79" s="860" t="s">
        <v>414</v>
      </c>
      <c r="O79" s="840"/>
      <c r="P79" s="840"/>
      <c r="Q79" s="50"/>
      <c r="R79" s="159">
        <f t="shared" si="15"/>
        <v>0</v>
      </c>
      <c r="S79" s="42" t="s">
        <v>6</v>
      </c>
      <c r="T79" s="157">
        <f>T66</f>
        <v>3.3100000000000002E-4</v>
      </c>
      <c r="U79" s="115">
        <f t="shared" si="16"/>
        <v>0</v>
      </c>
    </row>
    <row r="80" spans="1:21" x14ac:dyDescent="0.25">
      <c r="A80" s="765" t="s">
        <v>415</v>
      </c>
      <c r="B80" s="764"/>
      <c r="C80" s="764"/>
      <c r="D80" s="86"/>
      <c r="E80" s="71" t="s">
        <v>4</v>
      </c>
      <c r="F80" s="544">
        <f>'0664'!F80</f>
        <v>8562788</v>
      </c>
      <c r="G80" s="40" t="s">
        <v>6</v>
      </c>
      <c r="H80" s="155">
        <f>H66</f>
        <v>7.4600000000000003E-4</v>
      </c>
      <c r="I80" s="120">
        <f t="shared" si="14"/>
        <v>6387.84</v>
      </c>
      <c r="N80" s="860" t="s">
        <v>415</v>
      </c>
      <c r="O80" s="840"/>
      <c r="P80" s="840"/>
      <c r="Q80" s="50"/>
      <c r="R80" s="159">
        <f t="shared" si="15"/>
        <v>8562788</v>
      </c>
      <c r="S80" s="42" t="s">
        <v>6</v>
      </c>
      <c r="T80" s="157">
        <f>T66</f>
        <v>3.3100000000000002E-4</v>
      </c>
      <c r="U80" s="115">
        <f t="shared" si="16"/>
        <v>2834</v>
      </c>
    </row>
    <row r="81" spans="1:21" x14ac:dyDescent="0.25">
      <c r="A81" s="765" t="s">
        <v>419</v>
      </c>
      <c r="B81" s="764"/>
      <c r="C81" s="764"/>
      <c r="D81" s="86"/>
      <c r="E81" s="71" t="s">
        <v>4</v>
      </c>
      <c r="F81" s="544">
        <f>'0664'!F81</f>
        <v>168663228</v>
      </c>
      <c r="G81" s="40" t="s">
        <v>6</v>
      </c>
      <c r="H81" s="155">
        <f>H66</f>
        <v>7.4600000000000003E-4</v>
      </c>
      <c r="I81" s="120">
        <f t="shared" si="14"/>
        <v>125822.77</v>
      </c>
      <c r="N81" s="860" t="s">
        <v>419</v>
      </c>
      <c r="O81" s="840"/>
      <c r="P81" s="840"/>
      <c r="Q81" s="50"/>
      <c r="R81" s="159">
        <f t="shared" si="15"/>
        <v>168663228</v>
      </c>
      <c r="S81" s="42" t="s">
        <v>6</v>
      </c>
      <c r="T81" s="157">
        <f>T66</f>
        <v>3.3100000000000002E-4</v>
      </c>
      <c r="U81" s="115">
        <f t="shared" si="16"/>
        <v>55828</v>
      </c>
    </row>
    <row r="82" spans="1:21" x14ac:dyDescent="0.25">
      <c r="A82" s="765" t="s">
        <v>420</v>
      </c>
      <c r="B82" s="764"/>
      <c r="C82" s="764"/>
      <c r="D82" s="86"/>
      <c r="E82" s="71" t="s">
        <v>4</v>
      </c>
      <c r="F82" s="544">
        <f>'0664'!F82</f>
        <v>0</v>
      </c>
      <c r="G82" s="40" t="s">
        <v>6</v>
      </c>
      <c r="H82" s="155">
        <f>H66</f>
        <v>7.4600000000000003E-4</v>
      </c>
      <c r="I82" s="120">
        <f t="shared" si="14"/>
        <v>0</v>
      </c>
      <c r="N82" s="860" t="s">
        <v>420</v>
      </c>
      <c r="O82" s="840"/>
      <c r="P82" s="840"/>
      <c r="Q82" s="50"/>
      <c r="R82" s="156">
        <f t="shared" si="15"/>
        <v>0</v>
      </c>
      <c r="S82" s="42" t="s">
        <v>6</v>
      </c>
      <c r="T82" s="157">
        <f>T66</f>
        <v>3.3100000000000002E-4</v>
      </c>
      <c r="U82" s="115">
        <f t="shared" si="16"/>
        <v>0</v>
      </c>
    </row>
    <row r="83" spans="1:21" x14ac:dyDescent="0.25">
      <c r="A83" s="717" t="s">
        <v>425</v>
      </c>
      <c r="B83" s="443"/>
      <c r="C83" s="443"/>
      <c r="D83" s="443"/>
      <c r="E83" s="683" t="s">
        <v>45</v>
      </c>
      <c r="F83" s="544"/>
      <c r="G83" s="445"/>
      <c r="H83" s="155"/>
      <c r="I83" s="120">
        <v>29104.18</v>
      </c>
      <c r="N83" s="719" t="s">
        <v>425</v>
      </c>
      <c r="O83" s="444"/>
      <c r="P83" s="444"/>
      <c r="Q83" s="50"/>
      <c r="R83" s="159">
        <f t="shared" si="15"/>
        <v>0</v>
      </c>
      <c r="S83" s="446" t="s">
        <v>6</v>
      </c>
      <c r="T83" s="157">
        <f>T66</f>
        <v>3.3100000000000002E-4</v>
      </c>
      <c r="U83" s="115">
        <f>IF($H$116=1,I83,0)</f>
        <v>29104.18</v>
      </c>
    </row>
    <row r="84" spans="1:21" x14ac:dyDescent="0.25">
      <c r="A84" s="765" t="s">
        <v>457</v>
      </c>
      <c r="B84" s="764"/>
      <c r="C84" s="764"/>
      <c r="D84" s="744"/>
      <c r="E84" s="747" t="s">
        <v>3</v>
      </c>
      <c r="F84" s="544">
        <f>'0664'!F84</f>
        <v>21614343</v>
      </c>
      <c r="G84" s="749" t="s">
        <v>6</v>
      </c>
      <c r="H84" s="155">
        <f>H63</f>
        <v>3.7199999999999999E-4</v>
      </c>
      <c r="I84" s="120">
        <f>ROUND(F84*H84,2)</f>
        <v>8040.54</v>
      </c>
      <c r="N84" s="860" t="s">
        <v>457</v>
      </c>
      <c r="O84" s="840"/>
      <c r="P84" s="840"/>
      <c r="Q84" s="50"/>
      <c r="R84" s="156">
        <f>F84</f>
        <v>21614343</v>
      </c>
      <c r="S84" s="751" t="s">
        <v>6</v>
      </c>
      <c r="T84" s="157">
        <f>T68</f>
        <v>3.7199999999999999E-4</v>
      </c>
      <c r="U84" s="115">
        <f>ROUND(R84*T84,0)</f>
        <v>8041</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0</v>
      </c>
      <c r="D89" s="781"/>
      <c r="E89" s="54">
        <f>H8</f>
        <v>1.0424</v>
      </c>
      <c r="F89" s="545">
        <f>'0664'!F89</f>
        <v>966.9</v>
      </c>
      <c r="G89" s="186" t="s">
        <v>13</v>
      </c>
      <c r="H89" s="120">
        <f>ROUND(C89*E89*F89,2)</f>
        <v>0</v>
      </c>
      <c r="I89" s="124"/>
      <c r="N89" s="56" t="s">
        <v>22</v>
      </c>
      <c r="O89" s="57">
        <f>T13+T14+T19+T22+T25</f>
        <v>0</v>
      </c>
      <c r="P89" s="875">
        <f>T8</f>
        <v>1.0424</v>
      </c>
      <c r="Q89" s="875"/>
      <c r="R89" s="58">
        <f>F89</f>
        <v>966.9</v>
      </c>
      <c r="S89" s="59" t="s">
        <v>13</v>
      </c>
      <c r="T89" s="159">
        <f>ROUND(O89*P89*R89,0)</f>
        <v>0</v>
      </c>
      <c r="U89" s="121"/>
    </row>
    <row r="90" spans="1:21" x14ac:dyDescent="0.25">
      <c r="A90" s="60"/>
      <c r="B90" s="60" t="s">
        <v>149</v>
      </c>
      <c r="C90" s="781">
        <f>H15+H16+H20+H23+H26</f>
        <v>0</v>
      </c>
      <c r="D90" s="781"/>
      <c r="E90" s="54">
        <f>H8</f>
        <v>1.0424</v>
      </c>
      <c r="F90" s="545">
        <f>'0664'!F90</f>
        <v>923.19</v>
      </c>
      <c r="G90" s="186" t="s">
        <v>13</v>
      </c>
      <c r="H90" s="120">
        <f>ROUND(C90*E90*F90,2)</f>
        <v>0</v>
      </c>
      <c r="I90" s="61"/>
      <c r="N90" s="62" t="s">
        <v>14</v>
      </c>
      <c r="O90" s="57">
        <f>T15+T16+T20+T23+T26</f>
        <v>0</v>
      </c>
      <c r="P90" s="875">
        <f>T8</f>
        <v>1.0424</v>
      </c>
      <c r="Q90" s="875"/>
      <c r="R90" s="58">
        <f>F90</f>
        <v>923.19</v>
      </c>
      <c r="S90" s="59" t="s">
        <v>13</v>
      </c>
      <c r="T90" s="159">
        <f>ROUND(O90*P90*R90,0)</f>
        <v>0</v>
      </c>
      <c r="U90" s="63"/>
    </row>
    <row r="91" spans="1:21" ht="16.5" thickBot="1" x14ac:dyDescent="0.3">
      <c r="A91" s="64"/>
      <c r="B91" s="64" t="s">
        <v>148</v>
      </c>
      <c r="C91" s="781">
        <f>H17+H18+H21+H24+H27+H28</f>
        <v>159.9674</v>
      </c>
      <c r="D91" s="781"/>
      <c r="E91" s="54">
        <f>H8</f>
        <v>1.0424</v>
      </c>
      <c r="F91" s="545">
        <f>'0664'!F91</f>
        <v>925.42</v>
      </c>
      <c r="G91" s="186" t="s">
        <v>13</v>
      </c>
      <c r="H91" s="113">
        <f>ROUND(C91*E91*F91,2)</f>
        <v>154313.79999999999</v>
      </c>
      <c r="I91" s="61"/>
      <c r="N91" s="65" t="s">
        <v>15</v>
      </c>
      <c r="O91" s="66">
        <f>T17+T18+T21+T24+T27+T28</f>
        <v>70.990000000000009</v>
      </c>
      <c r="P91" s="875">
        <f>T8</f>
        <v>1.0424</v>
      </c>
      <c r="Q91" s="875"/>
      <c r="R91" s="58">
        <f>F91</f>
        <v>925.42</v>
      </c>
      <c r="S91" s="59" t="s">
        <v>13</v>
      </c>
      <c r="T91" s="159">
        <f>ROUND(O91*P91*R91,0)</f>
        <v>68481</v>
      </c>
      <c r="U91" s="63"/>
    </row>
    <row r="92" spans="1:21" ht="16.5" thickBot="1" x14ac:dyDescent="0.3">
      <c r="A92" s="67"/>
      <c r="B92" s="167" t="s">
        <v>147</v>
      </c>
      <c r="C92" s="782">
        <f>SUM(C89:C91)</f>
        <v>159.9674</v>
      </c>
      <c r="D92" s="782"/>
      <c r="E92" s="168"/>
      <c r="F92" s="168"/>
      <c r="G92" s="168"/>
      <c r="H92" s="169" t="s">
        <v>145</v>
      </c>
      <c r="I92" s="120">
        <f>IF(A1=75,0,H91+H90+H89)</f>
        <v>154313.79999999999</v>
      </c>
      <c r="N92" s="70" t="s">
        <v>122</v>
      </c>
      <c r="O92" s="69">
        <f>SUM(O89:O91)</f>
        <v>70.990000000000009</v>
      </c>
      <c r="P92" s="876" t="s">
        <v>18</v>
      </c>
      <c r="Q92" s="877"/>
      <c r="R92" s="877"/>
      <c r="S92" s="877"/>
      <c r="T92" s="877"/>
      <c r="U92" s="115">
        <f>IF(N1=75,0,T91+T90+T89)</f>
        <v>68481</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8"/>
      <c r="D95" s="8"/>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40</v>
      </c>
      <c r="D98" s="192">
        <v>35</v>
      </c>
      <c r="E98" s="147">
        <f>(C98+D98)/2</f>
        <v>37.5</v>
      </c>
      <c r="F98" s="173" t="s">
        <v>39</v>
      </c>
      <c r="G98" s="546">
        <f>'0664'!G98</f>
        <v>486</v>
      </c>
      <c r="I98" s="120">
        <f>ROUND(G98*E98,2)</f>
        <v>18225</v>
      </c>
      <c r="N98" s="873" t="s">
        <v>66</v>
      </c>
      <c r="O98" s="873"/>
      <c r="P98" s="874">
        <f>IF(H116=1,E98,0)</f>
        <v>37.5</v>
      </c>
      <c r="Q98" s="874"/>
      <c r="R98" s="874"/>
      <c r="S98" s="102" t="s">
        <v>39</v>
      </c>
      <c r="T98" s="72">
        <f>G98</f>
        <v>486</v>
      </c>
      <c r="U98" s="115">
        <f>ROUND(T98*P98,0)</f>
        <v>18225</v>
      </c>
    </row>
    <row r="99" spans="1:21" x14ac:dyDescent="0.25">
      <c r="A99" s="767" t="s">
        <v>82</v>
      </c>
      <c r="B99" s="767"/>
      <c r="C99" s="192">
        <v>0</v>
      </c>
      <c r="D99" s="192">
        <v>1</v>
      </c>
      <c r="E99" s="147">
        <f>(C99+D99)/2</f>
        <v>0.5</v>
      </c>
      <c r="F99" s="173" t="s">
        <v>39</v>
      </c>
      <c r="G99" s="546">
        <f>'0664'!G99</f>
        <v>1498</v>
      </c>
      <c r="I99" s="120">
        <f>ROUND(G99*E99,2)</f>
        <v>749</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523139.18</v>
      </c>
    </row>
    <row r="114" spans="1:21" ht="16.5" thickTop="1" x14ac:dyDescent="0.25">
      <c r="A114" s="767" t="s">
        <v>8</v>
      </c>
      <c r="B114" s="767"/>
      <c r="C114" s="767"/>
      <c r="D114" s="767"/>
      <c r="E114" s="767"/>
      <c r="F114" s="767"/>
      <c r="G114" s="767"/>
      <c r="H114" s="767"/>
      <c r="I114" s="120">
        <f>SUM(I112,I111,I109,I99,I98,I92,I84,I82,I81,I83,I80,I79,I78,I77,I75,I74,I73,I72,I71,I70,I68,I59,I45)</f>
        <v>1345110.21</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f>IF(E29=0,"",IF((E14+E16+SUM(E18:E24))/E29&gt;0.75,1,""))</f>
        <v>1</v>
      </c>
      <c r="I116" s="147">
        <f>U113</f>
        <v>523139.18</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523139.18</v>
      </c>
      <c r="I118" s="113">
        <f>ROUND(IF(E29=0,0,IF(E29&gt;250,-(((250/E29)*H118)*IF(G118="H",0.02,0.05)),IF(G118="H",-0.02*H118,-0.05*H118))),2)</f>
        <v>-26156.959999999999</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1318953.25</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-1319187.4099999999</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-234.15999999991618</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-234.16</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0</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89" t="str">
        <f>'0664'!A135</f>
        <v>(a) Additional FTE includes FTE earned through Advanced Placement, International Baccalaureate, Advanced International Certificate of Education, Industry Certified Career</v>
      </c>
      <c r="B135" s="690"/>
      <c r="C135" s="690"/>
      <c r="D135" s="690"/>
      <c r="E135" s="690"/>
      <c r="F135" s="690"/>
      <c r="G135" s="690"/>
      <c r="H135" s="690"/>
      <c r="I135" s="690"/>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90"/>
      <c r="C136" s="690"/>
      <c r="D136" s="690"/>
      <c r="E136" s="690"/>
      <c r="F136" s="690"/>
      <c r="G136" s="690"/>
      <c r="H136" s="690"/>
      <c r="I136" s="690"/>
      <c r="J136" s="96"/>
      <c r="K136" s="95"/>
      <c r="L136" s="95"/>
      <c r="M136" s="95"/>
      <c r="N136" s="479"/>
      <c r="O136" s="479"/>
      <c r="P136" s="479"/>
      <c r="Q136" s="479"/>
      <c r="R136" s="479"/>
      <c r="S136" s="479"/>
      <c r="T136" s="479"/>
      <c r="U136" s="479"/>
    </row>
    <row r="137" spans="1:21" x14ac:dyDescent="0.25">
      <c r="A137" s="689" t="str">
        <f>'0664'!A137</f>
        <v>(b) District allocations multiplied by percentage from item 3A.</v>
      </c>
      <c r="B137" s="691"/>
      <c r="C137" s="691"/>
      <c r="D137" s="691"/>
      <c r="E137" s="691"/>
      <c r="F137" s="691"/>
      <c r="G137" s="691"/>
      <c r="H137" s="691"/>
      <c r="I137" s="691"/>
      <c r="J137" s="95"/>
      <c r="K137" s="95"/>
      <c r="L137" s="95"/>
      <c r="M137" s="95"/>
      <c r="N137" s="97"/>
      <c r="O137" s="98"/>
      <c r="P137" s="98"/>
      <c r="Q137" s="98"/>
      <c r="R137" s="98"/>
      <c r="S137" s="98"/>
      <c r="T137" s="98"/>
      <c r="U137" s="98"/>
    </row>
    <row r="138" spans="1:21" s="95" customFormat="1" x14ac:dyDescent="0.2">
      <c r="A138" s="689" t="str">
        <f>'0664'!A138</f>
        <v>(c) District allocations multiplied by percentage from item 3B.</v>
      </c>
      <c r="B138" s="691"/>
      <c r="C138" s="691"/>
      <c r="D138" s="691"/>
      <c r="E138" s="691"/>
      <c r="F138" s="691"/>
      <c r="G138" s="691"/>
      <c r="H138" s="691"/>
      <c r="I138" s="691"/>
      <c r="N138" s="97"/>
    </row>
    <row r="139" spans="1:21" s="95" customFormat="1" ht="15.75" customHeight="1" x14ac:dyDescent="0.2">
      <c r="A139" s="689" t="str">
        <f>'0664'!A139</f>
        <v>(d) The Digital Classroom Allocation is provided pursuant to s. 1011.62(12), F.S.</v>
      </c>
      <c r="B139" s="691"/>
      <c r="C139" s="691"/>
      <c r="D139" s="691"/>
      <c r="E139" s="691"/>
      <c r="F139" s="691"/>
      <c r="G139" s="691"/>
      <c r="H139" s="691"/>
      <c r="I139" s="691"/>
      <c r="N139" s="97"/>
    </row>
    <row r="140" spans="1:21" s="95" customFormat="1" ht="15.75" customHeight="1" x14ac:dyDescent="0.2">
      <c r="A140" s="689" t="str">
        <f>'0664'!A140</f>
        <v>(e) School districts are required to pay for instructional materials used for the instruction of public high school students who are earning credit toward high school</v>
      </c>
      <c r="B140" s="691"/>
      <c r="C140" s="691"/>
      <c r="D140" s="691"/>
      <c r="E140" s="691"/>
      <c r="F140" s="691"/>
      <c r="G140" s="691"/>
      <c r="H140" s="691"/>
      <c r="I140" s="691"/>
      <c r="N140" s="97"/>
    </row>
    <row r="141" spans="1:21" s="95" customFormat="1" ht="15.75" customHeight="1" x14ac:dyDescent="0.2">
      <c r="A141" s="697" t="str">
        <f>'0664'!A141</f>
        <v xml:space="preserve">graduation under the dual enrollment program as provided in s. 1011.62(l)(i), F.S.  </v>
      </c>
      <c r="B141" s="691"/>
      <c r="C141" s="691"/>
      <c r="D141" s="691"/>
      <c r="E141" s="691"/>
      <c r="F141" s="691"/>
      <c r="G141" s="691"/>
      <c r="H141" s="691"/>
      <c r="I141" s="691"/>
      <c r="N141" s="97"/>
    </row>
    <row r="142" spans="1:21" s="95" customFormat="1" x14ac:dyDescent="0.2">
      <c r="A142" s="689" t="str">
        <f>'0664'!A142</f>
        <v>(f) This allocation will be frozen as of the 2021-22 FEFP Second Calculation and will not be recalculated throughout the year. Charter school allocations should be</v>
      </c>
      <c r="B142" s="691"/>
      <c r="C142" s="691"/>
      <c r="D142" s="691"/>
      <c r="E142" s="691"/>
      <c r="F142" s="691"/>
      <c r="G142" s="691"/>
      <c r="H142" s="691"/>
      <c r="I142" s="691"/>
      <c r="N142" s="97"/>
    </row>
    <row r="143" spans="1:21" s="95" customFormat="1" x14ac:dyDescent="0.2">
      <c r="A143" s="697" t="str">
        <f>'0664'!A143</f>
        <v xml:space="preserve">distributed on weighted FTE (or base funding as is done in the FEFP) and should not be recalculated with fluctuations in student enrollment later in the year. </v>
      </c>
      <c r="B143" s="691"/>
      <c r="C143" s="691"/>
      <c r="D143" s="691"/>
      <c r="E143" s="691"/>
      <c r="F143" s="691"/>
      <c r="G143" s="691"/>
      <c r="H143" s="691"/>
      <c r="I143" s="691"/>
      <c r="N143" s="97"/>
    </row>
    <row r="144" spans="1:21" s="95" customFormat="1" x14ac:dyDescent="0.2">
      <c r="A144" s="689" t="str">
        <f>'0664'!A144</f>
        <v>(g) Numbers entered here will be multiplied by the district level transportation funding per rider. "All Adjusted Fundable Riders" should include both basic and ESE Riders.</v>
      </c>
      <c r="B144" s="691"/>
      <c r="C144" s="691"/>
      <c r="D144" s="691"/>
      <c r="E144" s="691"/>
      <c r="F144" s="691"/>
      <c r="G144" s="691"/>
      <c r="H144" s="691"/>
      <c r="I144" s="691"/>
      <c r="N144" s="97"/>
    </row>
    <row r="145" spans="1:21" s="95" customFormat="1" x14ac:dyDescent="0.2">
      <c r="A145" s="697" t="str">
        <f>'0664'!A145</f>
        <v>"All Adjusted ESE Riders" should include only ESE Riders.</v>
      </c>
      <c r="B145" s="691"/>
      <c r="C145" s="691"/>
      <c r="D145" s="691"/>
      <c r="E145" s="691"/>
      <c r="F145" s="691"/>
      <c r="G145" s="691"/>
      <c r="H145" s="691"/>
      <c r="I145" s="691"/>
      <c r="N145" s="97"/>
    </row>
    <row r="146" spans="1:21" s="95" customFormat="1" x14ac:dyDescent="0.2">
      <c r="A146" s="689" t="str">
        <f>'0664'!A146</f>
        <v xml:space="preserve">(h) The Federally Connected Student Supplement provides additional funding for students on federal lands that receive Section 8003 impact aide pursuant to s. 1011.62(13), F.S. </v>
      </c>
      <c r="B146" s="691"/>
      <c r="C146" s="691"/>
      <c r="D146" s="691"/>
      <c r="E146" s="691"/>
      <c r="F146" s="691"/>
      <c r="G146" s="691"/>
      <c r="H146" s="691"/>
      <c r="I146" s="691"/>
      <c r="N146" s="97"/>
    </row>
    <row r="147" spans="1:21" s="95" customFormat="1" x14ac:dyDescent="0.2">
      <c r="A147" s="689" t="str">
        <f>'0664'!A147</f>
        <v>(i) Teacher Classroom Supply Assistance Program allocation pursuant to s. 1012.71, F.S., for certified teachers employed by a public school district or public charter school</v>
      </c>
      <c r="B147" s="691"/>
      <c r="C147" s="691"/>
      <c r="D147" s="691"/>
      <c r="E147" s="691"/>
      <c r="F147" s="691"/>
      <c r="G147" s="691"/>
      <c r="H147" s="691"/>
      <c r="I147" s="691"/>
      <c r="N147" s="97"/>
    </row>
    <row r="148" spans="1:21" s="95" customFormat="1" x14ac:dyDescent="0.2">
      <c r="A148" s="697" t="str">
        <f>'0664'!A148</f>
        <v xml:space="preserve">before September 1 of each year whose full-time or job-share responsibility is the classroom instruction of students in prekindergarten through grade 12, including </v>
      </c>
      <c r="B148" s="691"/>
      <c r="C148" s="691"/>
      <c r="D148" s="691"/>
      <c r="E148" s="691"/>
      <c r="F148" s="691"/>
      <c r="G148" s="691"/>
      <c r="H148" s="691"/>
      <c r="I148" s="691"/>
      <c r="N148" s="97"/>
    </row>
    <row r="149" spans="1:21" s="95" customFormat="1" ht="15.75" customHeight="1" x14ac:dyDescent="0.2">
      <c r="A149" s="697" t="str">
        <f>'0664'!A149</f>
        <v>full-time media specialists and certified school counselors serving students in prekindergarten through grade 12, who are funded through the FEFP.</v>
      </c>
      <c r="B149" s="691"/>
      <c r="C149" s="691"/>
      <c r="D149" s="691"/>
      <c r="E149" s="691"/>
      <c r="F149" s="691"/>
      <c r="G149" s="691"/>
      <c r="H149" s="691"/>
      <c r="I149" s="691"/>
      <c r="N149" s="97"/>
    </row>
    <row r="150" spans="1:21" s="95" customFormat="1" ht="15.75" customHeight="1" x14ac:dyDescent="0.2">
      <c r="A150" s="689" t="str">
        <f>'0664'!A150</f>
        <v xml:space="preserve">(j) Funding based on student eligibility and meals provided, if participating in the National School Lunch Program. </v>
      </c>
      <c r="B150" s="691"/>
      <c r="C150" s="691"/>
      <c r="D150" s="691"/>
      <c r="E150" s="691"/>
      <c r="F150" s="691"/>
      <c r="G150" s="691"/>
      <c r="H150" s="691"/>
      <c r="I150" s="691"/>
      <c r="N150" s="97"/>
    </row>
    <row r="151" spans="1:21" s="95" customFormat="1" ht="15.75" customHeight="1" x14ac:dyDescent="0.2">
      <c r="A151" s="689" t="str">
        <f>'0664'!A151</f>
        <v>(k) Consistent with s. 1002.33(20)(a), F.S., for charter schools with a population of 75% or more ESE students, the administrative fee shall be calculated based on</v>
      </c>
      <c r="B151" s="691"/>
      <c r="C151" s="691"/>
      <c r="D151" s="691"/>
      <c r="E151" s="691"/>
      <c r="F151" s="691"/>
      <c r="G151" s="691"/>
      <c r="H151" s="691"/>
      <c r="I151" s="691"/>
      <c r="N151" s="97"/>
    </row>
    <row r="152" spans="1:21" s="95" customFormat="1" ht="15.75" customHeight="1" x14ac:dyDescent="0.2">
      <c r="A152" s="697" t="str">
        <f>'0664'!A152</f>
        <v xml:space="preserve">unweighted full-time equivalent students. </v>
      </c>
      <c r="B152" s="691"/>
      <c r="C152" s="691"/>
      <c r="D152" s="691"/>
      <c r="E152" s="691"/>
      <c r="F152" s="691"/>
      <c r="G152" s="691"/>
      <c r="H152" s="691"/>
      <c r="I152" s="691"/>
      <c r="N152" s="97"/>
    </row>
    <row r="153" spans="1:21" s="95" customFormat="1" ht="15.75" customHeight="1" x14ac:dyDescent="0.2">
      <c r="A153" s="689"/>
      <c r="B153" s="691"/>
      <c r="C153" s="691"/>
      <c r="D153" s="691"/>
      <c r="E153" s="691"/>
      <c r="F153" s="691"/>
      <c r="G153" s="691"/>
      <c r="H153" s="691"/>
      <c r="I153" s="691"/>
      <c r="N153" s="97"/>
    </row>
    <row r="154" spans="1:21" s="95" customFormat="1" ht="15.75" customHeight="1" x14ac:dyDescent="0.25">
      <c r="A154" s="708" t="str">
        <f>'0664'!A154</f>
        <v>Administrative fees:</v>
      </c>
      <c r="B154" s="691"/>
      <c r="C154" s="691"/>
      <c r="D154" s="691"/>
      <c r="E154" s="691"/>
      <c r="F154" s="691"/>
      <c r="G154" s="691"/>
      <c r="H154" s="691"/>
      <c r="I154" s="691"/>
      <c r="J154" s="3"/>
      <c r="K154" s="3"/>
      <c r="L154" s="3"/>
      <c r="M154" s="3"/>
      <c r="N154" s="97"/>
    </row>
    <row r="155" spans="1:21" s="95" customFormat="1" ht="15.75" customHeight="1" x14ac:dyDescent="0.25">
      <c r="A155" s="712" t="str">
        <f>'0664'!A155</f>
        <v xml:space="preserve">Administrative fees charged by the school district pursuant to s. 1002.33(20)(a), F.S., shall be calculated based upon 5% of available funds from the FEFP and categorical </v>
      </c>
      <c r="B155" s="694"/>
      <c r="C155" s="694"/>
      <c r="D155" s="694"/>
      <c r="E155" s="694"/>
      <c r="F155" s="694"/>
      <c r="G155" s="694"/>
      <c r="H155" s="694"/>
      <c r="I155" s="694"/>
      <c r="J155" s="3"/>
      <c r="K155" s="3"/>
      <c r="L155" s="3"/>
      <c r="M155" s="3"/>
      <c r="N155" s="97"/>
    </row>
    <row r="156" spans="1:21" s="95" customFormat="1" ht="15.75" customHeight="1" x14ac:dyDescent="0.25">
      <c r="A156" s="713" t="str">
        <f>'0664'!A156</f>
        <v>funding for which charter students may be eligible.  To calculate the administrative fee to be withheld for schools with more than 250 students, divide the school</v>
      </c>
      <c r="B156" s="705"/>
      <c r="C156" s="705"/>
      <c r="D156" s="705"/>
      <c r="E156" s="705"/>
      <c r="F156" s="705"/>
      <c r="G156" s="705"/>
      <c r="H156" s="705"/>
      <c r="I156" s="705"/>
      <c r="J156" s="3"/>
      <c r="K156" s="3"/>
      <c r="L156" s="3"/>
      <c r="M156" s="3"/>
      <c r="N156" s="97"/>
    </row>
    <row r="157" spans="1:21" s="95" customFormat="1" ht="15.75" customHeight="1" x14ac:dyDescent="0.25">
      <c r="A157" s="713" t="str">
        <f>'0664'!A157</f>
        <v xml:space="preserve">population into 250. Multiply that fraction times the funds available, then times 5%.  </v>
      </c>
      <c r="B157" s="705"/>
      <c r="C157" s="705"/>
      <c r="D157" s="705"/>
      <c r="E157" s="705"/>
      <c r="F157" s="705"/>
      <c r="G157" s="705"/>
      <c r="H157" s="705"/>
      <c r="I157" s="705"/>
      <c r="J157" s="3"/>
      <c r="K157" s="3"/>
      <c r="L157" s="3"/>
      <c r="M157" s="3"/>
      <c r="N157" s="97"/>
    </row>
    <row r="158" spans="1:21" s="95" customFormat="1" ht="15.75" customHeight="1" x14ac:dyDescent="0.25">
      <c r="A158" s="712"/>
      <c r="B158" s="705"/>
      <c r="C158" s="705"/>
      <c r="D158" s="705"/>
      <c r="E158" s="705"/>
      <c r="F158" s="705"/>
      <c r="G158" s="705"/>
      <c r="H158" s="705"/>
      <c r="I158" s="705"/>
      <c r="N158" s="93"/>
      <c r="O158" s="3"/>
      <c r="P158" s="3"/>
      <c r="Q158" s="3"/>
      <c r="R158" s="3"/>
      <c r="S158" s="3"/>
      <c r="T158" s="3"/>
      <c r="U158" s="3"/>
    </row>
    <row r="159" spans="1:21" ht="15.75" customHeight="1" x14ac:dyDescent="0.25">
      <c r="A159" s="712" t="str">
        <f>'0664'!A159</f>
        <v xml:space="preserve">For high performing charter schools, administrative fees charged by the school district shall be calculated based upon 2% of available funds from the FEFP and categorical </v>
      </c>
      <c r="B159" s="694"/>
      <c r="C159" s="694"/>
      <c r="D159" s="694"/>
      <c r="E159" s="694"/>
      <c r="F159" s="694"/>
      <c r="G159" s="694"/>
      <c r="H159" s="694"/>
      <c r="I159" s="694"/>
      <c r="J159" s="95"/>
      <c r="K159" s="95"/>
      <c r="L159" s="95"/>
      <c r="M159" s="95"/>
      <c r="N159" s="97"/>
      <c r="O159" s="95"/>
      <c r="P159" s="95"/>
      <c r="Q159" s="95"/>
      <c r="R159" s="95"/>
      <c r="S159" s="95"/>
      <c r="T159" s="95"/>
      <c r="U159" s="95"/>
    </row>
    <row r="160" spans="1:21" ht="15.75" customHeight="1" x14ac:dyDescent="0.25">
      <c r="A160" s="713" t="str">
        <f>'0664'!A160</f>
        <v>funding for which charter students may be eligible.  To calculate the administrative fee to be withheld for schools with more than 250 students, divide the school</v>
      </c>
      <c r="B160" s="694"/>
      <c r="C160" s="694"/>
      <c r="D160" s="694"/>
      <c r="E160" s="694"/>
      <c r="F160" s="694"/>
      <c r="G160" s="694"/>
      <c r="H160" s="694"/>
      <c r="I160" s="694"/>
      <c r="J160" s="95"/>
      <c r="K160" s="95"/>
      <c r="L160" s="95"/>
      <c r="M160" s="95"/>
      <c r="N160" s="97"/>
      <c r="O160" s="95"/>
      <c r="P160" s="95"/>
      <c r="Q160" s="95"/>
      <c r="R160" s="95"/>
      <c r="S160" s="95"/>
      <c r="T160" s="95"/>
      <c r="U160" s="95"/>
    </row>
    <row r="161" spans="1:14" s="95" customFormat="1" ht="15.75" customHeight="1" x14ac:dyDescent="0.2">
      <c r="A161" s="713" t="str">
        <f>'0664'!A161</f>
        <v xml:space="preserve">population into 250. Multiply that fraction times the funds available, then times 2%.  </v>
      </c>
      <c r="B161" s="694"/>
      <c r="C161" s="694"/>
      <c r="D161" s="694"/>
      <c r="E161" s="694"/>
      <c r="F161" s="694"/>
      <c r="G161" s="694"/>
      <c r="H161" s="694"/>
      <c r="I161" s="694"/>
      <c r="N161" s="97"/>
    </row>
    <row r="162" spans="1:14" x14ac:dyDescent="0.25">
      <c r="A162" s="689"/>
      <c r="B162" s="695"/>
      <c r="C162" s="695"/>
      <c r="D162" s="695"/>
      <c r="E162" s="695"/>
      <c r="F162" s="695"/>
      <c r="G162" s="695"/>
      <c r="H162" s="695"/>
      <c r="I162" s="695"/>
      <c r="N162" s="93"/>
    </row>
    <row r="163" spans="1:14" x14ac:dyDescent="0.25">
      <c r="A163" s="708" t="str">
        <f>'0664'!A163</f>
        <v>Other:</v>
      </c>
      <c r="B163" s="706"/>
      <c r="C163" s="706"/>
      <c r="D163" s="706"/>
      <c r="E163" s="706"/>
      <c r="F163" s="706"/>
      <c r="G163" s="706"/>
      <c r="H163" s="706"/>
      <c r="I163" s="706"/>
      <c r="N163" s="93"/>
    </row>
    <row r="164" spans="1:14" x14ac:dyDescent="0.25">
      <c r="A164" s="712" t="str">
        <f>'0664'!A164</f>
        <v>FEFP and categorical funding are recalculated during the year to reflect the revised number of full-time equivalent students reported during the survey periods designated</v>
      </c>
      <c r="B164" s="695"/>
      <c r="C164" s="695"/>
      <c r="D164" s="695"/>
      <c r="E164" s="695"/>
      <c r="F164" s="695"/>
      <c r="G164" s="695"/>
      <c r="H164" s="695"/>
      <c r="I164" s="695"/>
      <c r="N164" s="93"/>
    </row>
    <row r="165" spans="1:14" x14ac:dyDescent="0.25">
      <c r="A165" s="713" t="str">
        <f>'0664'!A165</f>
        <v>by the Commissioner of Education.</v>
      </c>
      <c r="B165" s="707"/>
      <c r="C165" s="707"/>
      <c r="D165" s="707"/>
      <c r="E165" s="707"/>
      <c r="F165" s="707"/>
      <c r="G165" s="707"/>
      <c r="H165" s="707"/>
      <c r="I165" s="707"/>
      <c r="N165" s="93"/>
    </row>
    <row r="166" spans="1:14" x14ac:dyDescent="0.25">
      <c r="A166" s="712" t="str">
        <f>'0664'!A166</f>
        <v>Revenues flow to districts from state sources and from county tax collectors on various distribution schedules.</v>
      </c>
      <c r="B166" s="695"/>
      <c r="C166" s="695"/>
      <c r="D166" s="695"/>
      <c r="E166" s="695"/>
      <c r="F166" s="695"/>
      <c r="G166" s="695"/>
      <c r="H166" s="695"/>
      <c r="I166" s="695"/>
      <c r="N166" s="93"/>
    </row>
    <row r="167" spans="1:14" x14ac:dyDescent="0.25">
      <c r="A167" s="494"/>
      <c r="B167" s="494"/>
      <c r="C167" s="494"/>
      <c r="D167" s="494"/>
      <c r="E167" s="494"/>
      <c r="F167" s="494"/>
      <c r="G167" s="494"/>
      <c r="H167" s="494"/>
      <c r="I167" s="494"/>
      <c r="N167" s="93"/>
    </row>
    <row r="168" spans="1:14" x14ac:dyDescent="0.25">
      <c r="A168" s="93"/>
      <c r="N168" s="93"/>
    </row>
    <row r="169" spans="1:14" x14ac:dyDescent="0.25">
      <c r="A169" s="93"/>
      <c r="N169" s="93"/>
    </row>
    <row r="170" spans="1:14" x14ac:dyDescent="0.25">
      <c r="A170" s="93"/>
      <c r="N170" s="93"/>
    </row>
    <row r="171" spans="1:14" x14ac:dyDescent="0.25">
      <c r="A171" s="93"/>
      <c r="B171" s="183"/>
      <c r="C171" s="183"/>
      <c r="D171" s="183"/>
      <c r="E171" s="183"/>
      <c r="F171" s="183"/>
      <c r="G171" s="183"/>
      <c r="H171" s="183"/>
      <c r="I171" s="18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78:P78"/>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A98:B98"/>
    <mergeCell ref="N98:O98"/>
    <mergeCell ref="P98:R98"/>
    <mergeCell ref="A99:B99"/>
    <mergeCell ref="N99:O99"/>
    <mergeCell ref="P99:R99"/>
    <mergeCell ref="A102:C102"/>
    <mergeCell ref="F102:I102"/>
    <mergeCell ref="N102:U102"/>
    <mergeCell ref="C103:E103"/>
    <mergeCell ref="F104:G104"/>
    <mergeCell ref="A105:B105"/>
    <mergeCell ref="F105:G105"/>
    <mergeCell ref="N105:O105"/>
    <mergeCell ref="P105:Q105"/>
    <mergeCell ref="R105:S105"/>
    <mergeCell ref="R106:S106"/>
    <mergeCell ref="A107:B107"/>
    <mergeCell ref="F107:G107"/>
    <mergeCell ref="N107:O107"/>
    <mergeCell ref="P107:Q107"/>
    <mergeCell ref="R107:S107"/>
    <mergeCell ref="N109:O109"/>
    <mergeCell ref="A106:B106"/>
    <mergeCell ref="F106:G106"/>
    <mergeCell ref="N106:O106"/>
    <mergeCell ref="P106:Q106"/>
    <mergeCell ref="A109:B109"/>
    <mergeCell ref="N135:U135"/>
    <mergeCell ref="N115:U115"/>
    <mergeCell ref="N112:P112"/>
    <mergeCell ref="A112:C112"/>
    <mergeCell ref="F112:H112"/>
    <mergeCell ref="N113:T113"/>
    <mergeCell ref="A114:H114"/>
    <mergeCell ref="A115:G115"/>
    <mergeCell ref="A116:G116"/>
    <mergeCell ref="A111:C111"/>
    <mergeCell ref="F111:H111"/>
    <mergeCell ref="N111:P111"/>
    <mergeCell ref="N116:U116"/>
    <mergeCell ref="A108:B108"/>
    <mergeCell ref="F108:G108"/>
    <mergeCell ref="N108:O108"/>
    <mergeCell ref="P108:Q108"/>
    <mergeCell ref="R108:S108"/>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pageSetUpPr fitToPage="1"/>
  </sheetPr>
  <dimension ref="A1:U202"/>
  <sheetViews>
    <sheetView showGridLines="0" zoomScale="90" zoomScaleNormal="90" workbookViewId="0">
      <pane ySplit="1" topLeftCell="A95"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159</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71" t="s">
        <v>391</v>
      </c>
      <c r="D9" s="671"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1</v>
      </c>
      <c r="D14" s="192">
        <v>1</v>
      </c>
      <c r="E14" s="147">
        <f t="shared" ref="E14:E28" si="3">IF(D$29=0,C14*2,C14+D14)</f>
        <v>2</v>
      </c>
      <c r="F14" s="814">
        <f>'0664'!F14:G14</f>
        <v>1.1259999999999999</v>
      </c>
      <c r="G14" s="814"/>
      <c r="H14" s="99">
        <f t="shared" ref="H14:H28" si="4">ROUND(E14*F14,4)</f>
        <v>2.2519999999999998</v>
      </c>
      <c r="I14" s="120">
        <f t="shared" si="0"/>
        <v>10265.34</v>
      </c>
      <c r="J14" s="81" t="str">
        <f>IF(ROUND(E14,2)=ROUND(SUM(E50:E52),2)," ","CHECK PK-3 LINES BELOW")</f>
        <v xml:space="preserve"> </v>
      </c>
      <c r="N14" s="840" t="s">
        <v>30</v>
      </c>
      <c r="O14" s="840"/>
      <c r="P14" s="841">
        <f t="shared" si="1"/>
        <v>2</v>
      </c>
      <c r="Q14" s="841"/>
      <c r="R14" s="842">
        <v>1</v>
      </c>
      <c r="S14" s="842"/>
      <c r="T14" s="114">
        <f t="shared" ref="T14:T28" si="5">ROUND(P14*R14,4)</f>
        <v>2</v>
      </c>
      <c r="U14" s="115">
        <f t="shared" si="2"/>
        <v>9117</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1.5</v>
      </c>
      <c r="D19" s="192">
        <v>2</v>
      </c>
      <c r="E19" s="147">
        <f t="shared" si="3"/>
        <v>3.5</v>
      </c>
      <c r="F19" s="814">
        <f>'0664'!F19:G19</f>
        <v>3.6480000000000001</v>
      </c>
      <c r="G19" s="814"/>
      <c r="H19" s="99">
        <f t="shared" si="4"/>
        <v>12.768000000000001</v>
      </c>
      <c r="I19" s="120">
        <f t="shared" si="0"/>
        <v>58200.65</v>
      </c>
      <c r="N19" s="840" t="s">
        <v>110</v>
      </c>
      <c r="O19" s="840"/>
      <c r="P19" s="841">
        <f t="shared" si="1"/>
        <v>3.5</v>
      </c>
      <c r="Q19" s="841"/>
      <c r="R19" s="842">
        <v>1</v>
      </c>
      <c r="S19" s="842"/>
      <c r="T19" s="114">
        <f t="shared" si="5"/>
        <v>3.5</v>
      </c>
      <c r="U19" s="115">
        <f t="shared" si="2"/>
        <v>15954</v>
      </c>
    </row>
    <row r="20" spans="1:21" x14ac:dyDescent="0.25">
      <c r="A20" s="764" t="s">
        <v>111</v>
      </c>
      <c r="B20" s="764"/>
      <c r="C20" s="192">
        <v>5.5</v>
      </c>
      <c r="D20" s="192">
        <v>5.5</v>
      </c>
      <c r="E20" s="147">
        <f t="shared" si="3"/>
        <v>11</v>
      </c>
      <c r="F20" s="814">
        <f>'0664'!F20:G20</f>
        <v>3.6480000000000001</v>
      </c>
      <c r="G20" s="814"/>
      <c r="H20" s="99">
        <f t="shared" si="4"/>
        <v>40.128</v>
      </c>
      <c r="I20" s="120">
        <f t="shared" si="0"/>
        <v>182916.32</v>
      </c>
      <c r="N20" s="840" t="s">
        <v>111</v>
      </c>
      <c r="O20" s="840"/>
      <c r="P20" s="841">
        <f t="shared" si="1"/>
        <v>11</v>
      </c>
      <c r="Q20" s="841"/>
      <c r="R20" s="842">
        <v>1</v>
      </c>
      <c r="S20" s="842"/>
      <c r="T20" s="114">
        <f t="shared" si="5"/>
        <v>11</v>
      </c>
      <c r="U20" s="115">
        <f t="shared" si="2"/>
        <v>50142</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2.5</v>
      </c>
      <c r="D22" s="192">
        <v>2</v>
      </c>
      <c r="E22" s="147">
        <f t="shared" si="3"/>
        <v>4.5</v>
      </c>
      <c r="F22" s="814">
        <f>'0664'!F22:G22</f>
        <v>5.34</v>
      </c>
      <c r="G22" s="814"/>
      <c r="H22" s="99">
        <f t="shared" si="4"/>
        <v>24.03</v>
      </c>
      <c r="I22" s="120">
        <f t="shared" si="0"/>
        <v>109536.46</v>
      </c>
      <c r="N22" s="840" t="s">
        <v>113</v>
      </c>
      <c r="O22" s="840"/>
      <c r="P22" s="841">
        <f t="shared" si="1"/>
        <v>4.5</v>
      </c>
      <c r="Q22" s="841"/>
      <c r="R22" s="842">
        <v>1</v>
      </c>
      <c r="S22" s="842"/>
      <c r="T22" s="114">
        <f t="shared" si="5"/>
        <v>4.5</v>
      </c>
      <c r="U22" s="115">
        <f t="shared" si="2"/>
        <v>20512</v>
      </c>
    </row>
    <row r="23" spans="1:21" x14ac:dyDescent="0.25">
      <c r="A23" s="764" t="s">
        <v>114</v>
      </c>
      <c r="B23" s="764"/>
      <c r="C23" s="192">
        <v>5.5</v>
      </c>
      <c r="D23" s="192">
        <v>5.5</v>
      </c>
      <c r="E23" s="147">
        <f t="shared" si="3"/>
        <v>11</v>
      </c>
      <c r="F23" s="814">
        <f>'0664'!F23:G23</f>
        <v>5.34</v>
      </c>
      <c r="G23" s="814"/>
      <c r="H23" s="99">
        <f t="shared" si="4"/>
        <v>58.74</v>
      </c>
      <c r="I23" s="120">
        <f t="shared" si="0"/>
        <v>267755.8</v>
      </c>
      <c r="N23" s="840" t="s">
        <v>114</v>
      </c>
      <c r="O23" s="840"/>
      <c r="P23" s="841">
        <f t="shared" si="1"/>
        <v>11</v>
      </c>
      <c r="Q23" s="841"/>
      <c r="R23" s="842">
        <v>1</v>
      </c>
      <c r="S23" s="842"/>
      <c r="T23" s="114">
        <f t="shared" si="5"/>
        <v>11</v>
      </c>
      <c r="U23" s="115">
        <f t="shared" si="2"/>
        <v>50142</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16</v>
      </c>
      <c r="D29" s="113">
        <f>SUM(D13:D28)</f>
        <v>16</v>
      </c>
      <c r="E29" s="113">
        <f>SUM(E13:E28)</f>
        <v>32</v>
      </c>
      <c r="F29" s="820"/>
      <c r="G29" s="820"/>
      <c r="H29" s="118">
        <f>SUM(H13:H28)</f>
        <v>137.91800000000001</v>
      </c>
      <c r="I29" s="113">
        <f>SUM(I13:I28)</f>
        <v>628674.57000000007</v>
      </c>
      <c r="N29" s="850" t="s">
        <v>5</v>
      </c>
      <c r="O29" s="850"/>
      <c r="P29" s="851">
        <f>SUM(P13:P28)</f>
        <v>32</v>
      </c>
      <c r="Q29" s="851"/>
      <c r="R29" s="852"/>
      <c r="S29" s="852"/>
      <c r="T29" s="119">
        <f>SUM(T13:T28)</f>
        <v>32</v>
      </c>
      <c r="U29" s="115">
        <f>SUM(U13:U28)</f>
        <v>145867</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137.91800000000001</v>
      </c>
      <c r="F45" s="36"/>
      <c r="G45" s="128"/>
      <c r="H45" s="129" t="s">
        <v>131</v>
      </c>
      <c r="I45" s="113">
        <f>SUM(I43,I29)</f>
        <v>628674.57000000007</v>
      </c>
      <c r="N45" s="855" t="s">
        <v>56</v>
      </c>
      <c r="O45" s="855"/>
      <c r="P45" s="855"/>
      <c r="Q45" s="855"/>
      <c r="R45" s="37">
        <f>R43+T29</f>
        <v>32</v>
      </c>
      <c r="S45" s="852" t="s">
        <v>54</v>
      </c>
      <c r="T45" s="852"/>
      <c r="U45" s="130">
        <f>SUM(U43,U29)</f>
        <v>145867</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71" t="s">
        <v>391</v>
      </c>
      <c r="D47" s="671"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0.5</v>
      </c>
      <c r="D51" s="192">
        <v>0.44</v>
      </c>
      <c r="E51" s="147">
        <f t="shared" ref="E51:E58" si="10">IF(D$59=0,C51*2,C51+D51)</f>
        <v>0.94</v>
      </c>
      <c r="F51" s="52" t="s">
        <v>21</v>
      </c>
      <c r="G51" s="52">
        <v>252</v>
      </c>
      <c r="H51" s="485">
        <f>'0664'!H51</f>
        <v>3380</v>
      </c>
      <c r="I51" s="120">
        <f t="shared" ref="I51:I58" si="11">ROUND(E51*H51,2)</f>
        <v>3177.2</v>
      </c>
      <c r="N51" s="863"/>
      <c r="O51" s="863"/>
      <c r="P51" s="865"/>
      <c r="Q51" s="865"/>
      <c r="R51" s="43" t="s">
        <v>21</v>
      </c>
      <c r="S51" s="43">
        <v>252</v>
      </c>
      <c r="T51" s="138">
        <f t="shared" ref="T51:T58" si="12">H51</f>
        <v>3380</v>
      </c>
      <c r="U51" s="139">
        <f t="shared" ref="U51:U58" si="13">ROUND(P51*T51,0)</f>
        <v>0</v>
      </c>
    </row>
    <row r="52" spans="1:21" x14ac:dyDescent="0.25">
      <c r="A52" s="792"/>
      <c r="B52" s="792"/>
      <c r="C52" s="192">
        <v>0.5</v>
      </c>
      <c r="D52" s="192">
        <v>0.56000000000000005</v>
      </c>
      <c r="E52" s="147">
        <f t="shared" si="10"/>
        <v>1.06</v>
      </c>
      <c r="F52" s="52" t="s">
        <v>21</v>
      </c>
      <c r="G52" s="52">
        <v>253</v>
      </c>
      <c r="H52" s="485">
        <f>'0664'!H52</f>
        <v>6896</v>
      </c>
      <c r="I52" s="120">
        <f t="shared" si="11"/>
        <v>7309.76</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1</v>
      </c>
      <c r="D59" s="116">
        <f>SUM(D50:D58)</f>
        <v>1</v>
      </c>
      <c r="E59" s="116">
        <f>SUM(E50:E58)</f>
        <v>2</v>
      </c>
      <c r="F59" s="767" t="s">
        <v>78</v>
      </c>
      <c r="G59" s="767"/>
      <c r="H59" s="767"/>
      <c r="I59" s="116">
        <f>SUM(I50:I58)</f>
        <v>10486.96</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32</v>
      </c>
      <c r="D62" s="882" t="s">
        <v>137</v>
      </c>
      <c r="E62" s="882"/>
      <c r="F62" s="882"/>
      <c r="G62" s="882"/>
      <c r="H62" s="542">
        <f>'0664'!H62</f>
        <v>190754.06</v>
      </c>
      <c r="I62" s="144"/>
      <c r="N62" s="860" t="s">
        <v>327</v>
      </c>
      <c r="O62" s="840"/>
      <c r="P62" s="46">
        <f>P29</f>
        <v>32</v>
      </c>
      <c r="Q62" s="861" t="s">
        <v>79</v>
      </c>
      <c r="R62" s="861"/>
      <c r="S62" s="861"/>
      <c r="T62" s="862">
        <f>H62</f>
        <v>190754.06</v>
      </c>
      <c r="U62" s="862"/>
    </row>
    <row r="63" spans="1:21" x14ac:dyDescent="0.25">
      <c r="B63" s="86"/>
      <c r="G63" s="47" t="s">
        <v>13</v>
      </c>
      <c r="H63" s="145">
        <f>ROUND(C62/H62,6)</f>
        <v>1.6799999999999999E-4</v>
      </c>
      <c r="I63" s="146"/>
      <c r="N63" s="840" t="s">
        <v>19</v>
      </c>
      <c r="O63" s="840"/>
      <c r="P63" s="840"/>
      <c r="Q63" s="840"/>
      <c r="R63" s="840"/>
      <c r="S63" s="840"/>
      <c r="T63" s="868">
        <f>ROUND(P62/T62,6)</f>
        <v>1.6799999999999999E-4</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137.91800000000001</v>
      </c>
      <c r="D65" s="882" t="s">
        <v>142</v>
      </c>
      <c r="E65" s="882"/>
      <c r="F65" s="882"/>
      <c r="G65" s="882"/>
      <c r="H65" s="543">
        <f>'0664'!H65</f>
        <v>214462.41</v>
      </c>
      <c r="I65" s="147"/>
      <c r="N65" s="840" t="s">
        <v>81</v>
      </c>
      <c r="O65" s="840"/>
      <c r="P65" s="46">
        <f>R45</f>
        <v>32</v>
      </c>
      <c r="Q65" s="861" t="s">
        <v>80</v>
      </c>
      <c r="R65" s="861"/>
      <c r="S65" s="861"/>
      <c r="T65" s="862">
        <f>H65</f>
        <v>214462.41</v>
      </c>
      <c r="U65" s="862"/>
    </row>
    <row r="66" spans="1:21" s="38" customFormat="1" x14ac:dyDescent="0.25">
      <c r="A66" s="148"/>
      <c r="G66" s="48" t="s">
        <v>13</v>
      </c>
      <c r="H66" s="149">
        <f>ROUND(C65/H65,6)</f>
        <v>6.4300000000000002E-4</v>
      </c>
      <c r="I66" s="149"/>
      <c r="N66" s="845" t="s">
        <v>20</v>
      </c>
      <c r="O66" s="845"/>
      <c r="P66" s="845"/>
      <c r="Q66" s="845"/>
      <c r="R66" s="845"/>
      <c r="S66" s="845"/>
      <c r="T66" s="867">
        <f>ROUND(P65/T65,6)</f>
        <v>1.4899999999999999E-4</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1.6799999999999999E-4</v>
      </c>
      <c r="I68" s="120">
        <f>ROUND(F68*H68,2)</f>
        <v>7060.97</v>
      </c>
      <c r="N68" s="840" t="s">
        <v>87</v>
      </c>
      <c r="O68" s="840"/>
      <c r="P68" s="840"/>
      <c r="Q68" s="50"/>
      <c r="R68" s="156">
        <f>F68</f>
        <v>42029577</v>
      </c>
      <c r="S68" s="42" t="s">
        <v>6</v>
      </c>
      <c r="T68" s="157">
        <f>T63</f>
        <v>1.6799999999999999E-4</v>
      </c>
      <c r="U68" s="115">
        <f>ROUND(R68*T68,0)</f>
        <v>7061</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1.6799999999999999E-4</v>
      </c>
      <c r="I70" s="120">
        <f>ROUND(F70*H70,2)</f>
        <v>0</v>
      </c>
      <c r="N70" s="51"/>
      <c r="O70" s="51"/>
      <c r="P70" s="51"/>
      <c r="Q70" s="50"/>
      <c r="R70" s="156">
        <f>F70</f>
        <v>0</v>
      </c>
      <c r="S70" s="42" t="s">
        <v>6</v>
      </c>
      <c r="T70" s="157">
        <f>T63</f>
        <v>1.6799999999999999E-4</v>
      </c>
      <c r="U70" s="115">
        <f>ROUND(R70*T70,0)</f>
        <v>0</v>
      </c>
    </row>
    <row r="71" spans="1:21" x14ac:dyDescent="0.25">
      <c r="A71" s="764" t="s">
        <v>85</v>
      </c>
      <c r="B71" s="764"/>
      <c r="C71" s="764"/>
      <c r="D71" s="556" t="s">
        <v>358</v>
      </c>
      <c r="E71" s="610" t="s">
        <v>372</v>
      </c>
      <c r="F71" s="544">
        <f>'0664'!F71</f>
        <v>146607</v>
      </c>
      <c r="G71" s="40" t="s">
        <v>6</v>
      </c>
      <c r="H71" s="155">
        <f>H63</f>
        <v>1.6799999999999999E-4</v>
      </c>
      <c r="I71" s="120">
        <f>IF(D71="Y",ROUND(F71*H71,2),0)</f>
        <v>24.63</v>
      </c>
      <c r="N71" s="840" t="s">
        <v>85</v>
      </c>
      <c r="O71" s="840"/>
      <c r="P71" s="840"/>
      <c r="Q71" s="50"/>
      <c r="R71" s="156">
        <f>F71</f>
        <v>146607</v>
      </c>
      <c r="S71" s="42" t="s">
        <v>6</v>
      </c>
      <c r="T71" s="157">
        <f>T63</f>
        <v>1.6799999999999999E-4</v>
      </c>
      <c r="U71" s="115">
        <f>ROUND(R71*T71,0)</f>
        <v>25</v>
      </c>
    </row>
    <row r="72" spans="1:21" x14ac:dyDescent="0.25">
      <c r="A72" s="764" t="s">
        <v>84</v>
      </c>
      <c r="B72" s="764"/>
      <c r="C72" s="764"/>
      <c r="D72" s="86"/>
      <c r="E72" s="71" t="s">
        <v>3</v>
      </c>
      <c r="F72" s="544">
        <f>'0664'!F72</f>
        <v>11337910</v>
      </c>
      <c r="G72" s="40" t="s">
        <v>6</v>
      </c>
      <c r="H72" s="155">
        <f>H63</f>
        <v>1.6799999999999999E-4</v>
      </c>
      <c r="I72" s="120">
        <f>ROUND(F72*H72,2)</f>
        <v>1904.77</v>
      </c>
      <c r="N72" s="840" t="s">
        <v>84</v>
      </c>
      <c r="O72" s="840"/>
      <c r="P72" s="840"/>
      <c r="Q72" s="50"/>
      <c r="R72" s="156">
        <f>F72</f>
        <v>11337910</v>
      </c>
      <c r="S72" s="42" t="s">
        <v>6</v>
      </c>
      <c r="T72" s="157">
        <f>T63</f>
        <v>1.6799999999999999E-4</v>
      </c>
      <c r="U72" s="115">
        <f>ROUND(R72*T72,0)</f>
        <v>1905</v>
      </c>
    </row>
    <row r="73" spans="1:21" x14ac:dyDescent="0.25">
      <c r="A73" s="764" t="s">
        <v>83</v>
      </c>
      <c r="B73" s="764"/>
      <c r="C73" s="764"/>
      <c r="D73" s="86"/>
      <c r="E73" s="71" t="s">
        <v>3</v>
      </c>
      <c r="F73" s="544">
        <f>'0664'!F73</f>
        <v>13882385</v>
      </c>
      <c r="G73" s="40" t="s">
        <v>6</v>
      </c>
      <c r="H73" s="155">
        <f>H63</f>
        <v>1.6799999999999999E-4</v>
      </c>
      <c r="I73" s="120">
        <f>ROUND(F73*H73,2)</f>
        <v>2332.2399999999998</v>
      </c>
      <c r="N73" s="840" t="s">
        <v>83</v>
      </c>
      <c r="O73" s="840"/>
      <c r="P73" s="840"/>
      <c r="Q73" s="50"/>
      <c r="R73" s="159">
        <f>F73</f>
        <v>13882385</v>
      </c>
      <c r="S73" s="42" t="s">
        <v>6</v>
      </c>
      <c r="T73" s="157">
        <f>T63</f>
        <v>1.6799999999999999E-4</v>
      </c>
      <c r="U73" s="115">
        <f>ROUND(R73*T73,0)</f>
        <v>2332</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1.6799999999999999E-4</v>
      </c>
      <c r="I77" s="120">
        <f t="shared" ref="I77:I82" si="14">ROUND(F77*H77,2)</f>
        <v>1253.71</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1.6799999999999999E-4</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6.4300000000000002E-4</v>
      </c>
      <c r="I79" s="120">
        <f t="shared" si="14"/>
        <v>0</v>
      </c>
      <c r="N79" s="860" t="s">
        <v>414</v>
      </c>
      <c r="O79" s="840"/>
      <c r="P79" s="840"/>
      <c r="Q79" s="50"/>
      <c r="R79" s="159">
        <f t="shared" si="15"/>
        <v>0</v>
      </c>
      <c r="S79" s="42" t="s">
        <v>6</v>
      </c>
      <c r="T79" s="157">
        <f>T66</f>
        <v>1.4899999999999999E-4</v>
      </c>
      <c r="U79" s="115">
        <f t="shared" si="16"/>
        <v>0</v>
      </c>
    </row>
    <row r="80" spans="1:21" x14ac:dyDescent="0.25">
      <c r="A80" s="765" t="s">
        <v>415</v>
      </c>
      <c r="B80" s="764"/>
      <c r="C80" s="764"/>
      <c r="D80" s="86"/>
      <c r="E80" s="71" t="s">
        <v>4</v>
      </c>
      <c r="F80" s="544">
        <f>'0664'!F80</f>
        <v>8562788</v>
      </c>
      <c r="G80" s="40" t="s">
        <v>6</v>
      </c>
      <c r="H80" s="155">
        <f>H66</f>
        <v>6.4300000000000002E-4</v>
      </c>
      <c r="I80" s="120">
        <f t="shared" si="14"/>
        <v>5505.87</v>
      </c>
      <c r="N80" s="860" t="s">
        <v>415</v>
      </c>
      <c r="O80" s="840"/>
      <c r="P80" s="840"/>
      <c r="Q80" s="50"/>
      <c r="R80" s="159">
        <f t="shared" si="15"/>
        <v>8562788</v>
      </c>
      <c r="S80" s="42" t="s">
        <v>6</v>
      </c>
      <c r="T80" s="157">
        <f>T66</f>
        <v>1.4899999999999999E-4</v>
      </c>
      <c r="U80" s="115">
        <f t="shared" si="16"/>
        <v>1276</v>
      </c>
    </row>
    <row r="81" spans="1:21" x14ac:dyDescent="0.25">
      <c r="A81" s="765" t="s">
        <v>419</v>
      </c>
      <c r="B81" s="764"/>
      <c r="C81" s="764"/>
      <c r="D81" s="86"/>
      <c r="E81" s="71" t="s">
        <v>4</v>
      </c>
      <c r="F81" s="544">
        <f>'0664'!F81</f>
        <v>168663228</v>
      </c>
      <c r="G81" s="40" t="s">
        <v>6</v>
      </c>
      <c r="H81" s="155">
        <f>H66</f>
        <v>6.4300000000000002E-4</v>
      </c>
      <c r="I81" s="120">
        <f t="shared" si="14"/>
        <v>108450.46</v>
      </c>
      <c r="N81" s="860" t="s">
        <v>419</v>
      </c>
      <c r="O81" s="840"/>
      <c r="P81" s="840"/>
      <c r="Q81" s="50"/>
      <c r="R81" s="159">
        <f t="shared" si="15"/>
        <v>168663228</v>
      </c>
      <c r="S81" s="42" t="s">
        <v>6</v>
      </c>
      <c r="T81" s="157">
        <f>T66</f>
        <v>1.4899999999999999E-4</v>
      </c>
      <c r="U81" s="115">
        <f t="shared" si="16"/>
        <v>25131</v>
      </c>
    </row>
    <row r="82" spans="1:21" x14ac:dyDescent="0.25">
      <c r="A82" s="765" t="s">
        <v>420</v>
      </c>
      <c r="B82" s="764"/>
      <c r="C82" s="764"/>
      <c r="D82" s="86"/>
      <c r="E82" s="71" t="s">
        <v>4</v>
      </c>
      <c r="F82" s="544">
        <f>'0664'!F82</f>
        <v>0</v>
      </c>
      <c r="G82" s="40" t="s">
        <v>6</v>
      </c>
      <c r="H82" s="155">
        <f>H66</f>
        <v>6.4300000000000002E-4</v>
      </c>
      <c r="I82" s="120">
        <f t="shared" si="14"/>
        <v>0</v>
      </c>
      <c r="N82" s="860" t="s">
        <v>420</v>
      </c>
      <c r="O82" s="840"/>
      <c r="P82" s="840"/>
      <c r="Q82" s="50"/>
      <c r="R82" s="156">
        <f t="shared" si="15"/>
        <v>0</v>
      </c>
      <c r="S82" s="42" t="s">
        <v>6</v>
      </c>
      <c r="T82" s="157">
        <f>T66</f>
        <v>1.4899999999999999E-4</v>
      </c>
      <c r="U82" s="115">
        <f t="shared" si="16"/>
        <v>0</v>
      </c>
    </row>
    <row r="83" spans="1:21" x14ac:dyDescent="0.25">
      <c r="A83" s="717" t="s">
        <v>425</v>
      </c>
      <c r="B83" s="443"/>
      <c r="C83" s="443"/>
      <c r="D83" s="443"/>
      <c r="E83" s="683" t="s">
        <v>45</v>
      </c>
      <c r="F83" s="544"/>
      <c r="G83" s="445"/>
      <c r="H83" s="155"/>
      <c r="I83" s="120">
        <v>23073.24</v>
      </c>
      <c r="N83" s="719" t="s">
        <v>425</v>
      </c>
      <c r="O83" s="444"/>
      <c r="P83" s="444"/>
      <c r="Q83" s="50"/>
      <c r="R83" s="159">
        <f t="shared" si="15"/>
        <v>0</v>
      </c>
      <c r="S83" s="446" t="s">
        <v>6</v>
      </c>
      <c r="T83" s="157">
        <f>T66</f>
        <v>1.4899999999999999E-4</v>
      </c>
      <c r="U83" s="115">
        <f>IF($H$116=1,I83,0)</f>
        <v>23073.24</v>
      </c>
    </row>
    <row r="84" spans="1:21" x14ac:dyDescent="0.25">
      <c r="A84" s="765" t="s">
        <v>457</v>
      </c>
      <c r="B84" s="764"/>
      <c r="C84" s="764"/>
      <c r="D84" s="744"/>
      <c r="E84" s="747" t="s">
        <v>3</v>
      </c>
      <c r="F84" s="544">
        <f>'0664'!F84</f>
        <v>21614343</v>
      </c>
      <c r="G84" s="749" t="s">
        <v>6</v>
      </c>
      <c r="H84" s="155">
        <f>H63</f>
        <v>1.6799999999999999E-4</v>
      </c>
      <c r="I84" s="120">
        <f>ROUND(F84*H84,2)</f>
        <v>3631.21</v>
      </c>
      <c r="N84" s="860" t="s">
        <v>457</v>
      </c>
      <c r="O84" s="840"/>
      <c r="P84" s="840"/>
      <c r="Q84" s="50"/>
      <c r="R84" s="156">
        <f>F84</f>
        <v>21614343</v>
      </c>
      <c r="S84" s="751" t="s">
        <v>6</v>
      </c>
      <c r="T84" s="157">
        <f>T68</f>
        <v>1.6799999999999999E-4</v>
      </c>
      <c r="U84" s="115">
        <f>ROUND(R84*T84,0)</f>
        <v>3631</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39.049999999999997</v>
      </c>
      <c r="D89" s="781"/>
      <c r="E89" s="54">
        <f>H8</f>
        <v>1.0424</v>
      </c>
      <c r="F89" s="545">
        <f>'0664'!F89</f>
        <v>966.9</v>
      </c>
      <c r="G89" s="186" t="s">
        <v>13</v>
      </c>
      <c r="H89" s="120">
        <f>ROUND(C89*E89*F89,2)</f>
        <v>39358.36</v>
      </c>
      <c r="I89" s="124"/>
      <c r="N89" s="56" t="s">
        <v>22</v>
      </c>
      <c r="O89" s="57">
        <f>T13+T14+T19+T22+T25</f>
        <v>10</v>
      </c>
      <c r="P89" s="875">
        <f>T8</f>
        <v>1.0424</v>
      </c>
      <c r="Q89" s="875"/>
      <c r="R89" s="58">
        <f>F89</f>
        <v>966.9</v>
      </c>
      <c r="S89" s="59" t="s">
        <v>13</v>
      </c>
      <c r="T89" s="159">
        <f>ROUND(O89*P89*R89,0)</f>
        <v>10079</v>
      </c>
      <c r="U89" s="121"/>
    </row>
    <row r="90" spans="1:21" x14ac:dyDescent="0.25">
      <c r="A90" s="60"/>
      <c r="B90" s="60" t="s">
        <v>149</v>
      </c>
      <c r="C90" s="781">
        <f>H15+H16+H20+H23+H26</f>
        <v>98.867999999999995</v>
      </c>
      <c r="D90" s="781"/>
      <c r="E90" s="54">
        <f>H8</f>
        <v>1.0424</v>
      </c>
      <c r="F90" s="545">
        <f>'0664'!F90</f>
        <v>923.19</v>
      </c>
      <c r="G90" s="186" t="s">
        <v>13</v>
      </c>
      <c r="H90" s="120">
        <f>ROUND(C90*E90*F90,2)</f>
        <v>95143.96</v>
      </c>
      <c r="I90" s="61"/>
      <c r="N90" s="62" t="s">
        <v>14</v>
      </c>
      <c r="O90" s="57">
        <f>T15+T16+T20+T23+T26</f>
        <v>22</v>
      </c>
      <c r="P90" s="875">
        <f>T8</f>
        <v>1.0424</v>
      </c>
      <c r="Q90" s="875"/>
      <c r="R90" s="58">
        <f>F90</f>
        <v>923.19</v>
      </c>
      <c r="S90" s="59" t="s">
        <v>13</v>
      </c>
      <c r="T90" s="159">
        <f>ROUND(O90*P90*R90,0)</f>
        <v>21171</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137.91800000000001</v>
      </c>
      <c r="D92" s="782"/>
      <c r="E92" s="168"/>
      <c r="F92" s="168"/>
      <c r="G92" s="168"/>
      <c r="H92" s="169" t="s">
        <v>145</v>
      </c>
      <c r="I92" s="120">
        <f>IF(A1=75,0,H91+H90+H89)</f>
        <v>134502.32</v>
      </c>
      <c r="N92" s="70" t="s">
        <v>122</v>
      </c>
      <c r="O92" s="69">
        <f>SUM(O89:O91)</f>
        <v>32</v>
      </c>
      <c r="P92" s="876" t="s">
        <v>18</v>
      </c>
      <c r="Q92" s="877"/>
      <c r="R92" s="877"/>
      <c r="S92" s="877"/>
      <c r="T92" s="877"/>
      <c r="U92" s="115">
        <f>IF(N1=75,0,T91+T90+T89)</f>
        <v>31250</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18</v>
      </c>
      <c r="D98" s="192">
        <v>0</v>
      </c>
      <c r="E98" s="147">
        <f>(C98+D98)/2</f>
        <v>9</v>
      </c>
      <c r="F98" s="173" t="s">
        <v>39</v>
      </c>
      <c r="G98" s="546">
        <f>'0664'!G98</f>
        <v>486</v>
      </c>
      <c r="I98" s="120">
        <f>ROUND(G98*E98,2)</f>
        <v>4374</v>
      </c>
      <c r="N98" s="873" t="s">
        <v>66</v>
      </c>
      <c r="O98" s="873"/>
      <c r="P98" s="874">
        <f>IF(H116=1,E98,0)</f>
        <v>9</v>
      </c>
      <c r="Q98" s="874"/>
      <c r="R98" s="874"/>
      <c r="S98" s="102" t="s">
        <v>39</v>
      </c>
      <c r="T98" s="72">
        <f>G98</f>
        <v>486</v>
      </c>
      <c r="U98" s="115">
        <f>ROUND(T98*P98,0)</f>
        <v>4374</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242294.24</v>
      </c>
    </row>
    <row r="114" spans="1:21" ht="16.5" thickTop="1" x14ac:dyDescent="0.25">
      <c r="A114" s="767" t="s">
        <v>8</v>
      </c>
      <c r="B114" s="767"/>
      <c r="C114" s="767"/>
      <c r="D114" s="767"/>
      <c r="E114" s="767"/>
      <c r="F114" s="767"/>
      <c r="G114" s="767"/>
      <c r="H114" s="767"/>
      <c r="I114" s="120">
        <f>SUM(I112,I111,I109,I99,I98,I92,I84,I82,I81,I83,I80,I79,I78,I77,I75,I74,I73,I72,I71,I70,I68,I59,I45)</f>
        <v>931274.95000000007</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f>IF(E29=0,"",IF((E14+E16+SUM(E18:E24))/E29&gt;0.75,1,""))</f>
        <v>1</v>
      </c>
      <c r="I116" s="147">
        <f>U113</f>
        <v>242294.24</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242294.24</v>
      </c>
      <c r="I118" s="113">
        <f>ROUND(IF(E29=0,0,IF(E29&gt;250,-(((250/E29)*H118)*IF(G118="H",0.02,0.05)),IF(G118="H",-0.02*H118,-0.05*H118))),2)</f>
        <v>-12114.71</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919160.24000000011</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-919294.17</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-133.92999999993481</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-133.93</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0</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89" t="str">
        <f>'0664'!A135</f>
        <v>(a) Additional FTE includes FTE earned through Advanced Placement, International Baccalaureate, Advanced International Certificate of Education, Industry Certified Career</v>
      </c>
      <c r="B135" s="690"/>
      <c r="C135" s="690"/>
      <c r="D135" s="690"/>
      <c r="E135" s="690"/>
      <c r="F135" s="690"/>
      <c r="G135" s="690"/>
      <c r="H135" s="690"/>
      <c r="I135" s="690"/>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90"/>
      <c r="C136" s="690"/>
      <c r="D136" s="690"/>
      <c r="E136" s="690"/>
      <c r="F136" s="690"/>
      <c r="G136" s="690"/>
      <c r="H136" s="690"/>
      <c r="I136" s="690"/>
      <c r="J136" s="96"/>
      <c r="K136" s="95"/>
      <c r="L136" s="95"/>
      <c r="M136" s="95"/>
      <c r="N136" s="479"/>
      <c r="O136" s="479"/>
      <c r="P136" s="479"/>
      <c r="Q136" s="479"/>
      <c r="R136" s="479"/>
      <c r="S136" s="479"/>
      <c r="T136" s="479"/>
      <c r="U136" s="479"/>
    </row>
    <row r="137" spans="1:21" x14ac:dyDescent="0.25">
      <c r="A137" s="689" t="str">
        <f>'0664'!A137</f>
        <v>(b) District allocations multiplied by percentage from item 3A.</v>
      </c>
      <c r="B137" s="691"/>
      <c r="C137" s="691"/>
      <c r="D137" s="691"/>
      <c r="E137" s="691"/>
      <c r="F137" s="691"/>
      <c r="G137" s="691"/>
      <c r="H137" s="691"/>
      <c r="I137" s="691"/>
      <c r="J137" s="95"/>
      <c r="K137" s="95"/>
      <c r="L137" s="95"/>
      <c r="M137" s="95"/>
      <c r="N137" s="97"/>
      <c r="O137" s="98"/>
      <c r="P137" s="98"/>
      <c r="Q137" s="98"/>
      <c r="R137" s="98"/>
      <c r="S137" s="98"/>
      <c r="T137" s="98"/>
      <c r="U137" s="98"/>
    </row>
    <row r="138" spans="1:21" s="95" customFormat="1" x14ac:dyDescent="0.2">
      <c r="A138" s="689" t="str">
        <f>'0664'!A138</f>
        <v>(c) District allocations multiplied by percentage from item 3B.</v>
      </c>
      <c r="B138" s="691"/>
      <c r="C138" s="691"/>
      <c r="D138" s="691"/>
      <c r="E138" s="691"/>
      <c r="F138" s="691"/>
      <c r="G138" s="691"/>
      <c r="H138" s="691"/>
      <c r="I138" s="691"/>
      <c r="N138" s="97"/>
    </row>
    <row r="139" spans="1:21" s="95" customFormat="1" ht="15.75" customHeight="1" x14ac:dyDescent="0.2">
      <c r="A139" s="689" t="str">
        <f>'0664'!A139</f>
        <v>(d) The Digital Classroom Allocation is provided pursuant to s. 1011.62(12), F.S.</v>
      </c>
      <c r="B139" s="691"/>
      <c r="C139" s="691"/>
      <c r="D139" s="691"/>
      <c r="E139" s="691"/>
      <c r="F139" s="691"/>
      <c r="G139" s="691"/>
      <c r="H139" s="691"/>
      <c r="I139" s="691"/>
      <c r="N139" s="97"/>
    </row>
    <row r="140" spans="1:21" s="95" customFormat="1" ht="15.75" customHeight="1" x14ac:dyDescent="0.2">
      <c r="A140" s="689" t="str">
        <f>'0664'!A140</f>
        <v>(e) School districts are required to pay for instructional materials used for the instruction of public high school students who are earning credit toward high school</v>
      </c>
      <c r="B140" s="691"/>
      <c r="C140" s="691"/>
      <c r="D140" s="691"/>
      <c r="E140" s="691"/>
      <c r="F140" s="691"/>
      <c r="G140" s="691"/>
      <c r="H140" s="691"/>
      <c r="I140" s="691"/>
      <c r="N140" s="97"/>
    </row>
    <row r="141" spans="1:21" s="95" customFormat="1" ht="15.75" customHeight="1" x14ac:dyDescent="0.2">
      <c r="A141" s="697" t="str">
        <f>'0664'!A141</f>
        <v xml:space="preserve">graduation under the dual enrollment program as provided in s. 1011.62(l)(i), F.S.  </v>
      </c>
      <c r="B141" s="691"/>
      <c r="C141" s="691"/>
      <c r="D141" s="691"/>
      <c r="E141" s="691"/>
      <c r="F141" s="691"/>
      <c r="G141" s="691"/>
      <c r="H141" s="691"/>
      <c r="I141" s="691"/>
      <c r="N141" s="97"/>
    </row>
    <row r="142" spans="1:21" s="95" customFormat="1" x14ac:dyDescent="0.2">
      <c r="A142" s="689" t="str">
        <f>'0664'!A142</f>
        <v>(f) This allocation will be frozen as of the 2021-22 FEFP Second Calculation and will not be recalculated throughout the year. Charter school allocations should be</v>
      </c>
      <c r="B142" s="691"/>
      <c r="C142" s="691"/>
      <c r="D142" s="691"/>
      <c r="E142" s="691"/>
      <c r="F142" s="691"/>
      <c r="G142" s="691"/>
      <c r="H142" s="691"/>
      <c r="I142" s="691"/>
      <c r="N142" s="97"/>
    </row>
    <row r="143" spans="1:21" s="95" customFormat="1" x14ac:dyDescent="0.2">
      <c r="A143" s="697" t="str">
        <f>'0664'!A143</f>
        <v xml:space="preserve">distributed on weighted FTE (or base funding as is done in the FEFP) and should not be recalculated with fluctuations in student enrollment later in the year. </v>
      </c>
      <c r="B143" s="691"/>
      <c r="C143" s="691"/>
      <c r="D143" s="691"/>
      <c r="E143" s="691"/>
      <c r="F143" s="691"/>
      <c r="G143" s="691"/>
      <c r="H143" s="691"/>
      <c r="I143" s="691"/>
      <c r="N143" s="97"/>
    </row>
    <row r="144" spans="1:21" s="95" customFormat="1" x14ac:dyDescent="0.2">
      <c r="A144" s="689" t="str">
        <f>'0664'!A144</f>
        <v>(g) Numbers entered here will be multiplied by the district level transportation funding per rider. "All Adjusted Fundable Riders" should include both basic and ESE Riders.</v>
      </c>
      <c r="B144" s="691"/>
      <c r="C144" s="691"/>
      <c r="D144" s="691"/>
      <c r="E144" s="691"/>
      <c r="F144" s="691"/>
      <c r="G144" s="691"/>
      <c r="H144" s="691"/>
      <c r="I144" s="691"/>
      <c r="N144" s="97"/>
    </row>
    <row r="145" spans="1:21" s="95" customFormat="1" x14ac:dyDescent="0.2">
      <c r="A145" s="697" t="str">
        <f>'0664'!A145</f>
        <v>"All Adjusted ESE Riders" should include only ESE Riders.</v>
      </c>
      <c r="B145" s="691"/>
      <c r="C145" s="691"/>
      <c r="D145" s="691"/>
      <c r="E145" s="691"/>
      <c r="F145" s="691"/>
      <c r="G145" s="691"/>
      <c r="H145" s="691"/>
      <c r="I145" s="691"/>
      <c r="N145" s="97"/>
    </row>
    <row r="146" spans="1:21" s="95" customFormat="1" x14ac:dyDescent="0.2">
      <c r="A146" s="689" t="str">
        <f>'0664'!A146</f>
        <v xml:space="preserve">(h) The Federally Connected Student Supplement provides additional funding for students on federal lands that receive Section 8003 impact aide pursuant to s. 1011.62(13), F.S. </v>
      </c>
      <c r="B146" s="691"/>
      <c r="C146" s="691"/>
      <c r="D146" s="691"/>
      <c r="E146" s="691"/>
      <c r="F146" s="691"/>
      <c r="G146" s="691"/>
      <c r="H146" s="691"/>
      <c r="I146" s="691"/>
      <c r="N146" s="97"/>
    </row>
    <row r="147" spans="1:21" s="95" customFormat="1" x14ac:dyDescent="0.2">
      <c r="A147" s="689" t="str">
        <f>'0664'!A147</f>
        <v>(i) Teacher Classroom Supply Assistance Program allocation pursuant to s. 1012.71, F.S., for certified teachers employed by a public school district or public charter school</v>
      </c>
      <c r="B147" s="691"/>
      <c r="C147" s="691"/>
      <c r="D147" s="691"/>
      <c r="E147" s="691"/>
      <c r="F147" s="691"/>
      <c r="G147" s="691"/>
      <c r="H147" s="691"/>
      <c r="I147" s="691"/>
      <c r="N147" s="97"/>
    </row>
    <row r="148" spans="1:21" s="95" customFormat="1" x14ac:dyDescent="0.2">
      <c r="A148" s="697" t="str">
        <f>'0664'!A148</f>
        <v xml:space="preserve">before September 1 of each year whose full-time or job-share responsibility is the classroom instruction of students in prekindergarten through grade 12, including </v>
      </c>
      <c r="B148" s="691"/>
      <c r="C148" s="691"/>
      <c r="D148" s="691"/>
      <c r="E148" s="691"/>
      <c r="F148" s="691"/>
      <c r="G148" s="691"/>
      <c r="H148" s="691"/>
      <c r="I148" s="691"/>
      <c r="N148" s="97"/>
    </row>
    <row r="149" spans="1:21" s="95" customFormat="1" ht="15.75" customHeight="1" x14ac:dyDescent="0.2">
      <c r="A149" s="697" t="str">
        <f>'0664'!A149</f>
        <v>full-time media specialists and certified school counselors serving students in prekindergarten through grade 12, who are funded through the FEFP.</v>
      </c>
      <c r="B149" s="691"/>
      <c r="C149" s="691"/>
      <c r="D149" s="691"/>
      <c r="E149" s="691"/>
      <c r="F149" s="691"/>
      <c r="G149" s="691"/>
      <c r="H149" s="691"/>
      <c r="I149" s="691"/>
      <c r="N149" s="97"/>
    </row>
    <row r="150" spans="1:21" s="95" customFormat="1" ht="15.75" customHeight="1" x14ac:dyDescent="0.2">
      <c r="A150" s="689" t="str">
        <f>'0664'!A150</f>
        <v xml:space="preserve">(j) Funding based on student eligibility and meals provided, if participating in the National School Lunch Program. </v>
      </c>
      <c r="B150" s="691"/>
      <c r="C150" s="691"/>
      <c r="D150" s="691"/>
      <c r="E150" s="691"/>
      <c r="F150" s="691"/>
      <c r="G150" s="691"/>
      <c r="H150" s="691"/>
      <c r="I150" s="691"/>
      <c r="N150" s="97"/>
    </row>
    <row r="151" spans="1:21" s="95" customFormat="1" ht="15.75" customHeight="1" x14ac:dyDescent="0.2">
      <c r="A151" s="689" t="str">
        <f>'0664'!A151</f>
        <v>(k) Consistent with s. 1002.33(20)(a), F.S., for charter schools with a population of 75% or more ESE students, the administrative fee shall be calculated based on</v>
      </c>
      <c r="B151" s="691"/>
      <c r="C151" s="691"/>
      <c r="D151" s="691"/>
      <c r="E151" s="691"/>
      <c r="F151" s="691"/>
      <c r="G151" s="691"/>
      <c r="H151" s="691"/>
      <c r="I151" s="691"/>
      <c r="N151" s="97"/>
    </row>
    <row r="152" spans="1:21" s="95" customFormat="1" ht="15.75" customHeight="1" x14ac:dyDescent="0.2">
      <c r="A152" s="697" t="str">
        <f>'0664'!A152</f>
        <v xml:space="preserve">unweighted full-time equivalent students. </v>
      </c>
      <c r="B152" s="691"/>
      <c r="C152" s="691"/>
      <c r="D152" s="691"/>
      <c r="E152" s="691"/>
      <c r="F152" s="691"/>
      <c r="G152" s="691"/>
      <c r="H152" s="691"/>
      <c r="I152" s="691"/>
      <c r="N152" s="97"/>
    </row>
    <row r="153" spans="1:21" s="95" customFormat="1" ht="15.75" customHeight="1" x14ac:dyDescent="0.2">
      <c r="A153" s="689"/>
      <c r="B153" s="691"/>
      <c r="C153" s="691"/>
      <c r="D153" s="691"/>
      <c r="E153" s="691"/>
      <c r="F153" s="691"/>
      <c r="G153" s="691"/>
      <c r="H153" s="691"/>
      <c r="I153" s="691"/>
      <c r="N153" s="97"/>
    </row>
    <row r="154" spans="1:21" s="95" customFormat="1" ht="15.75" customHeight="1" x14ac:dyDescent="0.25">
      <c r="A154" s="708" t="str">
        <f>'0664'!A154</f>
        <v>Administrative fees:</v>
      </c>
      <c r="B154" s="691"/>
      <c r="C154" s="691"/>
      <c r="D154" s="691"/>
      <c r="E154" s="691"/>
      <c r="F154" s="691"/>
      <c r="G154" s="691"/>
      <c r="H154" s="691"/>
      <c r="I154" s="691"/>
      <c r="J154" s="3"/>
      <c r="K154" s="3"/>
      <c r="L154" s="3"/>
      <c r="M154" s="3"/>
      <c r="N154" s="97"/>
    </row>
    <row r="155" spans="1:21" s="95" customFormat="1" ht="15.75" customHeight="1" x14ac:dyDescent="0.25">
      <c r="A155" s="712" t="str">
        <f>'0664'!A155</f>
        <v xml:space="preserve">Administrative fees charged by the school district pursuant to s. 1002.33(20)(a), F.S., shall be calculated based upon 5% of available funds from the FEFP and categorical </v>
      </c>
      <c r="B155" s="694"/>
      <c r="C155" s="694"/>
      <c r="D155" s="694"/>
      <c r="E155" s="694"/>
      <c r="F155" s="694"/>
      <c r="G155" s="694"/>
      <c r="H155" s="694"/>
      <c r="I155" s="694"/>
      <c r="J155" s="3"/>
      <c r="K155" s="3"/>
      <c r="L155" s="3"/>
      <c r="M155" s="3"/>
      <c r="N155" s="97"/>
    </row>
    <row r="156" spans="1:21" s="95" customFormat="1" ht="15.75" customHeight="1" x14ac:dyDescent="0.25">
      <c r="A156" s="713" t="str">
        <f>'0664'!A156</f>
        <v>funding for which charter students may be eligible.  To calculate the administrative fee to be withheld for schools with more than 250 students, divide the school</v>
      </c>
      <c r="B156" s="705"/>
      <c r="C156" s="705"/>
      <c r="D156" s="705"/>
      <c r="E156" s="705"/>
      <c r="F156" s="705"/>
      <c r="G156" s="705"/>
      <c r="H156" s="705"/>
      <c r="I156" s="705"/>
      <c r="J156" s="3"/>
      <c r="K156" s="3"/>
      <c r="L156" s="3"/>
      <c r="M156" s="3"/>
      <c r="N156" s="97"/>
    </row>
    <row r="157" spans="1:21" s="95" customFormat="1" ht="15.75" customHeight="1" x14ac:dyDescent="0.25">
      <c r="A157" s="713" t="str">
        <f>'0664'!A157</f>
        <v xml:space="preserve">population into 250. Multiply that fraction times the funds available, then times 5%.  </v>
      </c>
      <c r="B157" s="705"/>
      <c r="C157" s="705"/>
      <c r="D157" s="705"/>
      <c r="E157" s="705"/>
      <c r="F157" s="705"/>
      <c r="G157" s="705"/>
      <c r="H157" s="705"/>
      <c r="I157" s="705"/>
      <c r="J157" s="3"/>
      <c r="K157" s="3"/>
      <c r="L157" s="3"/>
      <c r="M157" s="3"/>
      <c r="N157" s="97"/>
    </row>
    <row r="158" spans="1:21" s="95" customFormat="1" ht="15.75" customHeight="1" x14ac:dyDescent="0.25">
      <c r="A158" s="712"/>
      <c r="B158" s="705"/>
      <c r="C158" s="705"/>
      <c r="D158" s="705"/>
      <c r="E158" s="705"/>
      <c r="F158" s="705"/>
      <c r="G158" s="705"/>
      <c r="H158" s="705"/>
      <c r="I158" s="705"/>
      <c r="N158" s="93"/>
      <c r="O158" s="3"/>
      <c r="P158" s="3"/>
      <c r="Q158" s="3"/>
      <c r="R158" s="3"/>
      <c r="S158" s="3"/>
      <c r="T158" s="3"/>
      <c r="U158" s="3"/>
    </row>
    <row r="159" spans="1:21" ht="15.75" customHeight="1" x14ac:dyDescent="0.25">
      <c r="A159" s="712" t="str">
        <f>'0664'!A159</f>
        <v xml:space="preserve">For high performing charter schools, administrative fees charged by the school district shall be calculated based upon 2% of available funds from the FEFP and categorical </v>
      </c>
      <c r="B159" s="694"/>
      <c r="C159" s="694"/>
      <c r="D159" s="694"/>
      <c r="E159" s="694"/>
      <c r="F159" s="694"/>
      <c r="G159" s="694"/>
      <c r="H159" s="694"/>
      <c r="I159" s="694"/>
      <c r="J159" s="95"/>
      <c r="K159" s="95"/>
      <c r="L159" s="95"/>
      <c r="M159" s="95"/>
      <c r="N159" s="97"/>
      <c r="O159" s="95"/>
      <c r="P159" s="95"/>
      <c r="Q159" s="95"/>
      <c r="R159" s="95"/>
      <c r="S159" s="95"/>
      <c r="T159" s="95"/>
      <c r="U159" s="95"/>
    </row>
    <row r="160" spans="1:21" ht="15.75" customHeight="1" x14ac:dyDescent="0.25">
      <c r="A160" s="713" t="str">
        <f>'0664'!A160</f>
        <v>funding for which charter students may be eligible.  To calculate the administrative fee to be withheld for schools with more than 250 students, divide the school</v>
      </c>
      <c r="B160" s="694"/>
      <c r="C160" s="694"/>
      <c r="D160" s="694"/>
      <c r="E160" s="694"/>
      <c r="F160" s="694"/>
      <c r="G160" s="694"/>
      <c r="H160" s="694"/>
      <c r="I160" s="694"/>
      <c r="J160" s="95"/>
      <c r="K160" s="95"/>
      <c r="L160" s="95"/>
      <c r="M160" s="95"/>
      <c r="N160" s="97"/>
      <c r="O160" s="95"/>
      <c r="P160" s="95"/>
      <c r="Q160" s="95"/>
      <c r="R160" s="95"/>
      <c r="S160" s="95"/>
      <c r="T160" s="95"/>
      <c r="U160" s="95"/>
    </row>
    <row r="161" spans="1:14" s="95" customFormat="1" ht="15.75" customHeight="1" x14ac:dyDescent="0.2">
      <c r="A161" s="713" t="str">
        <f>'0664'!A161</f>
        <v xml:space="preserve">population into 250. Multiply that fraction times the funds available, then times 2%.  </v>
      </c>
      <c r="B161" s="694"/>
      <c r="C161" s="694"/>
      <c r="D161" s="694"/>
      <c r="E161" s="694"/>
      <c r="F161" s="694"/>
      <c r="G161" s="694"/>
      <c r="H161" s="694"/>
      <c r="I161" s="694"/>
      <c r="N161" s="97"/>
    </row>
    <row r="162" spans="1:14" x14ac:dyDescent="0.25">
      <c r="A162" s="689"/>
      <c r="B162" s="695"/>
      <c r="C162" s="695"/>
      <c r="D162" s="695"/>
      <c r="E162" s="695"/>
      <c r="F162" s="695"/>
      <c r="G162" s="695"/>
      <c r="H162" s="695"/>
      <c r="I162" s="695"/>
      <c r="N162" s="93"/>
    </row>
    <row r="163" spans="1:14" x14ac:dyDescent="0.25">
      <c r="A163" s="708" t="str">
        <f>'0664'!A163</f>
        <v>Other:</v>
      </c>
      <c r="B163" s="706"/>
      <c r="C163" s="706"/>
      <c r="D163" s="706"/>
      <c r="E163" s="706"/>
      <c r="F163" s="706"/>
      <c r="G163" s="706"/>
      <c r="H163" s="706"/>
      <c r="I163" s="706"/>
      <c r="N163" s="93"/>
    </row>
    <row r="164" spans="1:14" x14ac:dyDescent="0.25">
      <c r="A164" s="712" t="str">
        <f>'0664'!A164</f>
        <v>FEFP and categorical funding are recalculated during the year to reflect the revised number of full-time equivalent students reported during the survey periods designated</v>
      </c>
      <c r="B164" s="695"/>
      <c r="C164" s="695"/>
      <c r="D164" s="695"/>
      <c r="E164" s="695"/>
      <c r="F164" s="695"/>
      <c r="G164" s="695"/>
      <c r="H164" s="695"/>
      <c r="I164" s="695"/>
      <c r="N164" s="93"/>
    </row>
    <row r="165" spans="1:14" x14ac:dyDescent="0.25">
      <c r="A165" s="713" t="str">
        <f>'0664'!A165</f>
        <v>by the Commissioner of Education.</v>
      </c>
      <c r="B165" s="707"/>
      <c r="C165" s="707"/>
      <c r="D165" s="707"/>
      <c r="E165" s="707"/>
      <c r="F165" s="707"/>
      <c r="G165" s="707"/>
      <c r="H165" s="707"/>
      <c r="I165" s="707"/>
      <c r="N165" s="93"/>
    </row>
    <row r="166" spans="1:14" x14ac:dyDescent="0.25">
      <c r="A166" s="712" t="str">
        <f>'0664'!A166</f>
        <v>Revenues flow to districts from state sources and from county tax collectors on various distribution schedules.</v>
      </c>
      <c r="B166" s="695"/>
      <c r="C166" s="695"/>
      <c r="D166" s="695"/>
      <c r="E166" s="695"/>
      <c r="F166" s="695"/>
      <c r="G166" s="695"/>
      <c r="H166" s="695"/>
      <c r="I166" s="695"/>
      <c r="N166" s="93"/>
    </row>
    <row r="167" spans="1:14" x14ac:dyDescent="0.25">
      <c r="A167" s="494"/>
      <c r="B167" s="494"/>
      <c r="C167" s="494"/>
      <c r="D167" s="494"/>
      <c r="E167" s="494"/>
      <c r="F167" s="494"/>
      <c r="G167" s="494"/>
      <c r="H167" s="494"/>
      <c r="I167" s="494"/>
      <c r="N167" s="93"/>
    </row>
    <row r="168" spans="1:14" x14ac:dyDescent="0.25">
      <c r="A168" s="93"/>
      <c r="N168" s="93"/>
    </row>
    <row r="169" spans="1:14" x14ac:dyDescent="0.25">
      <c r="A169" s="93"/>
      <c r="N169" s="93"/>
    </row>
    <row r="170" spans="1:14" x14ac:dyDescent="0.25">
      <c r="A170" s="93"/>
      <c r="N170" s="93"/>
    </row>
    <row r="171" spans="1:14" x14ac:dyDescent="0.25">
      <c r="A171" s="93"/>
      <c r="B171" s="183"/>
      <c r="C171" s="183"/>
      <c r="D171" s="183"/>
      <c r="E171" s="183"/>
      <c r="F171" s="183"/>
      <c r="G171" s="183"/>
      <c r="H171" s="183"/>
      <c r="I171" s="18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80:P80"/>
    <mergeCell ref="A77:C77"/>
    <mergeCell ref="N77:P77"/>
    <mergeCell ref="A78:C78"/>
    <mergeCell ref="A86:I86"/>
    <mergeCell ref="N86:U86"/>
    <mergeCell ref="C87:D87"/>
    <mergeCell ref="C88:D88"/>
    <mergeCell ref="N88:O88"/>
    <mergeCell ref="P88:Q88"/>
    <mergeCell ref="R88:U88"/>
    <mergeCell ref="C89:D89"/>
    <mergeCell ref="P89:Q89"/>
    <mergeCell ref="A98:B98"/>
    <mergeCell ref="N98:O98"/>
    <mergeCell ref="P98:R98"/>
    <mergeCell ref="A99:B99"/>
    <mergeCell ref="N99:O99"/>
    <mergeCell ref="P99:R99"/>
    <mergeCell ref="C90:D90"/>
    <mergeCell ref="P90:Q90"/>
    <mergeCell ref="C91:D91"/>
    <mergeCell ref="P91:Q91"/>
    <mergeCell ref="C92:D92"/>
    <mergeCell ref="P92:T92"/>
    <mergeCell ref="A93:I93"/>
    <mergeCell ref="N93:U93"/>
    <mergeCell ref="F95:I95"/>
    <mergeCell ref="N95:P95"/>
    <mergeCell ref="Q95:T95"/>
    <mergeCell ref="P106:Q106"/>
    <mergeCell ref="R106:S106"/>
    <mergeCell ref="A107:B107"/>
    <mergeCell ref="F107:G107"/>
    <mergeCell ref="N107:O107"/>
    <mergeCell ref="P107:Q107"/>
    <mergeCell ref="R107:S107"/>
    <mergeCell ref="A102:C102"/>
    <mergeCell ref="F102:I102"/>
    <mergeCell ref="N102:U102"/>
    <mergeCell ref="C103:E103"/>
    <mergeCell ref="F104:G104"/>
    <mergeCell ref="A105:B105"/>
    <mergeCell ref="F105:G105"/>
    <mergeCell ref="N105:O105"/>
    <mergeCell ref="P105:Q105"/>
    <mergeCell ref="R105:S105"/>
    <mergeCell ref="N135:U135"/>
    <mergeCell ref="N115:U115"/>
    <mergeCell ref="N112:P112"/>
    <mergeCell ref="A112:C112"/>
    <mergeCell ref="F112:H112"/>
    <mergeCell ref="N113:T113"/>
    <mergeCell ref="A114:H114"/>
    <mergeCell ref="N78:P78"/>
    <mergeCell ref="A115:G115"/>
    <mergeCell ref="N116:U116"/>
    <mergeCell ref="A116:G116"/>
    <mergeCell ref="A111:C111"/>
    <mergeCell ref="F111:H111"/>
    <mergeCell ref="N111:P111"/>
    <mergeCell ref="A108:B108"/>
    <mergeCell ref="F108:G108"/>
    <mergeCell ref="N108:O108"/>
    <mergeCell ref="P108:Q108"/>
    <mergeCell ref="R108:S108"/>
    <mergeCell ref="A109:B109"/>
    <mergeCell ref="N109:O109"/>
    <mergeCell ref="A106:B106"/>
    <mergeCell ref="F106:G106"/>
    <mergeCell ref="N106:O106"/>
  </mergeCells>
  <pageMargins left="0.5" right="0.1" top="0.5" bottom="0.5" header="0" footer="0.1"/>
  <pageSetup scale="76"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U202"/>
  <sheetViews>
    <sheetView showGridLines="0" zoomScale="90" zoomScaleNormal="90" workbookViewId="0">
      <pane ySplit="1" topLeftCell="A101" activePane="bottomLeft" state="frozen"/>
      <selection activeCell="A46" sqref="A46:IV46"/>
      <selection pane="bottomLeft" activeCell="I122" sqref="I122"/>
    </sheetView>
  </sheetViews>
  <sheetFormatPr defaultRowHeight="15.75" x14ac:dyDescent="0.25"/>
  <cols>
    <col min="1" max="1" width="10.28515625" style="86"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86"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101">
        <v>50</v>
      </c>
      <c r="B1" s="800" t="s">
        <v>17</v>
      </c>
      <c r="C1" s="801"/>
      <c r="D1" s="801"/>
      <c r="E1" s="802"/>
      <c r="F1" s="802"/>
      <c r="G1" s="802"/>
      <c r="H1" s="802"/>
      <c r="I1" s="802"/>
      <c r="J1" s="288"/>
      <c r="K1" s="288"/>
      <c r="L1" s="288"/>
      <c r="N1" s="101">
        <f>A1</f>
        <v>50</v>
      </c>
      <c r="O1" s="821" t="s">
        <v>17</v>
      </c>
      <c r="P1" s="822"/>
      <c r="Q1" s="823"/>
      <c r="R1" s="823"/>
      <c r="S1" s="823"/>
      <c r="T1" s="823"/>
      <c r="U1" s="823"/>
    </row>
    <row r="2" spans="1:21" ht="21" x14ac:dyDescent="0.35">
      <c r="A2" s="1" t="s">
        <v>322</v>
      </c>
      <c r="B2" s="2"/>
      <c r="C2" s="2"/>
      <c r="D2" s="2"/>
      <c r="E2" s="2"/>
      <c r="F2" s="2"/>
      <c r="G2" s="2"/>
      <c r="H2" s="2"/>
      <c r="I2" s="2"/>
      <c r="N2" s="824" t="s">
        <v>23</v>
      </c>
      <c r="O2" s="824"/>
      <c r="P2" s="824"/>
      <c r="Q2" s="824"/>
      <c r="R2" s="824"/>
      <c r="S2" s="824"/>
      <c r="T2" s="824"/>
      <c r="U2" s="824"/>
    </row>
    <row r="3" spans="1:21" x14ac:dyDescent="0.25">
      <c r="A3" s="100" t="str">
        <f>'0664'!A3</f>
        <v>Based on the FLDOE 2021-22 FEFP Final Calculation</v>
      </c>
      <c r="N3" s="825" t="str">
        <f>A3</f>
        <v>Based on the FLDOE 2021-22 FEFP Final Calculation</v>
      </c>
      <c r="O3" s="825"/>
      <c r="P3" s="825"/>
      <c r="Q3" s="825"/>
      <c r="R3" s="825"/>
      <c r="S3" s="825"/>
      <c r="T3" s="825"/>
      <c r="U3" s="825"/>
    </row>
    <row r="4" spans="1:21" x14ac:dyDescent="0.25">
      <c r="A4" s="803" t="s">
        <v>0</v>
      </c>
      <c r="B4" s="803"/>
      <c r="C4" s="804" t="s">
        <v>9</v>
      </c>
      <c r="D4" s="804"/>
      <c r="E4" s="804"/>
      <c r="F4" s="4" t="str">
        <f>'0664'!F4</f>
        <v>FY 2021-2022 Final Payment</v>
      </c>
      <c r="G4" s="4"/>
      <c r="H4" s="4"/>
      <c r="I4" s="4"/>
      <c r="N4" s="826" t="s">
        <v>0</v>
      </c>
      <c r="O4" s="826"/>
      <c r="P4" s="827" t="str">
        <f>C4</f>
        <v>Palm Beach</v>
      </c>
      <c r="Q4" s="827"/>
      <c r="R4" s="5"/>
      <c r="S4" s="5"/>
      <c r="T4" s="5"/>
      <c r="U4" s="5"/>
    </row>
    <row r="5" spans="1:21" ht="12" customHeight="1" thickBot="1" x14ac:dyDescent="0.3">
      <c r="A5" s="333"/>
      <c r="B5" s="333"/>
      <c r="C5" s="316"/>
      <c r="D5" s="316"/>
      <c r="E5" s="316"/>
      <c r="F5" s="317"/>
      <c r="G5" s="317"/>
      <c r="H5" s="317"/>
      <c r="I5" s="317"/>
      <c r="N5" s="102"/>
      <c r="O5" s="102"/>
      <c r="P5" s="6"/>
      <c r="Q5" s="6"/>
      <c r="R5" s="5"/>
      <c r="S5" s="5"/>
      <c r="T5" s="5"/>
      <c r="U5" s="5"/>
    </row>
    <row r="6" spans="1:21" ht="12" customHeight="1" x14ac:dyDescent="0.25">
      <c r="A6" s="330"/>
      <c r="B6" s="330"/>
      <c r="C6" s="327"/>
      <c r="D6" s="327"/>
      <c r="E6" s="327"/>
      <c r="F6" s="4"/>
      <c r="G6" s="4"/>
      <c r="H6" s="4"/>
      <c r="I6" s="4"/>
      <c r="N6" s="328"/>
      <c r="O6" s="328"/>
      <c r="P6" s="329"/>
      <c r="Q6" s="329"/>
      <c r="R6" s="5"/>
      <c r="S6" s="5"/>
      <c r="T6" s="5"/>
      <c r="U6" s="5"/>
    </row>
    <row r="7" spans="1:21" x14ac:dyDescent="0.25">
      <c r="A7" s="805" t="str">
        <f>'0664'!A7:I7</f>
        <v>1.   2021-22 FEFP State and Local Funding</v>
      </c>
      <c r="B7" s="818"/>
      <c r="C7" s="818"/>
      <c r="D7" s="818"/>
      <c r="E7" s="818"/>
      <c r="F7" s="818"/>
      <c r="G7" s="818"/>
      <c r="H7" s="818"/>
      <c r="I7" s="818"/>
      <c r="N7" s="826" t="s">
        <v>88</v>
      </c>
      <c r="O7" s="826"/>
      <c r="P7" s="826"/>
      <c r="Q7" s="826"/>
      <c r="R7" s="826"/>
      <c r="S7" s="826"/>
      <c r="T7" s="826"/>
      <c r="U7" s="826"/>
    </row>
    <row r="8" spans="1:21" x14ac:dyDescent="0.25">
      <c r="A8" s="103"/>
      <c r="B8" s="104" t="s">
        <v>125</v>
      </c>
      <c r="C8" s="541">
        <f>'0664'!C8</f>
        <v>4372.91</v>
      </c>
      <c r="D8" s="105"/>
      <c r="E8" s="106"/>
      <c r="F8" s="103"/>
      <c r="G8" s="104" t="s">
        <v>124</v>
      </c>
      <c r="H8" s="484">
        <f>'0664'!H8</f>
        <v>1.0424</v>
      </c>
      <c r="I8" s="94"/>
      <c r="N8" s="835" t="s">
        <v>10</v>
      </c>
      <c r="O8" s="835"/>
      <c r="P8" s="836">
        <v>4154.45</v>
      </c>
      <c r="Q8" s="836"/>
      <c r="R8" s="837" t="s">
        <v>11</v>
      </c>
      <c r="S8" s="837"/>
      <c r="T8" s="838">
        <f>H8</f>
        <v>1.0424</v>
      </c>
      <c r="U8" s="838"/>
    </row>
    <row r="9" spans="1:21" x14ac:dyDescent="0.25">
      <c r="A9" s="7"/>
      <c r="B9" s="670" t="s">
        <v>391</v>
      </c>
      <c r="C9" s="666" t="s">
        <v>391</v>
      </c>
      <c r="D9" s="600" t="s">
        <v>391</v>
      </c>
      <c r="E9" s="8"/>
      <c r="F9" s="9"/>
      <c r="G9" s="9"/>
      <c r="H9" s="10"/>
      <c r="I9" s="547" t="s">
        <v>428</v>
      </c>
      <c r="N9" s="12"/>
      <c r="O9" s="12"/>
      <c r="P9" s="13"/>
      <c r="Q9" s="13"/>
      <c r="R9" s="14"/>
      <c r="S9" s="14"/>
      <c r="T9" s="15"/>
      <c r="U9" s="721" t="s">
        <v>428</v>
      </c>
    </row>
    <row r="10" spans="1:21" x14ac:dyDescent="0.25">
      <c r="A10" s="7"/>
      <c r="B10" s="7"/>
      <c r="C10" s="600" t="s">
        <v>435</v>
      </c>
      <c r="D10" s="669" t="s">
        <v>436</v>
      </c>
      <c r="E10" s="108" t="s">
        <v>8</v>
      </c>
      <c r="F10" s="806" t="s">
        <v>1</v>
      </c>
      <c r="G10" s="806"/>
      <c r="H10" s="10" t="s">
        <v>74</v>
      </c>
      <c r="I10" s="11" t="s">
        <v>36</v>
      </c>
      <c r="N10" s="12"/>
      <c r="O10" s="12"/>
      <c r="P10" s="13"/>
      <c r="Q10" s="13"/>
      <c r="R10" s="839" t="s">
        <v>1</v>
      </c>
      <c r="S10" s="839"/>
      <c r="T10" s="15" t="s">
        <v>74</v>
      </c>
      <c r="U10" s="16" t="s">
        <v>36</v>
      </c>
    </row>
    <row r="11" spans="1:21" x14ac:dyDescent="0.25">
      <c r="A11" s="797" t="s">
        <v>1</v>
      </c>
      <c r="B11" s="797"/>
      <c r="C11" s="622" t="s">
        <v>2</v>
      </c>
      <c r="D11" s="622" t="s">
        <v>2</v>
      </c>
      <c r="E11" s="622" t="s">
        <v>2</v>
      </c>
      <c r="F11" s="807" t="s">
        <v>77</v>
      </c>
      <c r="G11" s="807"/>
      <c r="H11" s="17" t="s">
        <v>73</v>
      </c>
      <c r="I11" s="18" t="s">
        <v>76</v>
      </c>
      <c r="N11" s="829" t="s">
        <v>1</v>
      </c>
      <c r="O11" s="829"/>
      <c r="P11" s="830" t="s">
        <v>24</v>
      </c>
      <c r="Q11" s="830"/>
      <c r="R11" s="831" t="s">
        <v>77</v>
      </c>
      <c r="S11" s="831"/>
      <c r="T11" s="19" t="s">
        <v>73</v>
      </c>
      <c r="U11" s="20" t="s">
        <v>76</v>
      </c>
    </row>
    <row r="12" spans="1:21" x14ac:dyDescent="0.25">
      <c r="A12" s="808" t="s">
        <v>48</v>
      </c>
      <c r="B12" s="808"/>
      <c r="C12" s="110"/>
      <c r="D12" s="110"/>
      <c r="E12" s="111" t="s">
        <v>49</v>
      </c>
      <c r="F12" s="809" t="s">
        <v>50</v>
      </c>
      <c r="G12" s="809"/>
      <c r="H12" s="21" t="s">
        <v>51</v>
      </c>
      <c r="I12" s="22" t="s">
        <v>52</v>
      </c>
      <c r="N12" s="832" t="s">
        <v>48</v>
      </c>
      <c r="O12" s="832"/>
      <c r="P12" s="833" t="s">
        <v>49</v>
      </c>
      <c r="Q12" s="833"/>
      <c r="R12" s="834" t="s">
        <v>50</v>
      </c>
      <c r="S12" s="834"/>
      <c r="T12" s="23" t="s">
        <v>51</v>
      </c>
      <c r="U12" s="24" t="s">
        <v>52</v>
      </c>
    </row>
    <row r="13" spans="1:21" x14ac:dyDescent="0.25">
      <c r="A13" s="798" t="s">
        <v>29</v>
      </c>
      <c r="B13" s="798"/>
      <c r="C13" s="192">
        <v>0</v>
      </c>
      <c r="D13" s="190">
        <v>0</v>
      </c>
      <c r="E13" s="245">
        <f>IF(D$29=0,C13*2,C13+D13)</f>
        <v>0</v>
      </c>
      <c r="F13" s="819">
        <f>'0664'!F13:G13</f>
        <v>1.1259999999999999</v>
      </c>
      <c r="G13" s="819"/>
      <c r="H13" s="194">
        <f>ROUND(E13*F13,4)</f>
        <v>0</v>
      </c>
      <c r="I13" s="140">
        <f t="shared" ref="I13:I28" si="0">ROUND(ROUND(H13*$C$8,4)*($H$8),2)</f>
        <v>0</v>
      </c>
      <c r="N13" s="843" t="s">
        <v>29</v>
      </c>
      <c r="O13" s="843"/>
      <c r="P13" s="841">
        <f t="shared" ref="P13:P28" si="1">IF($H$116=1,E13,0)</f>
        <v>0</v>
      </c>
      <c r="Q13" s="841"/>
      <c r="R13" s="844">
        <v>1</v>
      </c>
      <c r="S13" s="844"/>
      <c r="T13" s="114">
        <f>ROUND(P13*R13,4)</f>
        <v>0</v>
      </c>
      <c r="U13" s="115">
        <f t="shared" ref="U13:U28" si="2">ROUND(ROUND(T13*$C$8,4)*($H$8),0)</f>
        <v>0</v>
      </c>
    </row>
    <row r="14" spans="1:21" x14ac:dyDescent="0.25">
      <c r="A14" s="764" t="s">
        <v>30</v>
      </c>
      <c r="B14" s="764"/>
      <c r="C14" s="192">
        <v>0</v>
      </c>
      <c r="D14" s="192">
        <v>0</v>
      </c>
      <c r="E14" s="147">
        <f t="shared" ref="E14:E28" si="3">IF(D$29=0,C14*2,C14+D14)</f>
        <v>0</v>
      </c>
      <c r="F14" s="814">
        <f>'0664'!F14:G14</f>
        <v>1.1259999999999999</v>
      </c>
      <c r="G14" s="814"/>
      <c r="H14" s="99">
        <f t="shared" ref="H14:H28" si="4">ROUND(E14*F14,4)</f>
        <v>0</v>
      </c>
      <c r="I14" s="120">
        <f t="shared" si="0"/>
        <v>0</v>
      </c>
      <c r="J14" s="81" t="str">
        <f>IF(ROUND(E14,2)=ROUND(SUM(E50:E52),2)," ","CHECK PK-3 LINES BELOW")</f>
        <v xml:space="preserve"> </v>
      </c>
      <c r="N14" s="840" t="s">
        <v>30</v>
      </c>
      <c r="O14" s="840"/>
      <c r="P14" s="841">
        <f t="shared" si="1"/>
        <v>0</v>
      </c>
      <c r="Q14" s="841"/>
      <c r="R14" s="842">
        <v>1</v>
      </c>
      <c r="S14" s="842"/>
      <c r="T14" s="114">
        <f t="shared" ref="T14:T28" si="5">ROUND(P14*R14,4)</f>
        <v>0</v>
      </c>
      <c r="U14" s="115">
        <f t="shared" si="2"/>
        <v>0</v>
      </c>
    </row>
    <row r="15" spans="1:21" x14ac:dyDescent="0.25">
      <c r="A15" s="764" t="s">
        <v>31</v>
      </c>
      <c r="B15" s="764"/>
      <c r="C15" s="192">
        <v>0</v>
      </c>
      <c r="D15" s="192">
        <v>0</v>
      </c>
      <c r="E15" s="147">
        <f t="shared" si="3"/>
        <v>0</v>
      </c>
      <c r="F15" s="814">
        <f>'0664'!F15:G15</f>
        <v>1</v>
      </c>
      <c r="G15" s="814"/>
      <c r="H15" s="99">
        <f t="shared" si="4"/>
        <v>0</v>
      </c>
      <c r="I15" s="120">
        <f t="shared" si="0"/>
        <v>0</v>
      </c>
      <c r="N15" s="840" t="s">
        <v>31</v>
      </c>
      <c r="O15" s="840"/>
      <c r="P15" s="841">
        <f t="shared" si="1"/>
        <v>0</v>
      </c>
      <c r="Q15" s="841"/>
      <c r="R15" s="842">
        <v>1</v>
      </c>
      <c r="S15" s="842"/>
      <c r="T15" s="114">
        <f t="shared" si="5"/>
        <v>0</v>
      </c>
      <c r="U15" s="115">
        <f t="shared" si="2"/>
        <v>0</v>
      </c>
    </row>
    <row r="16" spans="1:21" x14ac:dyDescent="0.25">
      <c r="A16" s="764" t="s">
        <v>32</v>
      </c>
      <c r="B16" s="764"/>
      <c r="C16" s="192">
        <v>0</v>
      </c>
      <c r="D16" s="192">
        <v>0</v>
      </c>
      <c r="E16" s="147">
        <f t="shared" si="3"/>
        <v>0</v>
      </c>
      <c r="F16" s="814">
        <f>'0664'!F16:G16</f>
        <v>1</v>
      </c>
      <c r="G16" s="814"/>
      <c r="H16" s="99">
        <f t="shared" si="4"/>
        <v>0</v>
      </c>
      <c r="I16" s="120">
        <f t="shared" si="0"/>
        <v>0</v>
      </c>
      <c r="J16" s="81" t="str">
        <f>IF(ROUND(E16,2)=ROUND(SUM(E53:E55),2)," ","CHECK 4-8 LINES BELOW")</f>
        <v xml:space="preserve"> </v>
      </c>
      <c r="N16" s="840" t="s">
        <v>32</v>
      </c>
      <c r="O16" s="840"/>
      <c r="P16" s="841">
        <f t="shared" si="1"/>
        <v>0</v>
      </c>
      <c r="Q16" s="841"/>
      <c r="R16" s="842">
        <v>1</v>
      </c>
      <c r="S16" s="842"/>
      <c r="T16" s="114">
        <f t="shared" si="5"/>
        <v>0</v>
      </c>
      <c r="U16" s="115">
        <f t="shared" si="2"/>
        <v>0</v>
      </c>
    </row>
    <row r="17" spans="1:21" x14ac:dyDescent="0.25">
      <c r="A17" s="764" t="s">
        <v>33</v>
      </c>
      <c r="B17" s="764"/>
      <c r="C17" s="192">
        <v>0</v>
      </c>
      <c r="D17" s="192">
        <v>0</v>
      </c>
      <c r="E17" s="147">
        <f t="shared" si="3"/>
        <v>0</v>
      </c>
      <c r="F17" s="814">
        <f>'0664'!F17:G17</f>
        <v>1.01</v>
      </c>
      <c r="G17" s="814"/>
      <c r="H17" s="99">
        <f t="shared" si="4"/>
        <v>0</v>
      </c>
      <c r="I17" s="120">
        <f t="shared" si="0"/>
        <v>0</v>
      </c>
      <c r="N17" s="840" t="s">
        <v>33</v>
      </c>
      <c r="O17" s="840"/>
      <c r="P17" s="841">
        <f t="shared" si="1"/>
        <v>0</v>
      </c>
      <c r="Q17" s="841"/>
      <c r="R17" s="842">
        <v>1</v>
      </c>
      <c r="S17" s="842"/>
      <c r="T17" s="114">
        <f t="shared" si="5"/>
        <v>0</v>
      </c>
      <c r="U17" s="115">
        <f t="shared" si="2"/>
        <v>0</v>
      </c>
    </row>
    <row r="18" spans="1:21" x14ac:dyDescent="0.25">
      <c r="A18" s="764" t="s">
        <v>34</v>
      </c>
      <c r="B18" s="764"/>
      <c r="C18" s="192">
        <v>0</v>
      </c>
      <c r="D18" s="192">
        <v>0</v>
      </c>
      <c r="E18" s="147">
        <f t="shared" si="3"/>
        <v>0</v>
      </c>
      <c r="F18" s="814">
        <f>'0664'!F18:G18</f>
        <v>1.01</v>
      </c>
      <c r="G18" s="814"/>
      <c r="H18" s="99">
        <f t="shared" si="4"/>
        <v>0</v>
      </c>
      <c r="I18" s="120">
        <f t="shared" si="0"/>
        <v>0</v>
      </c>
      <c r="J18" s="81" t="str">
        <f>IF(ROUND(E18,2)=ROUND(SUM(E56:E58),2)," ","CHECK 4-8 LINES BELOW")</f>
        <v xml:space="preserve"> </v>
      </c>
      <c r="N18" s="840" t="s">
        <v>34</v>
      </c>
      <c r="O18" s="840"/>
      <c r="P18" s="841">
        <f t="shared" si="1"/>
        <v>0</v>
      </c>
      <c r="Q18" s="841"/>
      <c r="R18" s="842">
        <v>1</v>
      </c>
      <c r="S18" s="842"/>
      <c r="T18" s="114">
        <f t="shared" si="5"/>
        <v>0</v>
      </c>
      <c r="U18" s="117">
        <f t="shared" si="2"/>
        <v>0</v>
      </c>
    </row>
    <row r="19" spans="1:21" x14ac:dyDescent="0.25">
      <c r="A19" s="764" t="s">
        <v>110</v>
      </c>
      <c r="B19" s="764"/>
      <c r="C19" s="192">
        <v>27</v>
      </c>
      <c r="D19" s="192">
        <v>18.52</v>
      </c>
      <c r="E19" s="147">
        <f t="shared" si="3"/>
        <v>45.519999999999996</v>
      </c>
      <c r="F19" s="814">
        <f>'0664'!F19:G19</f>
        <v>3.6480000000000001</v>
      </c>
      <c r="G19" s="814"/>
      <c r="H19" s="99">
        <f t="shared" si="4"/>
        <v>166.05699999999999</v>
      </c>
      <c r="I19" s="120">
        <f t="shared" si="0"/>
        <v>756941.17</v>
      </c>
      <c r="N19" s="840" t="s">
        <v>110</v>
      </c>
      <c r="O19" s="840"/>
      <c r="P19" s="841">
        <f t="shared" si="1"/>
        <v>45.519999999999996</v>
      </c>
      <c r="Q19" s="841"/>
      <c r="R19" s="842">
        <v>1</v>
      </c>
      <c r="S19" s="842"/>
      <c r="T19" s="114">
        <f t="shared" si="5"/>
        <v>45.52</v>
      </c>
      <c r="U19" s="115">
        <f t="shared" si="2"/>
        <v>207495</v>
      </c>
    </row>
    <row r="20" spans="1:21" x14ac:dyDescent="0.25">
      <c r="A20" s="764" t="s">
        <v>111</v>
      </c>
      <c r="B20" s="764"/>
      <c r="C20" s="192">
        <v>34</v>
      </c>
      <c r="D20" s="192">
        <v>26.5</v>
      </c>
      <c r="E20" s="147">
        <f t="shared" si="3"/>
        <v>60.5</v>
      </c>
      <c r="F20" s="814">
        <f>'0664'!F20:G20</f>
        <v>3.6480000000000001</v>
      </c>
      <c r="G20" s="814"/>
      <c r="H20" s="99">
        <f t="shared" si="4"/>
        <v>220.70400000000001</v>
      </c>
      <c r="I20" s="120">
        <f t="shared" si="0"/>
        <v>1006039.76</v>
      </c>
      <c r="N20" s="840" t="s">
        <v>111</v>
      </c>
      <c r="O20" s="840"/>
      <c r="P20" s="841">
        <f t="shared" si="1"/>
        <v>60.5</v>
      </c>
      <c r="Q20" s="841"/>
      <c r="R20" s="842">
        <v>1</v>
      </c>
      <c r="S20" s="842"/>
      <c r="T20" s="114">
        <f t="shared" si="5"/>
        <v>60.5</v>
      </c>
      <c r="U20" s="115">
        <f t="shared" si="2"/>
        <v>275778</v>
      </c>
    </row>
    <row r="21" spans="1:21" x14ac:dyDescent="0.25">
      <c r="A21" s="764" t="s">
        <v>112</v>
      </c>
      <c r="B21" s="764"/>
      <c r="C21" s="192">
        <v>0</v>
      </c>
      <c r="D21" s="192">
        <v>0</v>
      </c>
      <c r="E21" s="147">
        <f t="shared" si="3"/>
        <v>0</v>
      </c>
      <c r="F21" s="814">
        <f>'0664'!F21:G21</f>
        <v>3.6480000000000001</v>
      </c>
      <c r="G21" s="814"/>
      <c r="H21" s="99">
        <f t="shared" si="4"/>
        <v>0</v>
      </c>
      <c r="I21" s="120">
        <f t="shared" si="0"/>
        <v>0</v>
      </c>
      <c r="N21" s="840" t="s">
        <v>112</v>
      </c>
      <c r="O21" s="840"/>
      <c r="P21" s="841">
        <f t="shared" si="1"/>
        <v>0</v>
      </c>
      <c r="Q21" s="841"/>
      <c r="R21" s="842">
        <v>1</v>
      </c>
      <c r="S21" s="842"/>
      <c r="T21" s="114">
        <f t="shared" si="5"/>
        <v>0</v>
      </c>
      <c r="U21" s="115">
        <f t="shared" si="2"/>
        <v>0</v>
      </c>
    </row>
    <row r="22" spans="1:21" x14ac:dyDescent="0.25">
      <c r="A22" s="764" t="s">
        <v>113</v>
      </c>
      <c r="B22" s="764"/>
      <c r="C22" s="192">
        <v>3</v>
      </c>
      <c r="D22" s="192">
        <v>12.5</v>
      </c>
      <c r="E22" s="147">
        <f t="shared" si="3"/>
        <v>15.5</v>
      </c>
      <c r="F22" s="814">
        <f>'0664'!F22:G22</f>
        <v>5.34</v>
      </c>
      <c r="G22" s="814"/>
      <c r="H22" s="99">
        <f t="shared" si="4"/>
        <v>82.77</v>
      </c>
      <c r="I22" s="120">
        <f t="shared" si="0"/>
        <v>377292.26</v>
      </c>
      <c r="N22" s="840" t="s">
        <v>113</v>
      </c>
      <c r="O22" s="840"/>
      <c r="P22" s="841">
        <f t="shared" si="1"/>
        <v>15.5</v>
      </c>
      <c r="Q22" s="841"/>
      <c r="R22" s="842">
        <v>1</v>
      </c>
      <c r="S22" s="842"/>
      <c r="T22" s="114">
        <f t="shared" si="5"/>
        <v>15.5</v>
      </c>
      <c r="U22" s="115">
        <f t="shared" si="2"/>
        <v>70654</v>
      </c>
    </row>
    <row r="23" spans="1:21" x14ac:dyDescent="0.25">
      <c r="A23" s="764" t="s">
        <v>114</v>
      </c>
      <c r="B23" s="764"/>
      <c r="C23" s="192">
        <v>10</v>
      </c>
      <c r="D23" s="192">
        <v>17.5</v>
      </c>
      <c r="E23" s="147">
        <f t="shared" si="3"/>
        <v>27.5</v>
      </c>
      <c r="F23" s="814">
        <f>'0664'!F23:G23</f>
        <v>5.34</v>
      </c>
      <c r="G23" s="814"/>
      <c r="H23" s="99">
        <f t="shared" si="4"/>
        <v>146.85</v>
      </c>
      <c r="I23" s="120">
        <f t="shared" si="0"/>
        <v>669389.5</v>
      </c>
      <c r="N23" s="840" t="s">
        <v>114</v>
      </c>
      <c r="O23" s="840"/>
      <c r="P23" s="841">
        <f t="shared" si="1"/>
        <v>27.5</v>
      </c>
      <c r="Q23" s="841"/>
      <c r="R23" s="842">
        <v>1</v>
      </c>
      <c r="S23" s="842"/>
      <c r="T23" s="114">
        <f t="shared" si="5"/>
        <v>27.5</v>
      </c>
      <c r="U23" s="115">
        <f t="shared" si="2"/>
        <v>125354</v>
      </c>
    </row>
    <row r="24" spans="1:21" x14ac:dyDescent="0.25">
      <c r="A24" s="764" t="s">
        <v>115</v>
      </c>
      <c r="B24" s="764"/>
      <c r="C24" s="192">
        <v>0</v>
      </c>
      <c r="D24" s="192">
        <v>0</v>
      </c>
      <c r="E24" s="147">
        <f t="shared" si="3"/>
        <v>0</v>
      </c>
      <c r="F24" s="814">
        <f>'0664'!F24:G24</f>
        <v>5.34</v>
      </c>
      <c r="G24" s="814"/>
      <c r="H24" s="99">
        <f t="shared" si="4"/>
        <v>0</v>
      </c>
      <c r="I24" s="120">
        <f t="shared" si="0"/>
        <v>0</v>
      </c>
      <c r="N24" s="840" t="s">
        <v>115</v>
      </c>
      <c r="O24" s="840"/>
      <c r="P24" s="841">
        <f t="shared" si="1"/>
        <v>0</v>
      </c>
      <c r="Q24" s="841"/>
      <c r="R24" s="842">
        <v>1</v>
      </c>
      <c r="S24" s="842"/>
      <c r="T24" s="114">
        <f t="shared" si="5"/>
        <v>0</v>
      </c>
      <c r="U24" s="115">
        <f t="shared" si="2"/>
        <v>0</v>
      </c>
    </row>
    <row r="25" spans="1:21" x14ac:dyDescent="0.25">
      <c r="A25" s="764" t="s">
        <v>116</v>
      </c>
      <c r="B25" s="764"/>
      <c r="C25" s="192">
        <v>0</v>
      </c>
      <c r="D25" s="192">
        <v>0</v>
      </c>
      <c r="E25" s="147">
        <f t="shared" si="3"/>
        <v>0</v>
      </c>
      <c r="F25" s="814">
        <f>'0664'!F25:G25</f>
        <v>1.1990000000000001</v>
      </c>
      <c r="G25" s="814"/>
      <c r="H25" s="99">
        <f t="shared" si="4"/>
        <v>0</v>
      </c>
      <c r="I25" s="120">
        <f t="shared" si="0"/>
        <v>0</v>
      </c>
      <c r="N25" s="840" t="s">
        <v>116</v>
      </c>
      <c r="O25" s="840"/>
      <c r="P25" s="841">
        <f t="shared" si="1"/>
        <v>0</v>
      </c>
      <c r="Q25" s="841"/>
      <c r="R25" s="842">
        <v>1</v>
      </c>
      <c r="S25" s="842"/>
      <c r="T25" s="114">
        <f t="shared" si="5"/>
        <v>0</v>
      </c>
      <c r="U25" s="115">
        <f t="shared" si="2"/>
        <v>0</v>
      </c>
    </row>
    <row r="26" spans="1:21" x14ac:dyDescent="0.25">
      <c r="A26" s="764" t="s">
        <v>117</v>
      </c>
      <c r="B26" s="764"/>
      <c r="C26" s="192">
        <v>0</v>
      </c>
      <c r="D26" s="192">
        <v>0</v>
      </c>
      <c r="E26" s="147">
        <f t="shared" si="3"/>
        <v>0</v>
      </c>
      <c r="F26" s="814">
        <f>'0664'!F26:G26</f>
        <v>1.1990000000000001</v>
      </c>
      <c r="G26" s="814"/>
      <c r="H26" s="99">
        <f t="shared" si="4"/>
        <v>0</v>
      </c>
      <c r="I26" s="120">
        <f t="shared" si="0"/>
        <v>0</v>
      </c>
      <c r="N26" s="840" t="s">
        <v>117</v>
      </c>
      <c r="O26" s="840"/>
      <c r="P26" s="841">
        <f t="shared" si="1"/>
        <v>0</v>
      </c>
      <c r="Q26" s="841"/>
      <c r="R26" s="842">
        <v>1</v>
      </c>
      <c r="S26" s="842"/>
      <c r="T26" s="114">
        <f t="shared" si="5"/>
        <v>0</v>
      </c>
      <c r="U26" s="115">
        <f t="shared" si="2"/>
        <v>0</v>
      </c>
    </row>
    <row r="27" spans="1:21" x14ac:dyDescent="0.25">
      <c r="A27" s="764" t="s">
        <v>118</v>
      </c>
      <c r="B27" s="764"/>
      <c r="C27" s="192">
        <v>0</v>
      </c>
      <c r="D27" s="192">
        <v>0</v>
      </c>
      <c r="E27" s="147">
        <f t="shared" si="3"/>
        <v>0</v>
      </c>
      <c r="F27" s="814">
        <f>'0664'!F27:G27</f>
        <v>1.1990000000000001</v>
      </c>
      <c r="G27" s="814"/>
      <c r="H27" s="99">
        <f t="shared" si="4"/>
        <v>0</v>
      </c>
      <c r="I27" s="120">
        <f t="shared" si="0"/>
        <v>0</v>
      </c>
      <c r="N27" s="840" t="s">
        <v>118</v>
      </c>
      <c r="O27" s="840"/>
      <c r="P27" s="841">
        <f t="shared" si="1"/>
        <v>0</v>
      </c>
      <c r="Q27" s="841"/>
      <c r="R27" s="842">
        <v>1</v>
      </c>
      <c r="S27" s="842"/>
      <c r="T27" s="114">
        <f t="shared" si="5"/>
        <v>0</v>
      </c>
      <c r="U27" s="115">
        <f t="shared" si="2"/>
        <v>0</v>
      </c>
    </row>
    <row r="28" spans="1:21" x14ac:dyDescent="0.25">
      <c r="A28" s="790" t="s">
        <v>119</v>
      </c>
      <c r="B28" s="790"/>
      <c r="C28" s="137">
        <v>0</v>
      </c>
      <c r="D28" s="137">
        <v>0</v>
      </c>
      <c r="E28" s="204">
        <f t="shared" si="3"/>
        <v>0</v>
      </c>
      <c r="F28" s="815">
        <f>'0664'!F28:G28</f>
        <v>1.01</v>
      </c>
      <c r="G28" s="815"/>
      <c r="H28" s="112">
        <f t="shared" si="4"/>
        <v>0</v>
      </c>
      <c r="I28" s="113">
        <f t="shared" si="0"/>
        <v>0</v>
      </c>
      <c r="N28" s="845" t="s">
        <v>119</v>
      </c>
      <c r="O28" s="845"/>
      <c r="P28" s="841">
        <f t="shared" si="1"/>
        <v>0</v>
      </c>
      <c r="Q28" s="841"/>
      <c r="R28" s="846">
        <v>1</v>
      </c>
      <c r="S28" s="846"/>
      <c r="T28" s="114">
        <f t="shared" si="5"/>
        <v>0</v>
      </c>
      <c r="U28" s="115">
        <f t="shared" si="2"/>
        <v>0</v>
      </c>
    </row>
    <row r="29" spans="1:21" x14ac:dyDescent="0.25">
      <c r="A29" s="828" t="s">
        <v>5</v>
      </c>
      <c r="B29" s="828"/>
      <c r="C29" s="113">
        <f>SUM(C13:C28)</f>
        <v>74</v>
      </c>
      <c r="D29" s="113">
        <f>SUM(D13:D28)</f>
        <v>75.02</v>
      </c>
      <c r="E29" s="113">
        <f>SUM(E13:E28)</f>
        <v>149.01999999999998</v>
      </c>
      <c r="F29" s="820"/>
      <c r="G29" s="820"/>
      <c r="H29" s="118">
        <f>SUM(H13:H28)</f>
        <v>616.38099999999997</v>
      </c>
      <c r="I29" s="113">
        <f>SUM(I13:I28)</f>
        <v>2809662.6900000004</v>
      </c>
      <c r="N29" s="850" t="s">
        <v>5</v>
      </c>
      <c r="O29" s="850"/>
      <c r="P29" s="851">
        <f>SUM(P13:P28)</f>
        <v>149.01999999999998</v>
      </c>
      <c r="Q29" s="851"/>
      <c r="R29" s="852"/>
      <c r="S29" s="852"/>
      <c r="T29" s="119">
        <f>SUM(T13:T28)</f>
        <v>149.02000000000001</v>
      </c>
      <c r="U29" s="115">
        <f>SUM(U13:U28)</f>
        <v>679281</v>
      </c>
    </row>
    <row r="30" spans="1:21" x14ac:dyDescent="0.25">
      <c r="A30" s="27"/>
      <c r="B30" s="27"/>
      <c r="C30" s="120"/>
      <c r="D30" s="120"/>
      <c r="E30" s="120"/>
      <c r="F30" s="28"/>
      <c r="G30" s="28"/>
      <c r="H30" s="99"/>
      <c r="I30" s="120"/>
      <c r="N30" s="34"/>
      <c r="O30" s="34"/>
      <c r="P30" s="30"/>
      <c r="Q30" s="30"/>
      <c r="R30" s="31"/>
      <c r="S30" s="31"/>
      <c r="T30" s="121"/>
      <c r="U30" s="122"/>
    </row>
    <row r="31" spans="1:21" x14ac:dyDescent="0.25">
      <c r="A31" s="195" t="s">
        <v>99</v>
      </c>
      <c r="B31" s="27"/>
      <c r="C31" s="120"/>
      <c r="D31" s="120"/>
      <c r="E31" s="120"/>
      <c r="F31" s="28"/>
      <c r="G31" s="28"/>
      <c r="H31" s="99"/>
      <c r="I31" s="120"/>
      <c r="N31" s="34"/>
      <c r="O31" s="34"/>
      <c r="P31" s="30"/>
      <c r="Q31" s="30"/>
      <c r="R31" s="31"/>
      <c r="S31" s="31"/>
      <c r="T31" s="121"/>
      <c r="U31" s="122"/>
    </row>
    <row r="32" spans="1:21" hidden="1" x14ac:dyDescent="0.25">
      <c r="A32" s="195"/>
      <c r="B32" s="27"/>
      <c r="C32" s="120"/>
      <c r="D32" s="120"/>
      <c r="E32" s="120"/>
      <c r="F32" s="326"/>
      <c r="G32" s="326"/>
      <c r="H32" s="99"/>
      <c r="I32" s="120"/>
      <c r="N32" s="324"/>
      <c r="O32" s="324"/>
      <c r="P32" s="30"/>
      <c r="Q32" s="30"/>
      <c r="R32" s="325"/>
      <c r="S32" s="325"/>
      <c r="T32" s="121"/>
      <c r="U32" s="122"/>
    </row>
    <row r="33" spans="1:21" hidden="1" x14ac:dyDescent="0.25">
      <c r="A33" s="195"/>
      <c r="B33" s="27"/>
      <c r="C33" s="120"/>
      <c r="D33" s="120"/>
      <c r="E33" s="120"/>
      <c r="F33" s="887" t="s">
        <v>298</v>
      </c>
      <c r="G33" s="887"/>
      <c r="H33" s="887"/>
      <c r="I33" s="120"/>
      <c r="N33" s="324"/>
      <c r="O33" s="324"/>
      <c r="P33" s="30"/>
      <c r="Q33" s="30"/>
      <c r="R33" s="325"/>
      <c r="S33" s="325"/>
      <c r="T33" s="121"/>
      <c r="U33" s="122"/>
    </row>
    <row r="34" spans="1:21" hidden="1" x14ac:dyDescent="0.25">
      <c r="A34" s="3"/>
      <c r="B34" s="126"/>
      <c r="C34" s="126"/>
      <c r="D34" s="126"/>
      <c r="E34" s="126"/>
      <c r="F34" s="887"/>
      <c r="G34" s="887"/>
      <c r="H34" s="887"/>
      <c r="I34" s="25" t="s">
        <v>75</v>
      </c>
      <c r="N34" s="853" t="s">
        <v>35</v>
      </c>
      <c r="O34" s="853"/>
      <c r="P34" s="853"/>
      <c r="Q34" s="853"/>
      <c r="R34" s="853"/>
      <c r="S34" s="853"/>
      <c r="T34" s="853"/>
      <c r="U34" s="26" t="s">
        <v>75</v>
      </c>
    </row>
    <row r="35" spans="1:21" hidden="1" x14ac:dyDescent="0.25">
      <c r="A35" s="27"/>
      <c r="B35" s="27"/>
      <c r="C35" s="107" t="s">
        <v>126</v>
      </c>
      <c r="D35" s="107" t="s">
        <v>127</v>
      </c>
      <c r="E35" s="108" t="s">
        <v>8</v>
      </c>
      <c r="F35" s="887"/>
      <c r="G35" s="887"/>
      <c r="H35" s="887"/>
      <c r="I35" s="25" t="s">
        <v>36</v>
      </c>
      <c r="N35" s="34"/>
      <c r="O35" s="34"/>
      <c r="P35" s="30"/>
      <c r="Q35" s="30"/>
      <c r="R35" s="31"/>
      <c r="S35" s="31"/>
      <c r="T35" s="121"/>
      <c r="U35" s="26" t="s">
        <v>36</v>
      </c>
    </row>
    <row r="36" spans="1:21" hidden="1" x14ac:dyDescent="0.25">
      <c r="A36" s="797" t="s">
        <v>64</v>
      </c>
      <c r="B36" s="797"/>
      <c r="C36" s="109" t="s">
        <v>2</v>
      </c>
      <c r="D36" s="109" t="s">
        <v>2</v>
      </c>
      <c r="E36" s="109" t="s">
        <v>2</v>
      </c>
      <c r="F36" s="888"/>
      <c r="G36" s="888"/>
      <c r="H36" s="888"/>
      <c r="I36" s="32" t="s">
        <v>76</v>
      </c>
      <c r="N36" s="829" t="s">
        <v>64</v>
      </c>
      <c r="O36" s="829"/>
      <c r="P36" s="854" t="s">
        <v>24</v>
      </c>
      <c r="Q36" s="854"/>
      <c r="R36" s="854"/>
      <c r="S36" s="854"/>
      <c r="T36" s="854"/>
      <c r="U36" s="20" t="s">
        <v>76</v>
      </c>
    </row>
    <row r="37" spans="1:21" hidden="1" x14ac:dyDescent="0.25">
      <c r="A37" s="798" t="s">
        <v>57</v>
      </c>
      <c r="B37" s="798"/>
      <c r="C37" s="196">
        <v>0</v>
      </c>
      <c r="D37" s="196">
        <v>0</v>
      </c>
      <c r="E37" s="245">
        <f t="shared" ref="E37:E42" si="6">IF(D$43=0,C37*2,C37+D37)</f>
        <v>0</v>
      </c>
      <c r="F37" s="197"/>
      <c r="G37" s="197"/>
      <c r="H37" s="197"/>
      <c r="I37" s="140">
        <f t="shared" ref="I37:I42" si="7">ROUND(ROUND(E37*$C$8,4)*($H$8),2)</f>
        <v>0</v>
      </c>
      <c r="N37" s="843" t="s">
        <v>57</v>
      </c>
      <c r="O37" s="843"/>
      <c r="P37" s="847">
        <f t="shared" ref="P37:P42" si="8">IF($H$116=1,E37,0)</f>
        <v>0</v>
      </c>
      <c r="Q37" s="847"/>
      <c r="R37" s="847"/>
      <c r="S37" s="847"/>
      <c r="T37" s="847"/>
      <c r="U37" s="117">
        <f t="shared" ref="U37:U42" si="9">ROUND(ROUND(P37*$C$8,4)*($H$8),0)</f>
        <v>0</v>
      </c>
    </row>
    <row r="38" spans="1:21" hidden="1" x14ac:dyDescent="0.25">
      <c r="A38" s="790" t="s">
        <v>58</v>
      </c>
      <c r="B38" s="790"/>
      <c r="C38" s="199">
        <v>0</v>
      </c>
      <c r="D38" s="199">
        <v>0</v>
      </c>
      <c r="E38" s="147">
        <f t="shared" si="6"/>
        <v>0</v>
      </c>
      <c r="F38" s="200"/>
      <c r="G38" s="200"/>
      <c r="H38" s="200"/>
      <c r="I38" s="120">
        <f t="shared" si="7"/>
        <v>0</v>
      </c>
      <c r="N38" s="848" t="s">
        <v>58</v>
      </c>
      <c r="O38" s="848"/>
      <c r="P38" s="847">
        <f t="shared" si="8"/>
        <v>0</v>
      </c>
      <c r="Q38" s="847"/>
      <c r="R38" s="847"/>
      <c r="S38" s="847"/>
      <c r="T38" s="847"/>
      <c r="U38" s="117">
        <f t="shared" si="9"/>
        <v>0</v>
      </c>
    </row>
    <row r="39" spans="1:21" hidden="1" x14ac:dyDescent="0.25">
      <c r="A39" s="789" t="s">
        <v>59</v>
      </c>
      <c r="B39" s="789"/>
      <c r="C39" s="199">
        <v>0</v>
      </c>
      <c r="D39" s="199">
        <v>0</v>
      </c>
      <c r="E39" s="147">
        <f t="shared" si="6"/>
        <v>0</v>
      </c>
      <c r="F39" s="200"/>
      <c r="G39" s="200"/>
      <c r="H39" s="200"/>
      <c r="I39" s="120">
        <f t="shared" si="7"/>
        <v>0</v>
      </c>
      <c r="N39" s="849" t="s">
        <v>59</v>
      </c>
      <c r="O39" s="849"/>
      <c r="P39" s="847">
        <f t="shared" si="8"/>
        <v>0</v>
      </c>
      <c r="Q39" s="847"/>
      <c r="R39" s="847"/>
      <c r="S39" s="847"/>
      <c r="T39" s="847"/>
      <c r="U39" s="117">
        <f t="shared" si="9"/>
        <v>0</v>
      </c>
    </row>
    <row r="40" spans="1:21" hidden="1" x14ac:dyDescent="0.25">
      <c r="A40" s="790" t="s">
        <v>60</v>
      </c>
      <c r="B40" s="790"/>
      <c r="C40" s="199">
        <v>0</v>
      </c>
      <c r="D40" s="199">
        <v>0</v>
      </c>
      <c r="E40" s="147">
        <f t="shared" si="6"/>
        <v>0</v>
      </c>
      <c r="F40" s="200"/>
      <c r="G40" s="200"/>
      <c r="H40" s="200"/>
      <c r="I40" s="120">
        <f t="shared" si="7"/>
        <v>0</v>
      </c>
      <c r="N40" s="848" t="s">
        <v>60</v>
      </c>
      <c r="O40" s="848"/>
      <c r="P40" s="847">
        <f t="shared" si="8"/>
        <v>0</v>
      </c>
      <c r="Q40" s="847"/>
      <c r="R40" s="847"/>
      <c r="S40" s="847"/>
      <c r="T40" s="847"/>
      <c r="U40" s="117">
        <f t="shared" si="9"/>
        <v>0</v>
      </c>
    </row>
    <row r="41" spans="1:21" hidden="1" x14ac:dyDescent="0.25">
      <c r="A41" s="790" t="s">
        <v>61</v>
      </c>
      <c r="B41" s="790"/>
      <c r="C41" s="199">
        <v>0</v>
      </c>
      <c r="D41" s="199">
        <v>0</v>
      </c>
      <c r="E41" s="147">
        <f t="shared" si="6"/>
        <v>0</v>
      </c>
      <c r="F41" s="200"/>
      <c r="G41" s="200"/>
      <c r="H41" s="200"/>
      <c r="I41" s="120">
        <f t="shared" si="7"/>
        <v>0</v>
      </c>
      <c r="N41" s="848" t="s">
        <v>61</v>
      </c>
      <c r="O41" s="848"/>
      <c r="P41" s="847">
        <f t="shared" si="8"/>
        <v>0</v>
      </c>
      <c r="Q41" s="847"/>
      <c r="R41" s="847"/>
      <c r="S41" s="847"/>
      <c r="T41" s="847"/>
      <c r="U41" s="117">
        <f t="shared" si="9"/>
        <v>0</v>
      </c>
    </row>
    <row r="42" spans="1:21" hidden="1" x14ac:dyDescent="0.25">
      <c r="A42" s="790" t="s">
        <v>53</v>
      </c>
      <c r="B42" s="790"/>
      <c r="C42" s="198">
        <v>0</v>
      </c>
      <c r="D42" s="198">
        <v>0</v>
      </c>
      <c r="E42" s="204">
        <f t="shared" si="6"/>
        <v>0</v>
      </c>
      <c r="F42" s="200"/>
      <c r="G42" s="200"/>
      <c r="H42" s="200"/>
      <c r="I42" s="113">
        <f t="shared" si="7"/>
        <v>0</v>
      </c>
      <c r="N42" s="845" t="s">
        <v>53</v>
      </c>
      <c r="O42" s="845"/>
      <c r="P42" s="847">
        <f t="shared" si="8"/>
        <v>0</v>
      </c>
      <c r="Q42" s="847"/>
      <c r="R42" s="847"/>
      <c r="S42" s="847"/>
      <c r="T42" s="847"/>
      <c r="U42" s="117">
        <f t="shared" si="9"/>
        <v>0</v>
      </c>
    </row>
    <row r="43" spans="1:21" hidden="1" x14ac:dyDescent="0.25">
      <c r="A43" s="61"/>
      <c r="B43" s="127" t="s">
        <v>128</v>
      </c>
      <c r="C43" s="116">
        <f>SUM(C37:C42)</f>
        <v>0</v>
      </c>
      <c r="D43" s="116">
        <f>SUM(D37:D42)</f>
        <v>0</v>
      </c>
      <c r="E43" s="116">
        <f>SUM(E37:E42)</f>
        <v>0</v>
      </c>
      <c r="F43" s="33"/>
      <c r="G43" s="128"/>
      <c r="H43" s="129" t="s">
        <v>130</v>
      </c>
      <c r="I43" s="116">
        <f>SUM(I37:I42)</f>
        <v>0</v>
      </c>
      <c r="N43" s="855" t="s">
        <v>55</v>
      </c>
      <c r="O43" s="855"/>
      <c r="P43" s="855"/>
      <c r="Q43" s="855"/>
      <c r="R43" s="35">
        <f>SUM(P37:R42)</f>
        <v>0</v>
      </c>
      <c r="S43" s="852" t="s">
        <v>65</v>
      </c>
      <c r="T43" s="852"/>
      <c r="U43" s="122">
        <f>SUM(U37:U42)</f>
        <v>0</v>
      </c>
    </row>
    <row r="44" spans="1:21" ht="16.5" hidden="1" thickBot="1" x14ac:dyDescent="0.3">
      <c r="A44" s="61"/>
      <c r="B44" s="127"/>
      <c r="C44" s="120"/>
      <c r="D44" s="120"/>
      <c r="E44" s="140"/>
      <c r="F44" s="33"/>
      <c r="G44" s="128"/>
      <c r="H44" s="129"/>
      <c r="I44" s="120"/>
      <c r="N44" s="34"/>
      <c r="O44" s="34"/>
      <c r="P44" s="34"/>
      <c r="Q44" s="34"/>
      <c r="R44" s="35"/>
      <c r="S44" s="31"/>
      <c r="T44" s="31"/>
      <c r="U44" s="122"/>
    </row>
    <row r="45" spans="1:21" ht="16.5" hidden="1" thickBot="1" x14ac:dyDescent="0.3">
      <c r="A45" s="61"/>
      <c r="B45" s="127" t="s">
        <v>129</v>
      </c>
      <c r="C45" s="61"/>
      <c r="D45" s="61"/>
      <c r="E45" s="201">
        <f>H29+E43</f>
        <v>616.38099999999997</v>
      </c>
      <c r="F45" s="36"/>
      <c r="G45" s="128"/>
      <c r="H45" s="129" t="s">
        <v>131</v>
      </c>
      <c r="I45" s="113">
        <f>SUM(I43,I29)</f>
        <v>2809662.6900000004</v>
      </c>
      <c r="N45" s="855" t="s">
        <v>56</v>
      </c>
      <c r="O45" s="855"/>
      <c r="P45" s="855"/>
      <c r="Q45" s="855"/>
      <c r="R45" s="37">
        <f>R43+T29</f>
        <v>149.02000000000001</v>
      </c>
      <c r="S45" s="852" t="s">
        <v>54</v>
      </c>
      <c r="T45" s="852"/>
      <c r="U45" s="130">
        <f>SUM(U43,U29)</f>
        <v>679281</v>
      </c>
    </row>
    <row r="46" spans="1:21" hidden="1" x14ac:dyDescent="0.25">
      <c r="A46" s="27"/>
      <c r="B46" s="27"/>
      <c r="C46" s="27"/>
      <c r="D46" s="27"/>
      <c r="E46" s="27"/>
      <c r="F46" s="36"/>
      <c r="G46" s="131"/>
      <c r="H46" s="131"/>
      <c r="I46" s="120"/>
      <c r="N46" s="34"/>
      <c r="O46" s="34"/>
      <c r="P46" s="34"/>
      <c r="Q46" s="34"/>
      <c r="R46" s="37"/>
      <c r="S46" s="31"/>
      <c r="T46" s="31"/>
      <c r="U46" s="122"/>
    </row>
    <row r="47" spans="1:21" x14ac:dyDescent="0.25">
      <c r="A47" s="27"/>
      <c r="B47" s="127" t="s">
        <v>391</v>
      </c>
      <c r="C47" s="666" t="s">
        <v>391</v>
      </c>
      <c r="D47" s="600" t="s">
        <v>391</v>
      </c>
      <c r="E47" s="27"/>
      <c r="F47" s="36"/>
      <c r="G47" s="131"/>
      <c r="H47" s="131"/>
      <c r="I47" s="120"/>
      <c r="N47" s="34"/>
      <c r="O47" s="34"/>
      <c r="P47" s="34"/>
      <c r="Q47" s="34"/>
      <c r="R47" s="37"/>
      <c r="S47" s="31"/>
      <c r="T47" s="31"/>
      <c r="U47" s="122"/>
    </row>
    <row r="48" spans="1:21" x14ac:dyDescent="0.25">
      <c r="A48" s="27"/>
      <c r="B48" s="27"/>
      <c r="C48" s="600" t="s">
        <v>435</v>
      </c>
      <c r="D48" s="669" t="s">
        <v>436</v>
      </c>
      <c r="E48" s="108" t="s">
        <v>8</v>
      </c>
      <c r="F48" s="132" t="s">
        <v>132</v>
      </c>
      <c r="G48" s="133" t="s">
        <v>134</v>
      </c>
      <c r="H48" s="134" t="s">
        <v>135</v>
      </c>
      <c r="I48" s="120"/>
      <c r="N48" s="34"/>
      <c r="O48" s="34"/>
      <c r="P48" s="34"/>
      <c r="Q48" s="34"/>
      <c r="R48" s="37"/>
      <c r="S48" s="31"/>
      <c r="T48" s="31"/>
      <c r="U48" s="122"/>
    </row>
    <row r="49" spans="1:21" x14ac:dyDescent="0.25">
      <c r="A49" s="38" t="s">
        <v>89</v>
      </c>
      <c r="B49" s="38"/>
      <c r="C49" s="622" t="s">
        <v>2</v>
      </c>
      <c r="D49" s="622" t="s">
        <v>2</v>
      </c>
      <c r="E49" s="622" t="s">
        <v>2</v>
      </c>
      <c r="F49" s="111" t="s">
        <v>133</v>
      </c>
      <c r="G49" s="73" t="s">
        <v>133</v>
      </c>
      <c r="H49" s="135" t="s">
        <v>136</v>
      </c>
      <c r="I49" s="38"/>
      <c r="N49" s="845" t="s">
        <v>89</v>
      </c>
      <c r="O49" s="845"/>
      <c r="P49" s="856" t="s">
        <v>2</v>
      </c>
      <c r="Q49" s="856"/>
      <c r="R49" s="39" t="s">
        <v>25</v>
      </c>
      <c r="S49" s="74" t="s">
        <v>26</v>
      </c>
      <c r="T49" s="136" t="s">
        <v>27</v>
      </c>
      <c r="U49" s="39"/>
    </row>
    <row r="50" spans="1:21" x14ac:dyDescent="0.25">
      <c r="A50" s="791" t="s">
        <v>100</v>
      </c>
      <c r="B50" s="791"/>
      <c r="C50" s="192">
        <v>0</v>
      </c>
      <c r="D50" s="192">
        <v>0</v>
      </c>
      <c r="E50" s="147">
        <f>IF(D$59=0,C50*2,C50+D50)</f>
        <v>0</v>
      </c>
      <c r="F50" s="40" t="s">
        <v>21</v>
      </c>
      <c r="G50" s="52">
        <v>251</v>
      </c>
      <c r="H50" s="485">
        <f>'0664'!H50</f>
        <v>1047</v>
      </c>
      <c r="I50" s="120">
        <f>ROUND(E50*H50,2)</f>
        <v>0</v>
      </c>
      <c r="N50" s="863" t="s">
        <v>28</v>
      </c>
      <c r="O50" s="863"/>
      <c r="P50" s="864"/>
      <c r="Q50" s="864"/>
      <c r="R50" s="42" t="s">
        <v>21</v>
      </c>
      <c r="S50" s="43">
        <v>251</v>
      </c>
      <c r="T50" s="138">
        <f>H50</f>
        <v>1047</v>
      </c>
      <c r="U50" s="139">
        <f>ROUND(P50*T50,0)</f>
        <v>0</v>
      </c>
    </row>
    <row r="51" spans="1:21" x14ac:dyDescent="0.25">
      <c r="A51" s="792"/>
      <c r="B51" s="792"/>
      <c r="C51" s="192">
        <v>0</v>
      </c>
      <c r="D51" s="192">
        <v>0</v>
      </c>
      <c r="E51" s="147">
        <f t="shared" ref="E51:E58" si="10">IF(D$59=0,C51*2,C51+D51)</f>
        <v>0</v>
      </c>
      <c r="F51" s="52" t="s">
        <v>21</v>
      </c>
      <c r="G51" s="52">
        <v>252</v>
      </c>
      <c r="H51" s="485">
        <f>'0664'!H51</f>
        <v>3380</v>
      </c>
      <c r="I51" s="120">
        <f t="shared" ref="I51:I58" si="11">ROUND(E51*H51,2)</f>
        <v>0</v>
      </c>
      <c r="N51" s="863"/>
      <c r="O51" s="863"/>
      <c r="P51" s="865"/>
      <c r="Q51" s="865"/>
      <c r="R51" s="43" t="s">
        <v>21</v>
      </c>
      <c r="S51" s="43">
        <v>252</v>
      </c>
      <c r="T51" s="138">
        <f t="shared" ref="T51:T58" si="12">H51</f>
        <v>3380</v>
      </c>
      <c r="U51" s="139">
        <f t="shared" ref="U51:U58" si="13">ROUND(P51*T51,0)</f>
        <v>0</v>
      </c>
    </row>
    <row r="52" spans="1:21" x14ac:dyDescent="0.25">
      <c r="A52" s="792"/>
      <c r="B52" s="792"/>
      <c r="C52" s="192">
        <v>0</v>
      </c>
      <c r="D52" s="192">
        <v>0</v>
      </c>
      <c r="E52" s="147">
        <f t="shared" si="10"/>
        <v>0</v>
      </c>
      <c r="F52" s="52" t="s">
        <v>21</v>
      </c>
      <c r="G52" s="52">
        <v>253</v>
      </c>
      <c r="H52" s="485">
        <f>'0664'!H52</f>
        <v>6896</v>
      </c>
      <c r="I52" s="120">
        <f t="shared" si="11"/>
        <v>0</v>
      </c>
      <c r="N52" s="863"/>
      <c r="O52" s="863"/>
      <c r="P52" s="865"/>
      <c r="Q52" s="865"/>
      <c r="R52" s="43" t="s">
        <v>21</v>
      </c>
      <c r="S52" s="43">
        <v>253</v>
      </c>
      <c r="T52" s="138">
        <f t="shared" si="12"/>
        <v>6896</v>
      </c>
      <c r="U52" s="139">
        <f t="shared" si="13"/>
        <v>0</v>
      </c>
    </row>
    <row r="53" spans="1:21" x14ac:dyDescent="0.25">
      <c r="A53" s="792"/>
      <c r="B53" s="792"/>
      <c r="C53" s="192">
        <v>0</v>
      </c>
      <c r="D53" s="192">
        <v>0</v>
      </c>
      <c r="E53" s="147">
        <f t="shared" si="10"/>
        <v>0</v>
      </c>
      <c r="F53" s="143" t="s">
        <v>14</v>
      </c>
      <c r="G53" s="52">
        <v>251</v>
      </c>
      <c r="H53" s="485">
        <f>'0664'!H53</f>
        <v>1173</v>
      </c>
      <c r="I53" s="120">
        <f t="shared" si="11"/>
        <v>0</v>
      </c>
      <c r="N53" s="863"/>
      <c r="O53" s="863"/>
      <c r="P53" s="865"/>
      <c r="Q53" s="865"/>
      <c r="R53" s="45" t="s">
        <v>14</v>
      </c>
      <c r="S53" s="43">
        <v>251</v>
      </c>
      <c r="T53" s="138">
        <f t="shared" si="12"/>
        <v>1173</v>
      </c>
      <c r="U53" s="139">
        <f t="shared" si="13"/>
        <v>0</v>
      </c>
    </row>
    <row r="54" spans="1:21" x14ac:dyDescent="0.25">
      <c r="A54" s="792"/>
      <c r="B54" s="792"/>
      <c r="C54" s="192">
        <v>0</v>
      </c>
      <c r="D54" s="192">
        <v>0</v>
      </c>
      <c r="E54" s="147">
        <f t="shared" si="10"/>
        <v>0</v>
      </c>
      <c r="F54" s="143" t="s">
        <v>14</v>
      </c>
      <c r="G54" s="52">
        <v>252</v>
      </c>
      <c r="H54" s="485">
        <f>'0664'!H54</f>
        <v>3506</v>
      </c>
      <c r="I54" s="120">
        <f t="shared" si="11"/>
        <v>0</v>
      </c>
      <c r="N54" s="863"/>
      <c r="O54" s="863"/>
      <c r="P54" s="865"/>
      <c r="Q54" s="865"/>
      <c r="R54" s="45" t="s">
        <v>14</v>
      </c>
      <c r="S54" s="43">
        <v>252</v>
      </c>
      <c r="T54" s="138">
        <f t="shared" si="12"/>
        <v>3506</v>
      </c>
      <c r="U54" s="139">
        <f t="shared" si="13"/>
        <v>0</v>
      </c>
    </row>
    <row r="55" spans="1:21" x14ac:dyDescent="0.25">
      <c r="A55" s="792"/>
      <c r="B55" s="792"/>
      <c r="C55" s="192">
        <v>0</v>
      </c>
      <c r="D55" s="192">
        <v>0</v>
      </c>
      <c r="E55" s="147">
        <f t="shared" si="10"/>
        <v>0</v>
      </c>
      <c r="F55" s="143" t="s">
        <v>14</v>
      </c>
      <c r="G55" s="52">
        <v>253</v>
      </c>
      <c r="H55" s="485">
        <f>'0664'!H55</f>
        <v>7023</v>
      </c>
      <c r="I55" s="120">
        <f t="shared" si="11"/>
        <v>0</v>
      </c>
      <c r="N55" s="863"/>
      <c r="O55" s="863"/>
      <c r="P55" s="865"/>
      <c r="Q55" s="865"/>
      <c r="R55" s="45" t="s">
        <v>14</v>
      </c>
      <c r="S55" s="43">
        <v>253</v>
      </c>
      <c r="T55" s="138">
        <f t="shared" si="12"/>
        <v>7023</v>
      </c>
      <c r="U55" s="139">
        <f t="shared" si="13"/>
        <v>0</v>
      </c>
    </row>
    <row r="56" spans="1:21" x14ac:dyDescent="0.25">
      <c r="A56" s="792"/>
      <c r="B56" s="792"/>
      <c r="C56" s="192">
        <v>0</v>
      </c>
      <c r="D56" s="192">
        <v>0</v>
      </c>
      <c r="E56" s="147">
        <f t="shared" si="10"/>
        <v>0</v>
      </c>
      <c r="F56" s="143" t="s">
        <v>15</v>
      </c>
      <c r="G56" s="52">
        <v>251</v>
      </c>
      <c r="H56" s="485">
        <f>'0664'!H56</f>
        <v>835</v>
      </c>
      <c r="I56" s="120">
        <f t="shared" si="11"/>
        <v>0</v>
      </c>
      <c r="N56" s="863"/>
      <c r="O56" s="863"/>
      <c r="P56" s="865"/>
      <c r="Q56" s="865"/>
      <c r="R56" s="45" t="s">
        <v>15</v>
      </c>
      <c r="S56" s="43">
        <v>251</v>
      </c>
      <c r="T56" s="138">
        <f t="shared" si="12"/>
        <v>835</v>
      </c>
      <c r="U56" s="139">
        <f t="shared" si="13"/>
        <v>0</v>
      </c>
    </row>
    <row r="57" spans="1:21" x14ac:dyDescent="0.25">
      <c r="A57" s="792"/>
      <c r="B57" s="792"/>
      <c r="C57" s="192">
        <v>0</v>
      </c>
      <c r="D57" s="192">
        <v>0</v>
      </c>
      <c r="E57" s="147">
        <f t="shared" si="10"/>
        <v>0</v>
      </c>
      <c r="F57" s="143" t="s">
        <v>15</v>
      </c>
      <c r="G57" s="52">
        <v>252</v>
      </c>
      <c r="H57" s="485">
        <f>'0664'!H57</f>
        <v>3168</v>
      </c>
      <c r="I57" s="120">
        <f t="shared" si="11"/>
        <v>0</v>
      </c>
      <c r="N57" s="863"/>
      <c r="O57" s="863"/>
      <c r="P57" s="865"/>
      <c r="Q57" s="865"/>
      <c r="R57" s="45" t="s">
        <v>15</v>
      </c>
      <c r="S57" s="43">
        <v>252</v>
      </c>
      <c r="T57" s="138">
        <f t="shared" si="12"/>
        <v>3168</v>
      </c>
      <c r="U57" s="139">
        <f t="shared" si="13"/>
        <v>0</v>
      </c>
    </row>
    <row r="58" spans="1:21" ht="16.5" thickBot="1" x14ac:dyDescent="0.3">
      <c r="A58" s="792"/>
      <c r="B58" s="792"/>
      <c r="C58" s="192">
        <v>0</v>
      </c>
      <c r="D58" s="192">
        <v>0</v>
      </c>
      <c r="E58" s="147">
        <f t="shared" si="10"/>
        <v>0</v>
      </c>
      <c r="F58" s="143" t="s">
        <v>15</v>
      </c>
      <c r="G58" s="52">
        <v>253</v>
      </c>
      <c r="H58" s="485">
        <f>'0664'!H58</f>
        <v>6685</v>
      </c>
      <c r="I58" s="120">
        <f t="shared" si="11"/>
        <v>0</v>
      </c>
      <c r="N58" s="863"/>
      <c r="O58" s="863"/>
      <c r="P58" s="866"/>
      <c r="Q58" s="866"/>
      <c r="R58" s="45" t="s">
        <v>15</v>
      </c>
      <c r="S58" s="43">
        <v>253</v>
      </c>
      <c r="T58" s="138">
        <f t="shared" si="12"/>
        <v>6685</v>
      </c>
      <c r="U58" s="141">
        <f t="shared" si="13"/>
        <v>0</v>
      </c>
    </row>
    <row r="59" spans="1:21" ht="16.5" thickBot="1" x14ac:dyDescent="0.3">
      <c r="A59" s="767" t="s">
        <v>16</v>
      </c>
      <c r="B59" s="767"/>
      <c r="C59" s="116">
        <f>SUM(C50:C58)</f>
        <v>0</v>
      </c>
      <c r="D59" s="116">
        <f>SUM(D50:D58)</f>
        <v>0</v>
      </c>
      <c r="E59" s="116">
        <f>SUM(E50:E58)</f>
        <v>0</v>
      </c>
      <c r="F59" s="767" t="s">
        <v>78</v>
      </c>
      <c r="G59" s="767"/>
      <c r="H59" s="767"/>
      <c r="I59" s="116">
        <f>SUM(I50:I58)</f>
        <v>0</v>
      </c>
      <c r="N59" s="857" t="s">
        <v>16</v>
      </c>
      <c r="O59" s="857"/>
      <c r="P59" s="858">
        <f>SUM(P50:P58)</f>
        <v>0</v>
      </c>
      <c r="Q59" s="858"/>
      <c r="R59" s="857" t="s">
        <v>78</v>
      </c>
      <c r="S59" s="857"/>
      <c r="T59" s="857"/>
      <c r="U59" s="130">
        <f>SUM(U50:U58)</f>
        <v>0</v>
      </c>
    </row>
    <row r="60" spans="1:21" x14ac:dyDescent="0.25">
      <c r="A60" s="776"/>
      <c r="B60" s="776"/>
      <c r="C60" s="776"/>
      <c r="D60" s="776"/>
      <c r="E60" s="776"/>
      <c r="F60" s="776"/>
      <c r="G60" s="776"/>
      <c r="H60" s="776"/>
      <c r="I60" s="776"/>
      <c r="N60" s="859"/>
      <c r="O60" s="859"/>
      <c r="P60" s="859"/>
      <c r="Q60" s="859"/>
      <c r="R60" s="859"/>
      <c r="S60" s="859"/>
      <c r="T60" s="859"/>
      <c r="U60" s="859"/>
    </row>
    <row r="61" spans="1:21" x14ac:dyDescent="0.25">
      <c r="A61" s="765" t="s">
        <v>138</v>
      </c>
      <c r="B61" s="764"/>
      <c r="C61" s="764"/>
      <c r="D61" s="764"/>
      <c r="E61" s="764"/>
      <c r="F61" s="764"/>
      <c r="G61" s="764"/>
      <c r="H61" s="764"/>
      <c r="I61" s="764"/>
      <c r="N61" s="840" t="s">
        <v>90</v>
      </c>
      <c r="O61" s="840"/>
      <c r="P61" s="840"/>
      <c r="Q61" s="840"/>
      <c r="R61" s="840"/>
      <c r="S61" s="840"/>
      <c r="T61" s="840"/>
      <c r="U61" s="840"/>
    </row>
    <row r="62" spans="1:21" x14ac:dyDescent="0.25">
      <c r="A62" s="765" t="s">
        <v>140</v>
      </c>
      <c r="B62" s="764"/>
      <c r="C62" s="142">
        <f>E29</f>
        <v>149.01999999999998</v>
      </c>
      <c r="D62" s="882" t="s">
        <v>137</v>
      </c>
      <c r="E62" s="882"/>
      <c r="F62" s="882"/>
      <c r="G62" s="882"/>
      <c r="H62" s="542">
        <f>'0664'!H62</f>
        <v>190754.06</v>
      </c>
      <c r="I62" s="144"/>
      <c r="N62" s="860" t="s">
        <v>327</v>
      </c>
      <c r="O62" s="840"/>
      <c r="P62" s="46">
        <f>P29</f>
        <v>149.01999999999998</v>
      </c>
      <c r="Q62" s="861" t="s">
        <v>79</v>
      </c>
      <c r="R62" s="861"/>
      <c r="S62" s="861"/>
      <c r="T62" s="862">
        <f>H62</f>
        <v>190754.06</v>
      </c>
      <c r="U62" s="862"/>
    </row>
    <row r="63" spans="1:21" x14ac:dyDescent="0.25">
      <c r="B63" s="86"/>
      <c r="G63" s="47" t="s">
        <v>13</v>
      </c>
      <c r="H63" s="145">
        <f>ROUND(C62/H62,6)</f>
        <v>7.8100000000000001E-4</v>
      </c>
      <c r="I63" s="146"/>
      <c r="N63" s="840" t="s">
        <v>19</v>
      </c>
      <c r="O63" s="840"/>
      <c r="P63" s="840"/>
      <c r="Q63" s="840"/>
      <c r="R63" s="840"/>
      <c r="S63" s="840"/>
      <c r="T63" s="868">
        <f>ROUND(P62/T62,6)</f>
        <v>7.8100000000000001E-4</v>
      </c>
      <c r="U63" s="868"/>
    </row>
    <row r="64" spans="1:21" x14ac:dyDescent="0.25">
      <c r="A64" s="765" t="s">
        <v>139</v>
      </c>
      <c r="B64" s="764"/>
      <c r="C64" s="764"/>
      <c r="D64" s="764"/>
      <c r="E64" s="764"/>
      <c r="F64" s="764"/>
      <c r="G64" s="764"/>
      <c r="H64" s="764"/>
      <c r="I64" s="764"/>
      <c r="N64" s="840" t="s">
        <v>91</v>
      </c>
      <c r="O64" s="840"/>
      <c r="P64" s="840"/>
      <c r="Q64" s="840"/>
      <c r="R64" s="840"/>
      <c r="S64" s="840"/>
      <c r="T64" s="840"/>
      <c r="U64" s="840"/>
    </row>
    <row r="65" spans="1:21" x14ac:dyDescent="0.25">
      <c r="A65" s="765" t="s">
        <v>141</v>
      </c>
      <c r="B65" s="764"/>
      <c r="C65" s="142">
        <f>E45</f>
        <v>616.38099999999997</v>
      </c>
      <c r="D65" s="882" t="s">
        <v>142</v>
      </c>
      <c r="E65" s="882"/>
      <c r="F65" s="882"/>
      <c r="G65" s="882"/>
      <c r="H65" s="543">
        <f>'0664'!H65</f>
        <v>214462.41</v>
      </c>
      <c r="I65" s="147"/>
      <c r="N65" s="840" t="s">
        <v>81</v>
      </c>
      <c r="O65" s="840"/>
      <c r="P65" s="46">
        <f>R45</f>
        <v>149.02000000000001</v>
      </c>
      <c r="Q65" s="861" t="s">
        <v>80</v>
      </c>
      <c r="R65" s="861"/>
      <c r="S65" s="861"/>
      <c r="T65" s="862">
        <f>H65</f>
        <v>214462.41</v>
      </c>
      <c r="U65" s="862"/>
    </row>
    <row r="66" spans="1:21" s="38" customFormat="1" x14ac:dyDescent="0.25">
      <c r="A66" s="148"/>
      <c r="G66" s="48" t="s">
        <v>13</v>
      </c>
      <c r="H66" s="149">
        <f>ROUND(C65/H65,6)</f>
        <v>2.8739999999999998E-3</v>
      </c>
      <c r="I66" s="149"/>
      <c r="N66" s="845" t="s">
        <v>20</v>
      </c>
      <c r="O66" s="845"/>
      <c r="P66" s="845"/>
      <c r="Q66" s="845"/>
      <c r="R66" s="845"/>
      <c r="S66" s="845"/>
      <c r="T66" s="867">
        <f>ROUND(P65/T65,6)</f>
        <v>6.9499999999999998E-4</v>
      </c>
      <c r="U66" s="867"/>
    </row>
    <row r="67" spans="1:21" s="61" customFormat="1" x14ac:dyDescent="0.25">
      <c r="A67" s="443"/>
      <c r="G67" s="47"/>
      <c r="H67" s="150"/>
      <c r="I67" s="150"/>
      <c r="N67" s="151"/>
      <c r="O67" s="151"/>
      <c r="P67" s="151"/>
      <c r="Q67" s="151"/>
      <c r="R67" s="152"/>
      <c r="S67" s="151"/>
      <c r="T67" s="153"/>
      <c r="U67" s="154"/>
    </row>
    <row r="68" spans="1:21" x14ac:dyDescent="0.25">
      <c r="A68" s="764" t="s">
        <v>87</v>
      </c>
      <c r="B68" s="764"/>
      <c r="C68" s="764"/>
      <c r="D68" s="86"/>
      <c r="E68" s="71" t="s">
        <v>3</v>
      </c>
      <c r="F68" s="544">
        <f>'0664'!F68</f>
        <v>42029577</v>
      </c>
      <c r="G68" s="40" t="s">
        <v>6</v>
      </c>
      <c r="H68" s="155">
        <f>H63</f>
        <v>7.8100000000000001E-4</v>
      </c>
      <c r="I68" s="120">
        <f>ROUND(F68*H68,2)</f>
        <v>32825.1</v>
      </c>
      <c r="N68" s="840" t="s">
        <v>87</v>
      </c>
      <c r="O68" s="840"/>
      <c r="P68" s="840"/>
      <c r="Q68" s="50"/>
      <c r="R68" s="156">
        <f>F68</f>
        <v>42029577</v>
      </c>
      <c r="S68" s="42" t="s">
        <v>6</v>
      </c>
      <c r="T68" s="157">
        <f>T63</f>
        <v>7.8100000000000001E-4</v>
      </c>
      <c r="U68" s="115">
        <f>ROUND(R68*T68,0)</f>
        <v>32825</v>
      </c>
    </row>
    <row r="69" spans="1:21" x14ac:dyDescent="0.25">
      <c r="A69" s="811" t="s">
        <v>98</v>
      </c>
      <c r="B69" s="764"/>
      <c r="C69" s="764"/>
      <c r="D69" s="86"/>
      <c r="E69" s="71"/>
      <c r="F69" s="161"/>
      <c r="G69" s="40"/>
      <c r="H69" s="155"/>
      <c r="I69" s="120"/>
      <c r="N69" s="840" t="s">
        <v>86</v>
      </c>
      <c r="O69" s="840"/>
      <c r="P69" s="840"/>
      <c r="Q69" s="158"/>
      <c r="R69" s="158"/>
      <c r="S69" s="158"/>
      <c r="T69" s="158"/>
      <c r="U69" s="158"/>
    </row>
    <row r="70" spans="1:21" x14ac:dyDescent="0.25">
      <c r="A70" s="813" t="s">
        <v>143</v>
      </c>
      <c r="B70" s="764"/>
      <c r="C70" s="764"/>
      <c r="D70" s="86"/>
      <c r="E70" s="71" t="s">
        <v>3</v>
      </c>
      <c r="F70" s="544">
        <f>'0664'!F70</f>
        <v>0</v>
      </c>
      <c r="G70" s="40" t="s">
        <v>6</v>
      </c>
      <c r="H70" s="155">
        <f>H63</f>
        <v>7.8100000000000001E-4</v>
      </c>
      <c r="I70" s="120">
        <f>ROUND(F70*H70,2)</f>
        <v>0</v>
      </c>
      <c r="N70" s="51"/>
      <c r="O70" s="51"/>
      <c r="P70" s="51"/>
      <c r="Q70" s="50"/>
      <c r="R70" s="156">
        <f>F70</f>
        <v>0</v>
      </c>
      <c r="S70" s="42" t="s">
        <v>6</v>
      </c>
      <c r="T70" s="157">
        <f>T63</f>
        <v>7.8100000000000001E-4</v>
      </c>
      <c r="U70" s="115">
        <f>ROUND(R70*T70,0)</f>
        <v>0</v>
      </c>
    </row>
    <row r="71" spans="1:21" x14ac:dyDescent="0.25">
      <c r="A71" s="764" t="s">
        <v>85</v>
      </c>
      <c r="B71" s="764"/>
      <c r="C71" s="764"/>
      <c r="D71" s="556" t="s">
        <v>358</v>
      </c>
      <c r="E71" s="610" t="s">
        <v>372</v>
      </c>
      <c r="F71" s="544">
        <f>'0664'!F71</f>
        <v>146607</v>
      </c>
      <c r="G71" s="40" t="s">
        <v>6</v>
      </c>
      <c r="H71" s="155">
        <f>H63</f>
        <v>7.8100000000000001E-4</v>
      </c>
      <c r="I71" s="120">
        <f>IF(D71="Y",ROUND(F71*H71,2),0)</f>
        <v>114.5</v>
      </c>
      <c r="N71" s="840" t="s">
        <v>85</v>
      </c>
      <c r="O71" s="840"/>
      <c r="P71" s="840"/>
      <c r="Q71" s="50"/>
      <c r="R71" s="156">
        <f>F71</f>
        <v>146607</v>
      </c>
      <c r="S71" s="42" t="s">
        <v>6</v>
      </c>
      <c r="T71" s="157">
        <f>T63</f>
        <v>7.8100000000000001E-4</v>
      </c>
      <c r="U71" s="115">
        <f>ROUND(R71*T71,0)</f>
        <v>115</v>
      </c>
    </row>
    <row r="72" spans="1:21" x14ac:dyDescent="0.25">
      <c r="A72" s="764" t="s">
        <v>84</v>
      </c>
      <c r="B72" s="764"/>
      <c r="C72" s="764"/>
      <c r="D72" s="86"/>
      <c r="E72" s="71" t="s">
        <v>3</v>
      </c>
      <c r="F72" s="544">
        <f>'0664'!F72</f>
        <v>11337910</v>
      </c>
      <c r="G72" s="40" t="s">
        <v>6</v>
      </c>
      <c r="H72" s="155">
        <f>H63</f>
        <v>7.8100000000000001E-4</v>
      </c>
      <c r="I72" s="120">
        <f>ROUND(F72*H72,2)</f>
        <v>8854.91</v>
      </c>
      <c r="N72" s="840" t="s">
        <v>84</v>
      </c>
      <c r="O72" s="840"/>
      <c r="P72" s="840"/>
      <c r="Q72" s="50"/>
      <c r="R72" s="156">
        <f>F72</f>
        <v>11337910</v>
      </c>
      <c r="S72" s="42" t="s">
        <v>6</v>
      </c>
      <c r="T72" s="157">
        <f>T63</f>
        <v>7.8100000000000001E-4</v>
      </c>
      <c r="U72" s="115">
        <f>ROUND(R72*T72,0)</f>
        <v>8855</v>
      </c>
    </row>
    <row r="73" spans="1:21" x14ac:dyDescent="0.25">
      <c r="A73" s="764" t="s">
        <v>83</v>
      </c>
      <c r="B73" s="764"/>
      <c r="C73" s="764"/>
      <c r="D73" s="86"/>
      <c r="E73" s="71" t="s">
        <v>3</v>
      </c>
      <c r="F73" s="544">
        <f>'0664'!F73</f>
        <v>13882385</v>
      </c>
      <c r="G73" s="40" t="s">
        <v>6</v>
      </c>
      <c r="H73" s="155">
        <f>H63</f>
        <v>7.8100000000000001E-4</v>
      </c>
      <c r="I73" s="120">
        <f>ROUND(F73*H73,2)</f>
        <v>10842.14</v>
      </c>
      <c r="N73" s="840" t="s">
        <v>83</v>
      </c>
      <c r="O73" s="840"/>
      <c r="P73" s="840"/>
      <c r="Q73" s="50"/>
      <c r="R73" s="159">
        <f>F73</f>
        <v>13882385</v>
      </c>
      <c r="S73" s="42" t="s">
        <v>6</v>
      </c>
      <c r="T73" s="157">
        <f>T63</f>
        <v>7.8100000000000001E-4</v>
      </c>
      <c r="U73" s="115">
        <f>ROUND(R73*T73,0)</f>
        <v>10842</v>
      </c>
    </row>
    <row r="74" spans="1:21" x14ac:dyDescent="0.25">
      <c r="A74" s="337" t="s">
        <v>101</v>
      </c>
      <c r="D74" s="86"/>
      <c r="E74" s="611" t="s">
        <v>373</v>
      </c>
      <c r="F74" s="780"/>
      <c r="G74" s="780"/>
      <c r="H74" s="780"/>
      <c r="I74" s="120">
        <v>0</v>
      </c>
      <c r="N74" s="872" t="s">
        <v>120</v>
      </c>
      <c r="O74" s="872"/>
      <c r="P74" s="872"/>
      <c r="Q74" s="872"/>
      <c r="R74" s="872"/>
      <c r="S74" s="872"/>
      <c r="T74" s="872"/>
      <c r="U74" s="115">
        <f>IF($H$116=1,I74,0)</f>
        <v>0</v>
      </c>
    </row>
    <row r="75" spans="1:21" x14ac:dyDescent="0.25">
      <c r="A75" s="338" t="s">
        <v>144</v>
      </c>
      <c r="I75" s="120"/>
      <c r="N75" s="872" t="s">
        <v>43</v>
      </c>
      <c r="O75" s="872"/>
      <c r="P75" s="872"/>
      <c r="Q75" s="872"/>
      <c r="R75" s="872"/>
      <c r="S75" s="872"/>
      <c r="T75" s="872"/>
      <c r="U75" s="115">
        <f>IF($H$116=1,I75,0)</f>
        <v>0</v>
      </c>
    </row>
    <row r="76" spans="1:21" x14ac:dyDescent="0.25">
      <c r="A76" s="488" t="s">
        <v>103</v>
      </c>
      <c r="B76" s="86"/>
      <c r="C76" s="86"/>
      <c r="D76" s="86"/>
      <c r="E76" s="86"/>
      <c r="F76" s="86"/>
      <c r="G76" s="86"/>
      <c r="H76" s="86"/>
      <c r="I76" s="160"/>
      <c r="N76" s="687" t="s">
        <v>44</v>
      </c>
      <c r="O76" s="51"/>
      <c r="P76" s="51"/>
      <c r="Q76" s="51"/>
      <c r="R76" s="51"/>
      <c r="S76" s="51"/>
      <c r="T76" s="51"/>
      <c r="U76" s="122"/>
    </row>
    <row r="77" spans="1:21" x14ac:dyDescent="0.25">
      <c r="A77" s="765" t="s">
        <v>387</v>
      </c>
      <c r="B77" s="764"/>
      <c r="C77" s="764"/>
      <c r="D77" s="607"/>
      <c r="E77" s="610" t="s">
        <v>3</v>
      </c>
      <c r="F77" s="544">
        <f>'0664'!F77</f>
        <v>7462542</v>
      </c>
      <c r="G77" s="608" t="s">
        <v>6</v>
      </c>
      <c r="H77" s="155">
        <f>H63</f>
        <v>7.8100000000000001E-4</v>
      </c>
      <c r="I77" s="120">
        <f t="shared" ref="I77:I82" si="14">ROUND(F77*H77,2)</f>
        <v>5828.25</v>
      </c>
      <c r="N77" s="860" t="s">
        <v>387</v>
      </c>
      <c r="O77" s="840"/>
      <c r="P77" s="840"/>
      <c r="Q77" s="50"/>
      <c r="R77" s="159">
        <f t="shared" ref="R77:R83" si="15">F77</f>
        <v>7462542</v>
      </c>
      <c r="S77" s="609" t="s">
        <v>6</v>
      </c>
      <c r="T77" s="157">
        <f>T64</f>
        <v>0</v>
      </c>
      <c r="U77" s="115">
        <f t="shared" ref="U77:U82" si="16">ROUND(R77*T77,0)</f>
        <v>0</v>
      </c>
    </row>
    <row r="78" spans="1:21" x14ac:dyDescent="0.25">
      <c r="A78" s="765" t="s">
        <v>388</v>
      </c>
      <c r="B78" s="764"/>
      <c r="C78" s="764"/>
      <c r="D78" s="607"/>
      <c r="E78" s="610" t="s">
        <v>3</v>
      </c>
      <c r="F78" s="544">
        <f>'0664'!F78</f>
        <v>0</v>
      </c>
      <c r="G78" s="608" t="s">
        <v>6</v>
      </c>
      <c r="H78" s="155">
        <f>H63</f>
        <v>7.8100000000000001E-4</v>
      </c>
      <c r="I78" s="120">
        <f t="shared" si="14"/>
        <v>0</v>
      </c>
      <c r="N78" s="840" t="s">
        <v>388</v>
      </c>
      <c r="O78" s="840"/>
      <c r="P78" s="840"/>
      <c r="Q78" s="50"/>
      <c r="R78" s="159">
        <f t="shared" si="15"/>
        <v>0</v>
      </c>
      <c r="S78" s="609" t="s">
        <v>6</v>
      </c>
      <c r="T78" s="157">
        <f>T64</f>
        <v>0</v>
      </c>
      <c r="U78" s="115">
        <f t="shared" si="16"/>
        <v>0</v>
      </c>
    </row>
    <row r="79" spans="1:21" x14ac:dyDescent="0.25">
      <c r="A79" s="765" t="s">
        <v>414</v>
      </c>
      <c r="B79" s="764"/>
      <c r="C79" s="764"/>
      <c r="D79" s="86"/>
      <c r="E79" s="71" t="s">
        <v>4</v>
      </c>
      <c r="F79" s="544">
        <f>'0664'!F79</f>
        <v>0</v>
      </c>
      <c r="G79" s="40" t="s">
        <v>6</v>
      </c>
      <c r="H79" s="155">
        <f>H66</f>
        <v>2.8739999999999998E-3</v>
      </c>
      <c r="I79" s="120">
        <f t="shared" si="14"/>
        <v>0</v>
      </c>
      <c r="N79" s="860" t="s">
        <v>414</v>
      </c>
      <c r="O79" s="840"/>
      <c r="P79" s="840"/>
      <c r="Q79" s="50"/>
      <c r="R79" s="159">
        <f t="shared" si="15"/>
        <v>0</v>
      </c>
      <c r="S79" s="42" t="s">
        <v>6</v>
      </c>
      <c r="T79" s="157">
        <f>T66</f>
        <v>6.9499999999999998E-4</v>
      </c>
      <c r="U79" s="115">
        <f t="shared" si="16"/>
        <v>0</v>
      </c>
    </row>
    <row r="80" spans="1:21" x14ac:dyDescent="0.25">
      <c r="A80" s="765" t="s">
        <v>415</v>
      </c>
      <c r="B80" s="764"/>
      <c r="C80" s="764"/>
      <c r="D80" s="86"/>
      <c r="E80" s="71" t="s">
        <v>4</v>
      </c>
      <c r="F80" s="544">
        <f>'0664'!F80</f>
        <v>8562788</v>
      </c>
      <c r="G80" s="40" t="s">
        <v>6</v>
      </c>
      <c r="H80" s="155">
        <f>H66</f>
        <v>2.8739999999999998E-3</v>
      </c>
      <c r="I80" s="120">
        <f t="shared" si="14"/>
        <v>24609.45</v>
      </c>
      <c r="N80" s="860" t="s">
        <v>415</v>
      </c>
      <c r="O80" s="840"/>
      <c r="P80" s="840"/>
      <c r="Q80" s="50"/>
      <c r="R80" s="159">
        <f t="shared" si="15"/>
        <v>8562788</v>
      </c>
      <c r="S80" s="42" t="s">
        <v>6</v>
      </c>
      <c r="T80" s="157">
        <f>T66</f>
        <v>6.9499999999999998E-4</v>
      </c>
      <c r="U80" s="115">
        <f t="shared" si="16"/>
        <v>5951</v>
      </c>
    </row>
    <row r="81" spans="1:21" x14ac:dyDescent="0.25">
      <c r="A81" s="765" t="s">
        <v>419</v>
      </c>
      <c r="B81" s="764"/>
      <c r="C81" s="764"/>
      <c r="D81" s="86"/>
      <c r="E81" s="71" t="s">
        <v>4</v>
      </c>
      <c r="F81" s="544">
        <f>'0664'!F81</f>
        <v>168663228</v>
      </c>
      <c r="G81" s="40" t="s">
        <v>6</v>
      </c>
      <c r="H81" s="155">
        <f>H66</f>
        <v>2.8739999999999998E-3</v>
      </c>
      <c r="I81" s="120">
        <f t="shared" si="14"/>
        <v>484738.12</v>
      </c>
      <c r="N81" s="860" t="s">
        <v>419</v>
      </c>
      <c r="O81" s="840"/>
      <c r="P81" s="840"/>
      <c r="Q81" s="50"/>
      <c r="R81" s="159">
        <f t="shared" si="15"/>
        <v>168663228</v>
      </c>
      <c r="S81" s="42" t="s">
        <v>6</v>
      </c>
      <c r="T81" s="157">
        <f>T66</f>
        <v>6.9499999999999998E-4</v>
      </c>
      <c r="U81" s="115">
        <f t="shared" si="16"/>
        <v>117221</v>
      </c>
    </row>
    <row r="82" spans="1:21" x14ac:dyDescent="0.25">
      <c r="A82" s="765" t="s">
        <v>420</v>
      </c>
      <c r="B82" s="764"/>
      <c r="C82" s="764"/>
      <c r="D82" s="86"/>
      <c r="E82" s="71" t="s">
        <v>4</v>
      </c>
      <c r="F82" s="544">
        <f>'0664'!F82</f>
        <v>0</v>
      </c>
      <c r="G82" s="40" t="s">
        <v>6</v>
      </c>
      <c r="H82" s="155">
        <f>H66</f>
        <v>2.8739999999999998E-3</v>
      </c>
      <c r="I82" s="120">
        <f t="shared" si="14"/>
        <v>0</v>
      </c>
      <c r="N82" s="860" t="s">
        <v>420</v>
      </c>
      <c r="O82" s="840"/>
      <c r="P82" s="840"/>
      <c r="Q82" s="50"/>
      <c r="R82" s="156">
        <f t="shared" si="15"/>
        <v>0</v>
      </c>
      <c r="S82" s="42" t="s">
        <v>6</v>
      </c>
      <c r="T82" s="157">
        <f>T66</f>
        <v>6.9499999999999998E-4</v>
      </c>
      <c r="U82" s="115">
        <f t="shared" si="16"/>
        <v>0</v>
      </c>
    </row>
    <row r="83" spans="1:21" x14ac:dyDescent="0.25">
      <c r="A83" s="717" t="s">
        <v>425</v>
      </c>
      <c r="B83" s="443"/>
      <c r="C83" s="443"/>
      <c r="D83" s="443"/>
      <c r="E83" s="683" t="s">
        <v>45</v>
      </c>
      <c r="F83" s="544"/>
      <c r="G83" s="445"/>
      <c r="H83" s="155"/>
      <c r="I83" s="120">
        <v>98090.43</v>
      </c>
      <c r="N83" s="719" t="s">
        <v>425</v>
      </c>
      <c r="O83" s="444"/>
      <c r="P83" s="444"/>
      <c r="Q83" s="50"/>
      <c r="R83" s="159">
        <f t="shared" si="15"/>
        <v>0</v>
      </c>
      <c r="S83" s="446" t="s">
        <v>6</v>
      </c>
      <c r="T83" s="157">
        <f>T66</f>
        <v>6.9499999999999998E-4</v>
      </c>
      <c r="U83" s="115">
        <f>IF($H$116=1,I83,0)</f>
        <v>98090.43</v>
      </c>
    </row>
    <row r="84" spans="1:21" x14ac:dyDescent="0.25">
      <c r="A84" s="765" t="s">
        <v>457</v>
      </c>
      <c r="B84" s="764"/>
      <c r="C84" s="764"/>
      <c r="D84" s="744"/>
      <c r="E84" s="747" t="s">
        <v>3</v>
      </c>
      <c r="F84" s="544">
        <f>'0664'!F84</f>
        <v>21614343</v>
      </c>
      <c r="G84" s="749" t="s">
        <v>6</v>
      </c>
      <c r="H84" s="155">
        <f>H63</f>
        <v>7.8100000000000001E-4</v>
      </c>
      <c r="I84" s="120">
        <f>ROUND(F84*H84,2)</f>
        <v>16880.8</v>
      </c>
      <c r="N84" s="860" t="s">
        <v>457</v>
      </c>
      <c r="O84" s="840"/>
      <c r="P84" s="840"/>
      <c r="Q84" s="50"/>
      <c r="R84" s="156">
        <f>F84</f>
        <v>21614343</v>
      </c>
      <c r="S84" s="751" t="s">
        <v>6</v>
      </c>
      <c r="T84" s="157">
        <f>T68</f>
        <v>7.8100000000000001E-4</v>
      </c>
      <c r="U84" s="115">
        <f>ROUND(R84*T84,0)</f>
        <v>16881</v>
      </c>
    </row>
    <row r="85" spans="1:21" x14ac:dyDescent="0.25">
      <c r="A85" s="744"/>
      <c r="B85" s="744"/>
      <c r="C85" s="744"/>
      <c r="D85" s="744"/>
      <c r="E85" s="747"/>
      <c r="F85" s="161"/>
      <c r="G85" s="749"/>
      <c r="H85" s="155"/>
      <c r="I85" s="120"/>
      <c r="N85" s="750"/>
      <c r="O85" s="750"/>
      <c r="P85" s="750"/>
      <c r="Q85" s="50"/>
      <c r="R85" s="162"/>
      <c r="S85" s="751"/>
      <c r="T85" s="157"/>
      <c r="U85" s="122"/>
    </row>
    <row r="86" spans="1:21" x14ac:dyDescent="0.25">
      <c r="A86" s="765" t="s">
        <v>458</v>
      </c>
      <c r="B86" s="764"/>
      <c r="C86" s="764"/>
      <c r="D86" s="764"/>
      <c r="E86" s="764"/>
      <c r="F86" s="764"/>
      <c r="G86" s="764"/>
      <c r="H86" s="764"/>
      <c r="I86" s="764"/>
      <c r="N86" s="860" t="s">
        <v>463</v>
      </c>
      <c r="O86" s="840"/>
      <c r="P86" s="840"/>
      <c r="Q86" s="840"/>
      <c r="R86" s="840"/>
      <c r="S86" s="840"/>
      <c r="T86" s="840"/>
      <c r="U86" s="840"/>
    </row>
    <row r="87" spans="1:21" x14ac:dyDescent="0.25">
      <c r="B87" s="86"/>
      <c r="C87" s="780" t="s">
        <v>74</v>
      </c>
      <c r="D87" s="780"/>
      <c r="E87" s="86"/>
      <c r="F87" s="143" t="s">
        <v>37</v>
      </c>
      <c r="G87" s="86"/>
      <c r="H87" s="86"/>
      <c r="I87" s="86"/>
      <c r="N87" s="51"/>
      <c r="O87" s="51"/>
      <c r="P87" s="51"/>
      <c r="Q87" s="51"/>
      <c r="R87" s="51"/>
      <c r="S87" s="51"/>
      <c r="T87" s="51"/>
      <c r="U87" s="51"/>
    </row>
    <row r="88" spans="1:21" x14ac:dyDescent="0.25">
      <c r="A88" s="3"/>
      <c r="B88" s="163"/>
      <c r="C88" s="776" t="s">
        <v>146</v>
      </c>
      <c r="D88" s="776"/>
      <c r="E88" s="164" t="s">
        <v>152</v>
      </c>
      <c r="F88" s="165" t="s">
        <v>151</v>
      </c>
      <c r="G88" s="166"/>
      <c r="H88" s="166"/>
      <c r="I88" s="166"/>
      <c r="N88" s="869" t="s">
        <v>47</v>
      </c>
      <c r="O88" s="869"/>
      <c r="P88" s="870" t="s">
        <v>121</v>
      </c>
      <c r="Q88" s="870"/>
      <c r="R88" s="871" t="s">
        <v>40</v>
      </c>
      <c r="S88" s="871"/>
      <c r="T88" s="871"/>
      <c r="U88" s="871"/>
    </row>
    <row r="89" spans="1:21" x14ac:dyDescent="0.25">
      <c r="A89" s="53"/>
      <c r="B89" s="64" t="s">
        <v>150</v>
      </c>
      <c r="C89" s="781">
        <f>H13+H14+H19+H22+H25</f>
        <v>248.827</v>
      </c>
      <c r="D89" s="781"/>
      <c r="E89" s="54">
        <f>H8</f>
        <v>1.0424</v>
      </c>
      <c r="F89" s="545">
        <f>'0664'!F89</f>
        <v>966.9</v>
      </c>
      <c r="G89" s="186" t="s">
        <v>13</v>
      </c>
      <c r="H89" s="120">
        <f>ROUND(C89*E89*F89,2)</f>
        <v>250791.88</v>
      </c>
      <c r="I89" s="124"/>
      <c r="N89" s="56" t="s">
        <v>22</v>
      </c>
      <c r="O89" s="57">
        <f>T13+T14+T19+T22+T25</f>
        <v>61.02</v>
      </c>
      <c r="P89" s="875">
        <f>T8</f>
        <v>1.0424</v>
      </c>
      <c r="Q89" s="875"/>
      <c r="R89" s="58">
        <f>F89</f>
        <v>966.9</v>
      </c>
      <c r="S89" s="59" t="s">
        <v>13</v>
      </c>
      <c r="T89" s="159">
        <f>ROUND(O89*P89*R89,0)</f>
        <v>61502</v>
      </c>
      <c r="U89" s="121"/>
    </row>
    <row r="90" spans="1:21" x14ac:dyDescent="0.25">
      <c r="A90" s="60"/>
      <c r="B90" s="60" t="s">
        <v>149</v>
      </c>
      <c r="C90" s="781">
        <f>H15+H16+H20+H23+H26</f>
        <v>367.55399999999997</v>
      </c>
      <c r="D90" s="781"/>
      <c r="E90" s="54">
        <f>H8</f>
        <v>1.0424</v>
      </c>
      <c r="F90" s="545">
        <f>'0664'!F90</f>
        <v>923.19</v>
      </c>
      <c r="G90" s="186" t="s">
        <v>13</v>
      </c>
      <c r="H90" s="120">
        <f>ROUND(C90*E90*F90,2)</f>
        <v>353709.44</v>
      </c>
      <c r="I90" s="61"/>
      <c r="N90" s="62" t="s">
        <v>14</v>
      </c>
      <c r="O90" s="57">
        <f>T15+T16+T20+T23+T26</f>
        <v>88</v>
      </c>
      <c r="P90" s="875">
        <f>T8</f>
        <v>1.0424</v>
      </c>
      <c r="Q90" s="875"/>
      <c r="R90" s="58">
        <f>F90</f>
        <v>923.19</v>
      </c>
      <c r="S90" s="59" t="s">
        <v>13</v>
      </c>
      <c r="T90" s="159">
        <f>ROUND(O90*P90*R90,0)</f>
        <v>84685</v>
      </c>
      <c r="U90" s="63"/>
    </row>
    <row r="91" spans="1:21" ht="16.5" thickBot="1" x14ac:dyDescent="0.3">
      <c r="A91" s="64"/>
      <c r="B91" s="64" t="s">
        <v>148</v>
      </c>
      <c r="C91" s="781">
        <f>H17+H18+H21+H24+H27+H28</f>
        <v>0</v>
      </c>
      <c r="D91" s="781"/>
      <c r="E91" s="54">
        <f>H8</f>
        <v>1.0424</v>
      </c>
      <c r="F91" s="545">
        <f>'0664'!F91</f>
        <v>925.42</v>
      </c>
      <c r="G91" s="186" t="s">
        <v>13</v>
      </c>
      <c r="H91" s="113">
        <f>ROUND(C91*E91*F91,2)</f>
        <v>0</v>
      </c>
      <c r="I91" s="61"/>
      <c r="N91" s="65" t="s">
        <v>15</v>
      </c>
      <c r="O91" s="66">
        <f>T17+T18+T21+T24+T27+T28</f>
        <v>0</v>
      </c>
      <c r="P91" s="875">
        <f>T8</f>
        <v>1.0424</v>
      </c>
      <c r="Q91" s="875"/>
      <c r="R91" s="58">
        <f>F91</f>
        <v>925.42</v>
      </c>
      <c r="S91" s="59" t="s">
        <v>13</v>
      </c>
      <c r="T91" s="159">
        <f>ROUND(O91*P91*R91,0)</f>
        <v>0</v>
      </c>
      <c r="U91" s="63"/>
    </row>
    <row r="92" spans="1:21" ht="16.5" thickBot="1" x14ac:dyDescent="0.3">
      <c r="A92" s="67"/>
      <c r="B92" s="167" t="s">
        <v>147</v>
      </c>
      <c r="C92" s="782">
        <f>SUM(C89:C91)</f>
        <v>616.38099999999997</v>
      </c>
      <c r="D92" s="782"/>
      <c r="E92" s="168"/>
      <c r="F92" s="168"/>
      <c r="G92" s="168"/>
      <c r="H92" s="169" t="s">
        <v>145</v>
      </c>
      <c r="I92" s="120">
        <f>IF(A1=75,0,H91+H90+H89)</f>
        <v>604501.32000000007</v>
      </c>
      <c r="N92" s="70" t="s">
        <v>122</v>
      </c>
      <c r="O92" s="69">
        <f>SUM(O89:O91)</f>
        <v>149.02000000000001</v>
      </c>
      <c r="P92" s="876" t="s">
        <v>18</v>
      </c>
      <c r="Q92" s="877"/>
      <c r="R92" s="877"/>
      <c r="S92" s="877"/>
      <c r="T92" s="877"/>
      <c r="U92" s="115">
        <f>IF(N1=75,0,T91+T90+T89)</f>
        <v>146187</v>
      </c>
    </row>
    <row r="93" spans="1:21" ht="16.5" thickTop="1" x14ac:dyDescent="0.25">
      <c r="A93" s="812" t="s">
        <v>92</v>
      </c>
      <c r="B93" s="812"/>
      <c r="C93" s="812"/>
      <c r="D93" s="812"/>
      <c r="E93" s="812"/>
      <c r="F93" s="812"/>
      <c r="G93" s="812"/>
      <c r="H93" s="812"/>
      <c r="I93" s="812"/>
      <c r="N93" s="878" t="s">
        <v>92</v>
      </c>
      <c r="O93" s="878"/>
      <c r="P93" s="878"/>
      <c r="Q93" s="878"/>
      <c r="R93" s="878"/>
      <c r="S93" s="878"/>
      <c r="T93" s="878"/>
      <c r="U93" s="878"/>
    </row>
    <row r="94" spans="1:21" x14ac:dyDescent="0.25">
      <c r="A94" s="170"/>
      <c r="B94" s="170"/>
      <c r="C94" s="170"/>
      <c r="D94" s="170"/>
      <c r="E94" s="170"/>
      <c r="F94" s="170"/>
      <c r="G94" s="170"/>
      <c r="H94" s="170"/>
      <c r="I94" s="170"/>
      <c r="N94" s="171"/>
      <c r="O94" s="171"/>
      <c r="P94" s="171"/>
      <c r="Q94" s="171"/>
      <c r="R94" s="171"/>
      <c r="S94" s="171"/>
      <c r="T94" s="171"/>
      <c r="U94" s="171"/>
    </row>
    <row r="95" spans="1:21" x14ac:dyDescent="0.25">
      <c r="A95" s="745" t="s">
        <v>459</v>
      </c>
      <c r="C95" s="71"/>
      <c r="D95" s="86"/>
      <c r="E95" s="683" t="s">
        <v>102</v>
      </c>
      <c r="F95" s="774"/>
      <c r="G95" s="774"/>
      <c r="H95" s="774"/>
      <c r="I95" s="774"/>
      <c r="N95" s="860" t="s">
        <v>459</v>
      </c>
      <c r="O95" s="840"/>
      <c r="P95" s="840"/>
      <c r="Q95" s="879"/>
      <c r="R95" s="879"/>
      <c r="S95" s="879"/>
      <c r="T95" s="879"/>
      <c r="U95" s="122"/>
    </row>
    <row r="96" spans="1:21" x14ac:dyDescent="0.25">
      <c r="B96" s="86"/>
      <c r="C96" s="600" t="s">
        <v>435</v>
      </c>
      <c r="D96" s="669" t="s">
        <v>436</v>
      </c>
      <c r="E96" s="108" t="s">
        <v>153</v>
      </c>
      <c r="F96" s="71"/>
      <c r="G96" s="71"/>
      <c r="H96" s="71"/>
      <c r="I96" s="71"/>
      <c r="N96" s="51"/>
      <c r="O96" s="51"/>
      <c r="P96" s="51"/>
      <c r="Q96" s="172"/>
      <c r="R96" s="172"/>
      <c r="S96" s="172"/>
      <c r="T96" s="172"/>
      <c r="U96" s="122"/>
    </row>
    <row r="97" spans="1:21" x14ac:dyDescent="0.25">
      <c r="B97" s="86"/>
      <c r="C97" s="622" t="s">
        <v>2</v>
      </c>
      <c r="D97" s="622" t="s">
        <v>2</v>
      </c>
      <c r="E97" s="622" t="s">
        <v>2</v>
      </c>
      <c r="F97" s="71"/>
      <c r="G97" s="71"/>
      <c r="H97" s="71"/>
      <c r="I97" s="71"/>
      <c r="N97" s="51"/>
      <c r="O97" s="51"/>
      <c r="P97" s="51"/>
      <c r="Q97" s="172"/>
      <c r="R97" s="172"/>
      <c r="S97" s="172"/>
      <c r="T97" s="172"/>
      <c r="U97" s="122"/>
    </row>
    <row r="98" spans="1:21" x14ac:dyDescent="0.25">
      <c r="A98" s="767" t="s">
        <v>66</v>
      </c>
      <c r="B98" s="767"/>
      <c r="C98" s="192">
        <v>0</v>
      </c>
      <c r="D98" s="192">
        <v>0</v>
      </c>
      <c r="E98" s="147">
        <f>(C98+D98)/2</f>
        <v>0</v>
      </c>
      <c r="F98" s="173" t="s">
        <v>39</v>
      </c>
      <c r="G98" s="546">
        <f>'0664'!G98</f>
        <v>486</v>
      </c>
      <c r="I98" s="120">
        <f>ROUND(G98*E98,2)</f>
        <v>0</v>
      </c>
      <c r="N98" s="873" t="s">
        <v>66</v>
      </c>
      <c r="O98" s="873"/>
      <c r="P98" s="874">
        <f>IF(H116=1,E98,0)</f>
        <v>0</v>
      </c>
      <c r="Q98" s="874"/>
      <c r="R98" s="874"/>
      <c r="S98" s="102" t="s">
        <v>39</v>
      </c>
      <c r="T98" s="72">
        <f>G98</f>
        <v>486</v>
      </c>
      <c r="U98" s="115">
        <f>ROUND(T98*P98,0)</f>
        <v>0</v>
      </c>
    </row>
    <row r="99" spans="1:21" x14ac:dyDescent="0.25">
      <c r="A99" s="767" t="s">
        <v>82</v>
      </c>
      <c r="B99" s="767"/>
      <c r="C99" s="192">
        <v>0</v>
      </c>
      <c r="D99" s="192">
        <v>0</v>
      </c>
      <c r="E99" s="147">
        <f>(C99+D99)/2</f>
        <v>0</v>
      </c>
      <c r="F99" s="173" t="s">
        <v>39</v>
      </c>
      <c r="G99" s="546">
        <f>'0664'!G99</f>
        <v>1498</v>
      </c>
      <c r="I99" s="120">
        <f>ROUND(G99*E99,2)</f>
        <v>0</v>
      </c>
      <c r="N99" s="873" t="s">
        <v>82</v>
      </c>
      <c r="O99" s="873"/>
      <c r="P99" s="847"/>
      <c r="Q99" s="847"/>
      <c r="R99" s="847"/>
      <c r="S99" s="102" t="s">
        <v>39</v>
      </c>
      <c r="T99" s="72">
        <f>G99</f>
        <v>1498</v>
      </c>
      <c r="U99" s="115">
        <f>ROUND(T99*P99,0)</f>
        <v>0</v>
      </c>
    </row>
    <row r="100" spans="1:21" x14ac:dyDescent="0.25">
      <c r="A100" s="174"/>
      <c r="B100" s="174"/>
      <c r="C100" s="89"/>
      <c r="D100" s="89"/>
      <c r="E100" s="89"/>
      <c r="F100" s="89"/>
      <c r="G100" s="175"/>
      <c r="H100" s="176"/>
      <c r="I100" s="120"/>
      <c r="N100" s="177"/>
      <c r="O100" s="177"/>
      <c r="P100" s="178"/>
      <c r="Q100" s="178"/>
      <c r="R100" s="178"/>
      <c r="S100" s="102"/>
      <c r="T100" s="72"/>
      <c r="U100" s="122"/>
    </row>
    <row r="101" spans="1:21" x14ac:dyDescent="0.25">
      <c r="A101" s="174"/>
      <c r="B101" s="174"/>
      <c r="C101" s="89"/>
      <c r="D101" s="89"/>
      <c r="E101" s="89"/>
      <c r="F101" s="89"/>
      <c r="G101" s="175"/>
      <c r="H101" s="176"/>
      <c r="I101" s="120"/>
      <c r="N101" s="177"/>
      <c r="O101" s="177"/>
      <c r="P101" s="178"/>
      <c r="Q101" s="178"/>
      <c r="R101" s="178"/>
      <c r="S101" s="102"/>
      <c r="T101" s="72"/>
      <c r="U101" s="122"/>
    </row>
    <row r="102" spans="1:21" hidden="1" x14ac:dyDescent="0.25">
      <c r="A102" s="765" t="s">
        <v>374</v>
      </c>
      <c r="B102" s="764"/>
      <c r="C102" s="764"/>
      <c r="D102" s="86"/>
      <c r="E102" s="686" t="s">
        <v>41</v>
      </c>
      <c r="F102" s="780"/>
      <c r="G102" s="780"/>
      <c r="H102" s="780"/>
      <c r="I102" s="780"/>
      <c r="N102" s="860" t="s">
        <v>383</v>
      </c>
      <c r="O102" s="840"/>
      <c r="P102" s="840"/>
      <c r="Q102" s="840"/>
      <c r="R102" s="840"/>
      <c r="S102" s="840"/>
      <c r="T102" s="840"/>
      <c r="U102" s="840"/>
    </row>
    <row r="103" spans="1:21" hidden="1" x14ac:dyDescent="0.25">
      <c r="B103" s="86"/>
      <c r="C103" s="776" t="s">
        <v>93</v>
      </c>
      <c r="D103" s="776"/>
      <c r="E103" s="776"/>
      <c r="F103" s="52"/>
      <c r="G103" s="52"/>
      <c r="H103" s="186" t="s">
        <v>154</v>
      </c>
      <c r="I103" s="52"/>
      <c r="N103" s="51"/>
      <c r="O103" s="51"/>
      <c r="P103" s="51"/>
      <c r="Q103" s="51"/>
      <c r="R103" s="51"/>
      <c r="S103" s="51"/>
      <c r="T103" s="51"/>
      <c r="U103" s="51"/>
    </row>
    <row r="104" spans="1:21" hidden="1" x14ac:dyDescent="0.25">
      <c r="B104" s="86"/>
      <c r="C104" s="600" t="s">
        <v>392</v>
      </c>
      <c r="D104" s="600" t="s">
        <v>370</v>
      </c>
      <c r="E104" s="185" t="s">
        <v>8</v>
      </c>
      <c r="F104" s="883" t="s">
        <v>155</v>
      </c>
      <c r="G104" s="770"/>
      <c r="H104" s="40" t="s">
        <v>38</v>
      </c>
      <c r="I104" s="52"/>
      <c r="N104" s="51"/>
      <c r="O104" s="51"/>
      <c r="P104" s="51"/>
      <c r="Q104" s="51"/>
      <c r="R104" s="51"/>
      <c r="S104" s="51"/>
      <c r="T104" s="51"/>
      <c r="U104" s="51"/>
    </row>
    <row r="105" spans="1:21" hidden="1" x14ac:dyDescent="0.25">
      <c r="A105" s="776" t="s">
        <v>96</v>
      </c>
      <c r="B105" s="776"/>
      <c r="C105" s="109" t="s">
        <v>2</v>
      </c>
      <c r="D105" s="109" t="s">
        <v>2</v>
      </c>
      <c r="E105" s="73" t="s">
        <v>2</v>
      </c>
      <c r="F105" s="776" t="s">
        <v>37</v>
      </c>
      <c r="G105" s="776"/>
      <c r="H105" s="73" t="s">
        <v>37</v>
      </c>
      <c r="I105" s="73" t="s">
        <v>8</v>
      </c>
      <c r="N105" s="859" t="s">
        <v>67</v>
      </c>
      <c r="O105" s="859"/>
      <c r="P105" s="874" t="s">
        <v>93</v>
      </c>
      <c r="Q105" s="874"/>
      <c r="R105" s="859" t="s">
        <v>68</v>
      </c>
      <c r="S105" s="859"/>
      <c r="T105" s="74" t="s">
        <v>69</v>
      </c>
      <c r="U105" s="74" t="s">
        <v>8</v>
      </c>
    </row>
    <row r="106" spans="1:21" hidden="1" x14ac:dyDescent="0.25">
      <c r="A106" s="771" t="s">
        <v>70</v>
      </c>
      <c r="B106" s="771"/>
      <c r="C106" s="190">
        <v>0</v>
      </c>
      <c r="D106" s="190">
        <v>0</v>
      </c>
      <c r="E106" s="245">
        <f>IF(D$59=0,C106*2,C106+D106)</f>
        <v>0</v>
      </c>
      <c r="F106" s="772">
        <v>0</v>
      </c>
      <c r="G106" s="772"/>
      <c r="H106" s="312">
        <f>IF(C106=0,0,125)</f>
        <v>0</v>
      </c>
      <c r="I106" s="120">
        <f>ROUND((H106+F106)*E106,2)</f>
        <v>0</v>
      </c>
      <c r="N106" s="848" t="s">
        <v>70</v>
      </c>
      <c r="O106" s="848"/>
      <c r="P106" s="847">
        <f>IF(H$116=1,C106,0)</f>
        <v>0</v>
      </c>
      <c r="Q106" s="847"/>
      <c r="R106" s="885">
        <f>F106</f>
        <v>0</v>
      </c>
      <c r="S106" s="885"/>
      <c r="T106" s="76">
        <f>H106</f>
        <v>0</v>
      </c>
      <c r="U106" s="115">
        <f>ROUND((T106+R106)*P106,0)</f>
        <v>0</v>
      </c>
    </row>
    <row r="107" spans="1:21" hidden="1" x14ac:dyDescent="0.25">
      <c r="A107" s="768" t="s">
        <v>71</v>
      </c>
      <c r="B107" s="768"/>
      <c r="C107" s="192">
        <v>0</v>
      </c>
      <c r="D107" s="192">
        <v>0</v>
      </c>
      <c r="E107" s="147">
        <f>IF(D$59=0,C107*2,C107+D107)</f>
        <v>0</v>
      </c>
      <c r="F107" s="810">
        <f>ROUND(F106/2,2)</f>
        <v>0</v>
      </c>
      <c r="G107" s="810"/>
      <c r="H107" s="313">
        <f>IF(C107=0,0,62.5)</f>
        <v>0</v>
      </c>
      <c r="I107" s="120">
        <f>ROUND((H107+F107)*E107,2)</f>
        <v>0</v>
      </c>
      <c r="N107" s="848" t="s">
        <v>71</v>
      </c>
      <c r="O107" s="848"/>
      <c r="P107" s="847">
        <f>IF(H$116=1,C107,0)</f>
        <v>0</v>
      </c>
      <c r="Q107" s="847"/>
      <c r="R107" s="886">
        <f>ROUND(R106/2,2)</f>
        <v>0</v>
      </c>
      <c r="S107" s="886"/>
      <c r="T107" s="78">
        <f>H107</f>
        <v>0</v>
      </c>
      <c r="U107" s="115">
        <f>ROUND((T107+R107)*P107,0)</f>
        <v>0</v>
      </c>
    </row>
    <row r="108" spans="1:21" ht="16.5" hidden="1" thickBot="1" x14ac:dyDescent="0.3">
      <c r="A108" s="768" t="s">
        <v>72</v>
      </c>
      <c r="B108" s="768"/>
      <c r="C108" s="192">
        <v>0</v>
      </c>
      <c r="D108" s="192">
        <v>0</v>
      </c>
      <c r="E108" s="147">
        <f>IF(D$59=0,C108*2,C108+D108)</f>
        <v>0</v>
      </c>
      <c r="F108" s="773"/>
      <c r="G108" s="773"/>
      <c r="H108" s="314">
        <f>IF(H106&gt;0,436,0)</f>
        <v>0</v>
      </c>
      <c r="I108" s="120">
        <f>ROUND(H108*E108,2)</f>
        <v>0</v>
      </c>
      <c r="N108" s="845" t="s">
        <v>72</v>
      </c>
      <c r="O108" s="845"/>
      <c r="P108" s="847">
        <f>IF(H$116=1,C108,0)</f>
        <v>0</v>
      </c>
      <c r="Q108" s="847"/>
      <c r="R108" s="859"/>
      <c r="S108" s="859"/>
      <c r="T108" s="80">
        <f>H108</f>
        <v>0</v>
      </c>
      <c r="U108" s="122">
        <f>ROUND(T108*P108,0)</f>
        <v>0</v>
      </c>
    </row>
    <row r="109" spans="1:21" ht="16.5" hidden="1" thickBot="1" x14ac:dyDescent="0.3">
      <c r="A109" s="770" t="s">
        <v>8</v>
      </c>
      <c r="B109" s="770"/>
      <c r="C109" s="81"/>
      <c r="D109" s="81"/>
      <c r="E109" s="81"/>
      <c r="F109" s="81"/>
      <c r="G109" s="81"/>
      <c r="H109" s="81"/>
      <c r="I109" s="116">
        <f>SUM(I106:I108)</f>
        <v>0</v>
      </c>
      <c r="N109" s="853" t="s">
        <v>8</v>
      </c>
      <c r="O109" s="853"/>
      <c r="P109" s="82"/>
      <c r="Q109" s="82"/>
      <c r="R109" s="82"/>
      <c r="S109" s="82"/>
      <c r="T109" s="82"/>
      <c r="U109" s="83">
        <f>SUM(U106:U108)</f>
        <v>0</v>
      </c>
    </row>
    <row r="110" spans="1:21" hidden="1" x14ac:dyDescent="0.25">
      <c r="A110" s="40"/>
      <c r="B110" s="40"/>
      <c r="C110" s="81"/>
      <c r="D110" s="81"/>
      <c r="E110" s="81"/>
      <c r="F110" s="81"/>
      <c r="G110" s="81"/>
      <c r="H110" s="81"/>
      <c r="I110" s="120"/>
      <c r="N110" s="42"/>
      <c r="O110" s="42"/>
      <c r="P110" s="82"/>
      <c r="Q110" s="82"/>
      <c r="R110" s="82"/>
      <c r="S110" s="82"/>
      <c r="T110" s="82"/>
      <c r="U110" s="187"/>
    </row>
    <row r="111" spans="1:21" x14ac:dyDescent="0.25">
      <c r="A111" s="765" t="s">
        <v>460</v>
      </c>
      <c r="B111" s="764"/>
      <c r="C111" s="764"/>
      <c r="D111" s="86"/>
      <c r="E111" s="684" t="s">
        <v>375</v>
      </c>
      <c r="F111" s="766"/>
      <c r="G111" s="766"/>
      <c r="H111" s="766"/>
      <c r="I111" s="147">
        <v>0</v>
      </c>
      <c r="N111" s="860" t="s">
        <v>460</v>
      </c>
      <c r="O111" s="840"/>
      <c r="P111" s="840"/>
      <c r="Q111" s="548"/>
      <c r="R111" s="548"/>
      <c r="S111" s="548"/>
      <c r="T111" s="548"/>
      <c r="U111" s="115">
        <f>IF($H$116=1,I111,0)</f>
        <v>0</v>
      </c>
    </row>
    <row r="112" spans="1:21" x14ac:dyDescent="0.25">
      <c r="A112" s="765" t="s">
        <v>461</v>
      </c>
      <c r="B112" s="764"/>
      <c r="C112" s="764"/>
      <c r="D112" s="86"/>
      <c r="E112" s="684" t="s">
        <v>46</v>
      </c>
      <c r="F112" s="766"/>
      <c r="G112" s="766"/>
      <c r="H112" s="766"/>
      <c r="I112" s="204">
        <v>0</v>
      </c>
      <c r="N112" s="860" t="s">
        <v>461</v>
      </c>
      <c r="O112" s="840"/>
      <c r="P112" s="840"/>
      <c r="Q112" s="548"/>
      <c r="R112" s="548"/>
      <c r="S112" s="548"/>
      <c r="T112" s="548"/>
      <c r="U112" s="115">
        <f>IF($H$116=1,I112,0)</f>
        <v>0</v>
      </c>
    </row>
    <row r="113" spans="1:21" ht="16.5" thickBot="1" x14ac:dyDescent="0.3">
      <c r="B113" s="86"/>
      <c r="C113" s="86"/>
      <c r="D113" s="86"/>
      <c r="E113" s="85"/>
      <c r="F113" s="85"/>
      <c r="G113" s="85"/>
      <c r="H113" s="85"/>
      <c r="I113" s="147"/>
      <c r="N113" s="857" t="s">
        <v>42</v>
      </c>
      <c r="O113" s="857"/>
      <c r="P113" s="857"/>
      <c r="Q113" s="857"/>
      <c r="R113" s="857"/>
      <c r="S113" s="857"/>
      <c r="T113" s="857"/>
      <c r="U113" s="179">
        <f>SUM(U111,U109,U99,U98,U92,U78,U77,U75,U74,U73,U72,U71,U70,U68,U59,U45,U79,U80,U83,U81,U82,U112)</f>
        <v>1099367.43</v>
      </c>
    </row>
    <row r="114" spans="1:21" ht="16.5" thickTop="1" x14ac:dyDescent="0.25">
      <c r="A114" s="767" t="s">
        <v>8</v>
      </c>
      <c r="B114" s="767"/>
      <c r="C114" s="767"/>
      <c r="D114" s="767"/>
      <c r="E114" s="767"/>
      <c r="F114" s="767"/>
      <c r="G114" s="767"/>
      <c r="H114" s="767"/>
      <c r="I114" s="120">
        <f>SUM(I112,I111,I109,I99,I98,I92,I84,I82,I81,I83,I80,I79,I78,I77,I75,I74,I73,I72,I71,I70,I68,I59,I45)</f>
        <v>4096947.7100000004</v>
      </c>
      <c r="N114" s="56"/>
      <c r="O114" s="56"/>
      <c r="P114" s="56"/>
      <c r="Q114" s="56"/>
      <c r="R114" s="56"/>
      <c r="S114" s="56"/>
      <c r="T114" s="56"/>
      <c r="U114" s="187"/>
    </row>
    <row r="115" spans="1:21" x14ac:dyDescent="0.25">
      <c r="A115" s="765" t="s">
        <v>462</v>
      </c>
      <c r="B115" s="764"/>
      <c r="C115" s="764"/>
      <c r="D115" s="764"/>
      <c r="E115" s="764"/>
      <c r="F115" s="764"/>
      <c r="G115" s="764"/>
      <c r="H115" s="682" t="s">
        <v>416</v>
      </c>
      <c r="I115" s="181"/>
      <c r="N115" s="884"/>
      <c r="O115" s="884"/>
      <c r="P115" s="884"/>
      <c r="Q115" s="884"/>
      <c r="R115" s="884"/>
      <c r="S115" s="884"/>
      <c r="T115" s="884"/>
      <c r="U115" s="884"/>
    </row>
    <row r="116" spans="1:21" x14ac:dyDescent="0.25">
      <c r="A116" s="764" t="s">
        <v>97</v>
      </c>
      <c r="B116" s="764"/>
      <c r="C116" s="764"/>
      <c r="D116" s="764"/>
      <c r="E116" s="764"/>
      <c r="F116" s="764"/>
      <c r="G116" s="764"/>
      <c r="H116" s="87">
        <f>IF(E29=0,"",IF((E14+E16+SUM(E18:E24))/E29&gt;0.75,1,""))</f>
        <v>1</v>
      </c>
      <c r="I116" s="147">
        <f>U113</f>
        <v>1099367.43</v>
      </c>
      <c r="N116" s="880" t="s">
        <v>7</v>
      </c>
      <c r="O116" s="880"/>
      <c r="P116" s="880"/>
      <c r="Q116" s="880"/>
      <c r="R116" s="880"/>
      <c r="S116" s="880"/>
      <c r="T116" s="880"/>
      <c r="U116" s="880"/>
    </row>
    <row r="117" spans="1:21" x14ac:dyDescent="0.25">
      <c r="B117" s="86"/>
      <c r="C117" s="86"/>
      <c r="D117" s="86"/>
      <c r="E117" s="86"/>
      <c r="F117" s="86"/>
      <c r="G117" s="86"/>
      <c r="H117" s="89"/>
      <c r="I117" s="120"/>
      <c r="N117" s="88" t="s">
        <v>108</v>
      </c>
      <c r="O117" s="88"/>
      <c r="P117" s="88"/>
      <c r="Q117" s="88"/>
      <c r="R117" s="88"/>
      <c r="S117" s="88"/>
      <c r="T117" s="88"/>
      <c r="U117" s="88"/>
    </row>
    <row r="118" spans="1:21" x14ac:dyDescent="0.25">
      <c r="A118" s="3" t="s">
        <v>104</v>
      </c>
      <c r="B118" s="86"/>
      <c r="C118" s="86"/>
      <c r="D118" s="86"/>
      <c r="E118" s="86"/>
      <c r="F118" s="86"/>
      <c r="G118" s="396"/>
      <c r="H118" s="188">
        <f>IF(H116=1,I116,I114)</f>
        <v>1099367.43</v>
      </c>
      <c r="I118" s="113">
        <f>ROUND(IF(E29=0,0,IF(E29&gt;250,-(((250/E29)*H118)*IF(G118="H",0.02,0.05)),IF(G118="H",-0.02*H118,-0.05*H118))),2)</f>
        <v>-54968.37</v>
      </c>
      <c r="N118" s="90" t="s">
        <v>109</v>
      </c>
      <c r="O118" s="88"/>
      <c r="P118" s="88"/>
      <c r="Q118" s="88"/>
      <c r="R118" s="88"/>
      <c r="S118" s="88"/>
      <c r="T118" s="88"/>
      <c r="U118" s="88"/>
    </row>
    <row r="119" spans="1:21" x14ac:dyDescent="0.25">
      <c r="B119" s="86"/>
      <c r="C119" s="86"/>
      <c r="D119" s="86"/>
      <c r="E119" s="86"/>
      <c r="F119" s="86"/>
      <c r="G119" s="86"/>
      <c r="H119" s="89"/>
      <c r="I119" s="120"/>
      <c r="N119" s="92"/>
      <c r="O119" s="92"/>
      <c r="P119" s="92"/>
      <c r="Q119" s="92"/>
      <c r="R119" s="92"/>
      <c r="S119" s="92"/>
      <c r="T119" s="92"/>
      <c r="U119" s="92"/>
    </row>
    <row r="120" spans="1:21" x14ac:dyDescent="0.25">
      <c r="A120" s="552" t="s">
        <v>105</v>
      </c>
      <c r="B120" s="553"/>
      <c r="C120" s="553"/>
      <c r="D120" s="553"/>
      <c r="E120" s="553"/>
      <c r="F120" s="553"/>
      <c r="G120" s="553"/>
      <c r="H120" s="554"/>
      <c r="I120" s="555">
        <f>I114+I118</f>
        <v>4041979.3400000003</v>
      </c>
      <c r="N120" s="92"/>
      <c r="O120" s="92"/>
      <c r="P120" s="92"/>
      <c r="Q120" s="92"/>
      <c r="R120" s="92"/>
      <c r="S120" s="92"/>
      <c r="T120" s="92"/>
      <c r="U120" s="92"/>
    </row>
    <row r="121" spans="1:21" x14ac:dyDescent="0.25">
      <c r="B121" s="86"/>
      <c r="C121" s="86"/>
      <c r="D121" s="86"/>
      <c r="E121" s="86"/>
      <c r="F121" s="86"/>
      <c r="G121" s="86"/>
      <c r="H121" s="89"/>
      <c r="I121" s="120"/>
      <c r="N121" s="92"/>
      <c r="O121" s="92"/>
      <c r="P121" s="92"/>
      <c r="Q121" s="92"/>
      <c r="R121" s="92"/>
      <c r="S121" s="92"/>
      <c r="T121" s="92"/>
      <c r="U121" s="92"/>
    </row>
    <row r="122" spans="1:21" x14ac:dyDescent="0.25">
      <c r="A122" s="3" t="s">
        <v>106</v>
      </c>
      <c r="B122" s="411"/>
      <c r="C122" s="189"/>
      <c r="D122" s="86"/>
      <c r="F122" s="86"/>
      <c r="G122" s="86"/>
      <c r="H122" s="89"/>
      <c r="I122" s="424">
        <v>-4042123.69</v>
      </c>
      <c r="N122" s="92"/>
      <c r="O122" s="92"/>
      <c r="P122" s="92"/>
      <c r="Q122" s="92"/>
      <c r="R122" s="92"/>
      <c r="S122" s="92"/>
      <c r="T122" s="92"/>
      <c r="U122" s="92"/>
    </row>
    <row r="123" spans="1:21" x14ac:dyDescent="0.25">
      <c r="B123" s="86"/>
      <c r="C123" s="86"/>
      <c r="D123" s="86"/>
      <c r="E123" s="86"/>
      <c r="F123" s="86"/>
      <c r="G123" s="86"/>
      <c r="H123" s="89"/>
      <c r="I123" s="120"/>
      <c r="N123" s="92"/>
      <c r="O123" s="92"/>
      <c r="P123" s="92"/>
      <c r="Q123" s="92"/>
      <c r="R123" s="92"/>
      <c r="S123" s="92"/>
      <c r="T123" s="92"/>
      <c r="U123" s="92"/>
    </row>
    <row r="124" spans="1:21" x14ac:dyDescent="0.25">
      <c r="A124" s="412" t="s">
        <v>313</v>
      </c>
      <c r="B124" s="86"/>
      <c r="C124" s="86"/>
      <c r="D124" s="86"/>
      <c r="E124" s="86"/>
      <c r="F124" s="86"/>
      <c r="G124" s="86"/>
      <c r="H124" s="89"/>
      <c r="I124" s="120">
        <f>I120+I122</f>
        <v>-144.34999999962747</v>
      </c>
      <c r="N124" s="92"/>
      <c r="O124" s="92"/>
      <c r="P124" s="92"/>
      <c r="Q124" s="92"/>
      <c r="R124" s="92"/>
      <c r="S124" s="92"/>
      <c r="T124" s="92"/>
      <c r="U124" s="92"/>
    </row>
    <row r="125" spans="1:21" x14ac:dyDescent="0.25">
      <c r="A125" s="412"/>
      <c r="B125" s="411"/>
      <c r="C125" s="411"/>
      <c r="D125" s="411"/>
      <c r="E125" s="411"/>
      <c r="F125" s="411"/>
      <c r="G125" s="411"/>
      <c r="H125" s="89"/>
      <c r="I125" s="120"/>
      <c r="N125" s="92"/>
      <c r="O125" s="92"/>
      <c r="P125" s="92"/>
      <c r="Q125" s="92"/>
      <c r="R125" s="92"/>
      <c r="S125" s="92"/>
      <c r="T125" s="92"/>
      <c r="U125" s="92"/>
    </row>
    <row r="126" spans="1:21" x14ac:dyDescent="0.25">
      <c r="A126" s="412" t="s">
        <v>314</v>
      </c>
      <c r="B126" s="411"/>
      <c r="C126" s="411"/>
      <c r="D126" s="411"/>
      <c r="E126" s="411"/>
      <c r="F126" s="411"/>
      <c r="G126" s="411"/>
      <c r="H126" s="89"/>
      <c r="I126" s="425">
        <f>'0664'!I126</f>
        <v>1</v>
      </c>
      <c r="N126" s="413"/>
      <c r="O126" s="413"/>
      <c r="P126" s="413"/>
      <c r="Q126" s="413"/>
      <c r="R126" s="413"/>
      <c r="S126" s="413"/>
      <c r="T126" s="413"/>
      <c r="U126" s="413"/>
    </row>
    <row r="127" spans="1:21" x14ac:dyDescent="0.25">
      <c r="B127" s="86"/>
      <c r="C127" s="86"/>
      <c r="D127" s="86"/>
      <c r="E127" s="86"/>
      <c r="F127" s="86"/>
      <c r="G127" s="86"/>
      <c r="H127" s="89"/>
      <c r="I127" s="120"/>
      <c r="N127" s="413"/>
      <c r="O127" s="413"/>
      <c r="P127" s="413"/>
      <c r="Q127" s="413"/>
      <c r="R127" s="413"/>
      <c r="S127" s="413"/>
      <c r="T127" s="413"/>
      <c r="U127" s="413"/>
    </row>
    <row r="128" spans="1:21" ht="16.5" thickBot="1" x14ac:dyDescent="0.3">
      <c r="A128" s="3" t="s">
        <v>107</v>
      </c>
      <c r="B128" s="86"/>
      <c r="C128" s="86"/>
      <c r="D128" s="86"/>
      <c r="E128" s="86"/>
      <c r="F128" s="86"/>
      <c r="G128" s="86"/>
      <c r="H128" s="89"/>
      <c r="I128" s="205">
        <f>ROUND(I124/I126,2)</f>
        <v>-144.35</v>
      </c>
      <c r="N128" s="92"/>
      <c r="O128" s="92"/>
      <c r="P128" s="92"/>
      <c r="Q128" s="92"/>
      <c r="R128" s="92"/>
      <c r="S128" s="92"/>
      <c r="T128" s="92"/>
      <c r="U128" s="92"/>
    </row>
    <row r="129" spans="1:21" ht="16.5" thickTop="1" x14ac:dyDescent="0.25">
      <c r="B129" s="86"/>
      <c r="C129" s="86"/>
      <c r="D129" s="86"/>
      <c r="E129" s="86"/>
      <c r="F129" s="86"/>
      <c r="G129" s="86"/>
      <c r="H129" s="89"/>
      <c r="I129" s="120"/>
      <c r="N129" s="92"/>
      <c r="O129" s="92"/>
      <c r="P129" s="92"/>
      <c r="Q129" s="92"/>
      <c r="R129" s="92"/>
      <c r="S129" s="92"/>
      <c r="T129" s="92"/>
      <c r="U129" s="92"/>
    </row>
    <row r="130" spans="1:21" ht="16.5" thickBot="1" x14ac:dyDescent="0.3">
      <c r="A130" s="3" t="s">
        <v>123</v>
      </c>
      <c r="B130" s="86"/>
      <c r="C130" s="86"/>
      <c r="D130" s="86"/>
      <c r="E130" s="86"/>
      <c r="F130" s="86"/>
      <c r="G130" s="86"/>
      <c r="H130" s="89"/>
      <c r="I130" s="180">
        <f>ROUND(IF(G118="H",(H118*0.02)+I118,(H118*0.05)+I118),2)</f>
        <v>0</v>
      </c>
      <c r="N130" s="92"/>
      <c r="O130" s="92"/>
      <c r="P130" s="92"/>
      <c r="Q130" s="92"/>
      <c r="R130" s="92"/>
      <c r="S130" s="92"/>
      <c r="T130" s="92"/>
      <c r="U130" s="92"/>
    </row>
    <row r="131" spans="1:21" ht="16.5" thickTop="1" x14ac:dyDescent="0.25">
      <c r="B131" s="86"/>
      <c r="C131" s="86"/>
      <c r="D131" s="86"/>
      <c r="E131" s="86"/>
      <c r="F131" s="86"/>
      <c r="G131" s="86"/>
      <c r="H131" s="89"/>
      <c r="I131" s="181"/>
      <c r="N131" s="92"/>
      <c r="O131" s="92"/>
      <c r="P131" s="92"/>
      <c r="Q131" s="92"/>
      <c r="R131" s="92"/>
      <c r="S131" s="92"/>
      <c r="T131" s="92"/>
      <c r="U131" s="92"/>
    </row>
    <row r="132" spans="1:21" x14ac:dyDescent="0.25">
      <c r="B132" s="86"/>
      <c r="C132" s="86"/>
      <c r="D132" s="86"/>
      <c r="E132" s="86"/>
      <c r="F132" s="86"/>
      <c r="G132" s="86"/>
      <c r="H132" s="89"/>
      <c r="I132" s="120"/>
      <c r="N132" s="92"/>
      <c r="O132" s="92"/>
      <c r="P132" s="92"/>
      <c r="Q132" s="92"/>
      <c r="R132" s="92"/>
      <c r="S132" s="92"/>
      <c r="T132" s="92"/>
      <c r="U132" s="92"/>
    </row>
    <row r="133" spans="1:21" x14ac:dyDescent="0.25">
      <c r="B133" s="86"/>
      <c r="C133" s="86"/>
      <c r="D133" s="86"/>
      <c r="E133" s="86"/>
      <c r="F133" s="86"/>
      <c r="G133" s="86"/>
      <c r="H133" s="89"/>
      <c r="I133" s="181"/>
      <c r="N133" s="92"/>
      <c r="O133" s="92"/>
      <c r="P133" s="92"/>
      <c r="Q133" s="92"/>
      <c r="R133" s="92"/>
      <c r="S133" s="92"/>
      <c r="T133" s="92"/>
      <c r="U133" s="92"/>
    </row>
    <row r="134" spans="1:21" x14ac:dyDescent="0.25">
      <c r="A134" s="492" t="s">
        <v>7</v>
      </c>
      <c r="B134" s="492"/>
      <c r="C134" s="492"/>
      <c r="D134" s="492"/>
      <c r="E134" s="492"/>
      <c r="F134" s="492"/>
      <c r="G134" s="492"/>
      <c r="H134" s="492"/>
      <c r="I134" s="492"/>
      <c r="J134" s="182"/>
      <c r="N134" s="479"/>
      <c r="O134" s="479"/>
      <c r="P134" s="479"/>
      <c r="Q134" s="479"/>
      <c r="R134" s="479"/>
      <c r="S134" s="479"/>
      <c r="T134" s="479"/>
      <c r="U134" s="479"/>
    </row>
    <row r="135" spans="1:21" ht="15.75" customHeight="1" x14ac:dyDescent="0.25">
      <c r="A135" s="689" t="str">
        <f>'0664'!A135</f>
        <v>(a) Additional FTE includes FTE earned through Advanced Placement, International Baccalaureate, Advanced International Certificate of Education, Industry Certified Career</v>
      </c>
      <c r="B135" s="690"/>
      <c r="C135" s="690"/>
      <c r="D135" s="690"/>
      <c r="E135" s="690"/>
      <c r="F135" s="690"/>
      <c r="G135" s="690"/>
      <c r="H135" s="690"/>
      <c r="I135" s="690"/>
      <c r="J135" s="96"/>
      <c r="K135" s="95"/>
      <c r="L135" s="95"/>
      <c r="M135" s="95"/>
      <c r="N135" s="881"/>
      <c r="O135" s="881"/>
      <c r="P135" s="881"/>
      <c r="Q135" s="881"/>
      <c r="R135" s="881"/>
      <c r="S135" s="881"/>
      <c r="T135" s="881"/>
      <c r="U135" s="881"/>
    </row>
    <row r="136" spans="1:21" ht="15.75" customHeight="1" x14ac:dyDescent="0.25">
      <c r="A136" s="697" t="str">
        <f>'0664'!A136</f>
        <v xml:space="preserve">Education (CAPE), Early High School Graduation and the small district ESE Supplement, pursuant to s. 1011.62(1)(l-p), F.S. </v>
      </c>
      <c r="B136" s="690"/>
      <c r="C136" s="690"/>
      <c r="D136" s="690"/>
      <c r="E136" s="690"/>
      <c r="F136" s="690"/>
      <c r="G136" s="690"/>
      <c r="H136" s="690"/>
      <c r="I136" s="690"/>
      <c r="J136" s="96"/>
      <c r="K136" s="95"/>
      <c r="L136" s="95"/>
      <c r="M136" s="95"/>
      <c r="N136" s="479"/>
      <c r="O136" s="479"/>
      <c r="P136" s="479"/>
      <c r="Q136" s="479"/>
      <c r="R136" s="479"/>
      <c r="S136" s="479"/>
      <c r="T136" s="479"/>
      <c r="U136" s="479"/>
    </row>
    <row r="137" spans="1:21" x14ac:dyDescent="0.25">
      <c r="A137" s="689" t="str">
        <f>'0664'!A137</f>
        <v>(b) District allocations multiplied by percentage from item 3A.</v>
      </c>
      <c r="B137" s="691"/>
      <c r="C137" s="691"/>
      <c r="D137" s="691"/>
      <c r="E137" s="691"/>
      <c r="F137" s="691"/>
      <c r="G137" s="691"/>
      <c r="H137" s="691"/>
      <c r="I137" s="691"/>
      <c r="J137" s="95"/>
      <c r="K137" s="95"/>
      <c r="L137" s="95"/>
      <c r="M137" s="95"/>
      <c r="N137" s="97"/>
      <c r="O137" s="98"/>
      <c r="P137" s="98"/>
      <c r="Q137" s="98"/>
      <c r="R137" s="98"/>
      <c r="S137" s="98"/>
      <c r="T137" s="98"/>
      <c r="U137" s="98"/>
    </row>
    <row r="138" spans="1:21" s="95" customFormat="1" x14ac:dyDescent="0.2">
      <c r="A138" s="689" t="str">
        <f>'0664'!A138</f>
        <v>(c) District allocations multiplied by percentage from item 3B.</v>
      </c>
      <c r="B138" s="691"/>
      <c r="C138" s="691"/>
      <c r="D138" s="691"/>
      <c r="E138" s="691"/>
      <c r="F138" s="691"/>
      <c r="G138" s="691"/>
      <c r="H138" s="691"/>
      <c r="I138" s="691"/>
      <c r="N138" s="97"/>
    </row>
    <row r="139" spans="1:21" s="95" customFormat="1" ht="15.75" customHeight="1" x14ac:dyDescent="0.2">
      <c r="A139" s="689" t="str">
        <f>'0664'!A139</f>
        <v>(d) The Digital Classroom Allocation is provided pursuant to s. 1011.62(12), F.S.</v>
      </c>
      <c r="B139" s="691"/>
      <c r="C139" s="691"/>
      <c r="D139" s="691"/>
      <c r="E139" s="691"/>
      <c r="F139" s="691"/>
      <c r="G139" s="691"/>
      <c r="H139" s="691"/>
      <c r="I139" s="691"/>
      <c r="N139" s="97"/>
    </row>
    <row r="140" spans="1:21" s="95" customFormat="1" ht="15.75" customHeight="1" x14ac:dyDescent="0.2">
      <c r="A140" s="689" t="str">
        <f>'0664'!A140</f>
        <v>(e) School districts are required to pay for instructional materials used for the instruction of public high school students who are earning credit toward high school</v>
      </c>
      <c r="B140" s="691"/>
      <c r="C140" s="691"/>
      <c r="D140" s="691"/>
      <c r="E140" s="691"/>
      <c r="F140" s="691"/>
      <c r="G140" s="691"/>
      <c r="H140" s="691"/>
      <c r="I140" s="691"/>
      <c r="N140" s="97"/>
    </row>
    <row r="141" spans="1:21" s="95" customFormat="1" ht="15.75" customHeight="1" x14ac:dyDescent="0.2">
      <c r="A141" s="697" t="str">
        <f>'0664'!A141</f>
        <v xml:space="preserve">graduation under the dual enrollment program as provided in s. 1011.62(l)(i), F.S.  </v>
      </c>
      <c r="B141" s="691"/>
      <c r="C141" s="691"/>
      <c r="D141" s="691"/>
      <c r="E141" s="691"/>
      <c r="F141" s="691"/>
      <c r="G141" s="691"/>
      <c r="H141" s="691"/>
      <c r="I141" s="691"/>
      <c r="N141" s="97"/>
    </row>
    <row r="142" spans="1:21" s="95" customFormat="1" x14ac:dyDescent="0.2">
      <c r="A142" s="689" t="str">
        <f>'0664'!A142</f>
        <v>(f) This allocation will be frozen as of the 2021-22 FEFP Second Calculation and will not be recalculated throughout the year. Charter school allocations should be</v>
      </c>
      <c r="B142" s="691"/>
      <c r="C142" s="691"/>
      <c r="D142" s="691"/>
      <c r="E142" s="691"/>
      <c r="F142" s="691"/>
      <c r="G142" s="691"/>
      <c r="H142" s="691"/>
      <c r="I142" s="691"/>
      <c r="N142" s="97"/>
    </row>
    <row r="143" spans="1:21" s="95" customFormat="1" x14ac:dyDescent="0.2">
      <c r="A143" s="697" t="str">
        <f>'0664'!A143</f>
        <v xml:space="preserve">distributed on weighted FTE (or base funding as is done in the FEFP) and should not be recalculated with fluctuations in student enrollment later in the year. </v>
      </c>
      <c r="B143" s="691"/>
      <c r="C143" s="691"/>
      <c r="D143" s="691"/>
      <c r="E143" s="691"/>
      <c r="F143" s="691"/>
      <c r="G143" s="691"/>
      <c r="H143" s="691"/>
      <c r="I143" s="691"/>
      <c r="N143" s="97"/>
    </row>
    <row r="144" spans="1:21" s="95" customFormat="1" x14ac:dyDescent="0.2">
      <c r="A144" s="689" t="str">
        <f>'0664'!A144</f>
        <v>(g) Numbers entered here will be multiplied by the district level transportation funding per rider. "All Adjusted Fundable Riders" should include both basic and ESE Riders.</v>
      </c>
      <c r="B144" s="691"/>
      <c r="C144" s="691"/>
      <c r="D144" s="691"/>
      <c r="E144" s="691"/>
      <c r="F144" s="691"/>
      <c r="G144" s="691"/>
      <c r="H144" s="691"/>
      <c r="I144" s="691"/>
      <c r="N144" s="97"/>
    </row>
    <row r="145" spans="1:21" s="95" customFormat="1" x14ac:dyDescent="0.2">
      <c r="A145" s="697" t="str">
        <f>'0664'!A145</f>
        <v>"All Adjusted ESE Riders" should include only ESE Riders.</v>
      </c>
      <c r="B145" s="691"/>
      <c r="C145" s="691"/>
      <c r="D145" s="691"/>
      <c r="E145" s="691"/>
      <c r="F145" s="691"/>
      <c r="G145" s="691"/>
      <c r="H145" s="691"/>
      <c r="I145" s="691"/>
      <c r="N145" s="97"/>
    </row>
    <row r="146" spans="1:21" s="95" customFormat="1" x14ac:dyDescent="0.2">
      <c r="A146" s="689" t="str">
        <f>'0664'!A146</f>
        <v xml:space="preserve">(h) The Federally Connected Student Supplement provides additional funding for students on federal lands that receive Section 8003 impact aide pursuant to s. 1011.62(13), F.S. </v>
      </c>
      <c r="B146" s="691"/>
      <c r="C146" s="691"/>
      <c r="D146" s="691"/>
      <c r="E146" s="691"/>
      <c r="F146" s="691"/>
      <c r="G146" s="691"/>
      <c r="H146" s="691"/>
      <c r="I146" s="691"/>
      <c r="N146" s="97"/>
    </row>
    <row r="147" spans="1:21" s="95" customFormat="1" x14ac:dyDescent="0.2">
      <c r="A147" s="689" t="str">
        <f>'0664'!A147</f>
        <v>(i) Teacher Classroom Supply Assistance Program allocation pursuant to s. 1012.71, F.S., for certified teachers employed by a public school district or public charter school</v>
      </c>
      <c r="B147" s="691"/>
      <c r="C147" s="691"/>
      <c r="D147" s="691"/>
      <c r="E147" s="691"/>
      <c r="F147" s="691"/>
      <c r="G147" s="691"/>
      <c r="H147" s="691"/>
      <c r="I147" s="691"/>
      <c r="N147" s="97"/>
    </row>
    <row r="148" spans="1:21" s="95" customFormat="1" x14ac:dyDescent="0.2">
      <c r="A148" s="697" t="str">
        <f>'0664'!A148</f>
        <v xml:space="preserve">before September 1 of each year whose full-time or job-share responsibility is the classroom instruction of students in prekindergarten through grade 12, including </v>
      </c>
      <c r="B148" s="691"/>
      <c r="C148" s="691"/>
      <c r="D148" s="691"/>
      <c r="E148" s="691"/>
      <c r="F148" s="691"/>
      <c r="G148" s="691"/>
      <c r="H148" s="691"/>
      <c r="I148" s="691"/>
      <c r="N148" s="97"/>
    </row>
    <row r="149" spans="1:21" s="95" customFormat="1" ht="15.75" customHeight="1" x14ac:dyDescent="0.2">
      <c r="A149" s="697" t="str">
        <f>'0664'!A149</f>
        <v>full-time media specialists and certified school counselors serving students in prekindergarten through grade 12, who are funded through the FEFP.</v>
      </c>
      <c r="B149" s="691"/>
      <c r="C149" s="691"/>
      <c r="D149" s="691"/>
      <c r="E149" s="691"/>
      <c r="F149" s="691"/>
      <c r="G149" s="691"/>
      <c r="H149" s="691"/>
      <c r="I149" s="691"/>
      <c r="N149" s="97"/>
    </row>
    <row r="150" spans="1:21" s="95" customFormat="1" ht="15.75" customHeight="1" x14ac:dyDescent="0.2">
      <c r="A150" s="689" t="str">
        <f>'0664'!A150</f>
        <v xml:space="preserve">(j) Funding based on student eligibility and meals provided, if participating in the National School Lunch Program. </v>
      </c>
      <c r="B150" s="691"/>
      <c r="C150" s="691"/>
      <c r="D150" s="691"/>
      <c r="E150" s="691"/>
      <c r="F150" s="691"/>
      <c r="G150" s="691"/>
      <c r="H150" s="691"/>
      <c r="I150" s="691"/>
      <c r="N150" s="97"/>
    </row>
    <row r="151" spans="1:21" s="95" customFormat="1" ht="15.75" customHeight="1" x14ac:dyDescent="0.2">
      <c r="A151" s="689" t="str">
        <f>'0664'!A151</f>
        <v>(k) Consistent with s. 1002.33(20)(a), F.S., for charter schools with a population of 75% or more ESE students, the administrative fee shall be calculated based on</v>
      </c>
      <c r="B151" s="691"/>
      <c r="C151" s="691"/>
      <c r="D151" s="691"/>
      <c r="E151" s="691"/>
      <c r="F151" s="691"/>
      <c r="G151" s="691"/>
      <c r="H151" s="691"/>
      <c r="I151" s="691"/>
      <c r="N151" s="97"/>
    </row>
    <row r="152" spans="1:21" s="95" customFormat="1" ht="15.75" customHeight="1" x14ac:dyDescent="0.2">
      <c r="A152" s="697" t="str">
        <f>'0664'!A152</f>
        <v xml:space="preserve">unweighted full-time equivalent students. </v>
      </c>
      <c r="B152" s="691"/>
      <c r="C152" s="691"/>
      <c r="D152" s="691"/>
      <c r="E152" s="691"/>
      <c r="F152" s="691"/>
      <c r="G152" s="691"/>
      <c r="H152" s="691"/>
      <c r="I152" s="691"/>
      <c r="N152" s="97"/>
    </row>
    <row r="153" spans="1:21" s="95" customFormat="1" ht="15.75" customHeight="1" x14ac:dyDescent="0.2">
      <c r="A153" s="689"/>
      <c r="B153" s="691"/>
      <c r="C153" s="691"/>
      <c r="D153" s="691"/>
      <c r="E153" s="691"/>
      <c r="F153" s="691"/>
      <c r="G153" s="691"/>
      <c r="H153" s="691"/>
      <c r="I153" s="691"/>
      <c r="N153" s="97"/>
    </row>
    <row r="154" spans="1:21" s="95" customFormat="1" ht="15.75" customHeight="1" x14ac:dyDescent="0.25">
      <c r="A154" s="708" t="str">
        <f>'0664'!A154</f>
        <v>Administrative fees:</v>
      </c>
      <c r="B154" s="691"/>
      <c r="C154" s="691"/>
      <c r="D154" s="691"/>
      <c r="E154" s="691"/>
      <c r="F154" s="691"/>
      <c r="G154" s="691"/>
      <c r="H154" s="691"/>
      <c r="I154" s="691"/>
      <c r="J154" s="3"/>
      <c r="K154" s="3"/>
      <c r="L154" s="3"/>
      <c r="M154" s="3"/>
      <c r="N154" s="97"/>
    </row>
    <row r="155" spans="1:21" s="95" customFormat="1" ht="15.75" customHeight="1" x14ac:dyDescent="0.25">
      <c r="A155" s="712" t="str">
        <f>'0664'!A155</f>
        <v xml:space="preserve">Administrative fees charged by the school district pursuant to s. 1002.33(20)(a), F.S., shall be calculated based upon 5% of available funds from the FEFP and categorical </v>
      </c>
      <c r="B155" s="694"/>
      <c r="C155" s="694"/>
      <c r="D155" s="694"/>
      <c r="E155" s="694"/>
      <c r="F155" s="694"/>
      <c r="G155" s="694"/>
      <c r="H155" s="694"/>
      <c r="I155" s="694"/>
      <c r="J155" s="3"/>
      <c r="K155" s="3"/>
      <c r="L155" s="3"/>
      <c r="M155" s="3"/>
      <c r="N155" s="97"/>
    </row>
    <row r="156" spans="1:21" s="95" customFormat="1" ht="15.75" customHeight="1" x14ac:dyDescent="0.25">
      <c r="A156" s="713" t="str">
        <f>'0664'!A156</f>
        <v>funding for which charter students may be eligible.  To calculate the administrative fee to be withheld for schools with more than 250 students, divide the school</v>
      </c>
      <c r="B156" s="705"/>
      <c r="C156" s="705"/>
      <c r="D156" s="705"/>
      <c r="E156" s="705"/>
      <c r="F156" s="705"/>
      <c r="G156" s="705"/>
      <c r="H156" s="705"/>
      <c r="I156" s="705"/>
      <c r="J156" s="3"/>
      <c r="K156" s="3"/>
      <c r="L156" s="3"/>
      <c r="M156" s="3"/>
      <c r="N156" s="97"/>
    </row>
    <row r="157" spans="1:21" s="95" customFormat="1" ht="15.75" customHeight="1" x14ac:dyDescent="0.25">
      <c r="A157" s="713" t="str">
        <f>'0664'!A157</f>
        <v xml:space="preserve">population into 250. Multiply that fraction times the funds available, then times 5%.  </v>
      </c>
      <c r="B157" s="705"/>
      <c r="C157" s="705"/>
      <c r="D157" s="705"/>
      <c r="E157" s="705"/>
      <c r="F157" s="705"/>
      <c r="G157" s="705"/>
      <c r="H157" s="705"/>
      <c r="I157" s="705"/>
      <c r="J157" s="3"/>
      <c r="K157" s="3"/>
      <c r="L157" s="3"/>
      <c r="M157" s="3"/>
      <c r="N157" s="97"/>
    </row>
    <row r="158" spans="1:21" s="95" customFormat="1" ht="15.75" customHeight="1" x14ac:dyDescent="0.25">
      <c r="A158" s="712"/>
      <c r="B158" s="705"/>
      <c r="C158" s="705"/>
      <c r="D158" s="705"/>
      <c r="E158" s="705"/>
      <c r="F158" s="705"/>
      <c r="G158" s="705"/>
      <c r="H158" s="705"/>
      <c r="I158" s="705"/>
      <c r="N158" s="93"/>
      <c r="O158" s="3"/>
      <c r="P158" s="3"/>
      <c r="Q158" s="3"/>
      <c r="R158" s="3"/>
      <c r="S158" s="3"/>
      <c r="T158" s="3"/>
      <c r="U158" s="3"/>
    </row>
    <row r="159" spans="1:21" ht="15.75" customHeight="1" x14ac:dyDescent="0.25">
      <c r="A159" s="712" t="str">
        <f>'0664'!A159</f>
        <v xml:space="preserve">For high performing charter schools, administrative fees charged by the school district shall be calculated based upon 2% of available funds from the FEFP and categorical </v>
      </c>
      <c r="B159" s="694"/>
      <c r="C159" s="694"/>
      <c r="D159" s="694"/>
      <c r="E159" s="694"/>
      <c r="F159" s="694"/>
      <c r="G159" s="694"/>
      <c r="H159" s="694"/>
      <c r="I159" s="694"/>
      <c r="J159" s="95"/>
      <c r="K159" s="95"/>
      <c r="L159" s="95"/>
      <c r="M159" s="95"/>
      <c r="N159" s="97"/>
      <c r="O159" s="95"/>
      <c r="P159" s="95"/>
      <c r="Q159" s="95"/>
      <c r="R159" s="95"/>
      <c r="S159" s="95"/>
      <c r="T159" s="95"/>
      <c r="U159" s="95"/>
    </row>
    <row r="160" spans="1:21" ht="15.75" customHeight="1" x14ac:dyDescent="0.25">
      <c r="A160" s="713" t="str">
        <f>'0664'!A160</f>
        <v>funding for which charter students may be eligible.  To calculate the administrative fee to be withheld for schools with more than 250 students, divide the school</v>
      </c>
      <c r="B160" s="694"/>
      <c r="C160" s="694"/>
      <c r="D160" s="694"/>
      <c r="E160" s="694"/>
      <c r="F160" s="694"/>
      <c r="G160" s="694"/>
      <c r="H160" s="694"/>
      <c r="I160" s="694"/>
      <c r="J160" s="95"/>
      <c r="K160" s="95"/>
      <c r="L160" s="95"/>
      <c r="M160" s="95"/>
      <c r="N160" s="97"/>
      <c r="O160" s="95"/>
      <c r="P160" s="95"/>
      <c r="Q160" s="95"/>
      <c r="R160" s="95"/>
      <c r="S160" s="95"/>
      <c r="T160" s="95"/>
      <c r="U160" s="95"/>
    </row>
    <row r="161" spans="1:14" s="95" customFormat="1" ht="15.75" customHeight="1" x14ac:dyDescent="0.2">
      <c r="A161" s="713" t="str">
        <f>'0664'!A161</f>
        <v xml:space="preserve">population into 250. Multiply that fraction times the funds available, then times 2%.  </v>
      </c>
      <c r="B161" s="694"/>
      <c r="C161" s="694"/>
      <c r="D161" s="694"/>
      <c r="E161" s="694"/>
      <c r="F161" s="694"/>
      <c r="G161" s="694"/>
      <c r="H161" s="694"/>
      <c r="I161" s="694"/>
      <c r="N161" s="97"/>
    </row>
    <row r="162" spans="1:14" x14ac:dyDescent="0.25">
      <c r="A162" s="689"/>
      <c r="B162" s="695"/>
      <c r="C162" s="695"/>
      <c r="D162" s="695"/>
      <c r="E162" s="695"/>
      <c r="F162" s="695"/>
      <c r="G162" s="695"/>
      <c r="H162" s="695"/>
      <c r="I162" s="695"/>
      <c r="N162" s="93"/>
    </row>
    <row r="163" spans="1:14" x14ac:dyDescent="0.25">
      <c r="A163" s="708" t="str">
        <f>'0664'!A163</f>
        <v>Other:</v>
      </c>
      <c r="B163" s="706"/>
      <c r="C163" s="706"/>
      <c r="D163" s="706"/>
      <c r="E163" s="706"/>
      <c r="F163" s="706"/>
      <c r="G163" s="706"/>
      <c r="H163" s="706"/>
      <c r="I163" s="706"/>
      <c r="N163" s="93"/>
    </row>
    <row r="164" spans="1:14" x14ac:dyDescent="0.25">
      <c r="A164" s="712" t="str">
        <f>'0664'!A164</f>
        <v>FEFP and categorical funding are recalculated during the year to reflect the revised number of full-time equivalent students reported during the survey periods designated</v>
      </c>
      <c r="B164" s="695"/>
      <c r="C164" s="695"/>
      <c r="D164" s="695"/>
      <c r="E164" s="695"/>
      <c r="F164" s="695"/>
      <c r="G164" s="695"/>
      <c r="H164" s="695"/>
      <c r="I164" s="695"/>
      <c r="N164" s="93"/>
    </row>
    <row r="165" spans="1:14" x14ac:dyDescent="0.25">
      <c r="A165" s="713" t="str">
        <f>'0664'!A165</f>
        <v>by the Commissioner of Education.</v>
      </c>
      <c r="B165" s="707"/>
      <c r="C165" s="707"/>
      <c r="D165" s="707"/>
      <c r="E165" s="707"/>
      <c r="F165" s="707"/>
      <c r="G165" s="707"/>
      <c r="H165" s="707"/>
      <c r="I165" s="707"/>
      <c r="N165" s="93"/>
    </row>
    <row r="166" spans="1:14" x14ac:dyDescent="0.25">
      <c r="A166" s="712" t="str">
        <f>'0664'!A166</f>
        <v>Revenues flow to districts from state sources and from county tax collectors on various distribution schedules.</v>
      </c>
      <c r="B166" s="695"/>
      <c r="C166" s="695"/>
      <c r="D166" s="695"/>
      <c r="E166" s="695"/>
      <c r="F166" s="695"/>
      <c r="G166" s="695"/>
      <c r="H166" s="695"/>
      <c r="I166" s="695"/>
      <c r="N166" s="93"/>
    </row>
    <row r="167" spans="1:14" x14ac:dyDescent="0.25">
      <c r="A167" s="494"/>
      <c r="B167" s="494"/>
      <c r="C167" s="494"/>
      <c r="D167" s="494"/>
      <c r="E167" s="494"/>
      <c r="F167" s="494"/>
      <c r="G167" s="494"/>
      <c r="H167" s="494"/>
      <c r="I167" s="494"/>
      <c r="N167" s="93"/>
    </row>
    <row r="168" spans="1:14" x14ac:dyDescent="0.25">
      <c r="A168" s="93"/>
      <c r="N168" s="93"/>
    </row>
    <row r="169" spans="1:14" x14ac:dyDescent="0.25">
      <c r="A169" s="93"/>
      <c r="N169" s="93"/>
    </row>
    <row r="170" spans="1:14" x14ac:dyDescent="0.25">
      <c r="A170" s="93"/>
      <c r="N170" s="93"/>
    </row>
    <row r="171" spans="1:14" x14ac:dyDescent="0.25">
      <c r="A171" s="93"/>
      <c r="B171" s="183"/>
      <c r="C171" s="183"/>
      <c r="D171" s="183"/>
      <c r="E171" s="183"/>
      <c r="F171" s="183"/>
      <c r="G171" s="183"/>
      <c r="H171" s="183"/>
      <c r="I171" s="183"/>
      <c r="N171" s="93"/>
    </row>
    <row r="172" spans="1:14" x14ac:dyDescent="0.25">
      <c r="A172" s="93"/>
      <c r="N172" s="93"/>
    </row>
    <row r="173" spans="1:14" x14ac:dyDescent="0.25">
      <c r="A173" s="93"/>
      <c r="N173" s="93"/>
    </row>
    <row r="174" spans="1:14" x14ac:dyDescent="0.25">
      <c r="A174" s="93"/>
      <c r="N174" s="93"/>
    </row>
    <row r="175" spans="1:14" x14ac:dyDescent="0.25">
      <c r="A175" s="93"/>
      <c r="N175" s="93"/>
    </row>
    <row r="176" spans="1:14" x14ac:dyDescent="0.25">
      <c r="A176" s="93"/>
      <c r="N176" s="93"/>
    </row>
    <row r="177" spans="1:14" x14ac:dyDescent="0.25">
      <c r="A177" s="93"/>
      <c r="N177" s="93"/>
    </row>
    <row r="178" spans="1:14" x14ac:dyDescent="0.25">
      <c r="A178" s="93"/>
      <c r="N178" s="93"/>
    </row>
    <row r="179" spans="1:14" x14ac:dyDescent="0.25">
      <c r="A179" s="93"/>
      <c r="N179" s="93"/>
    </row>
    <row r="180" spans="1:14" x14ac:dyDescent="0.25">
      <c r="A180" s="93"/>
      <c r="N180" s="93"/>
    </row>
    <row r="181" spans="1:14" x14ac:dyDescent="0.25">
      <c r="A181" s="93"/>
      <c r="N181" s="93"/>
    </row>
    <row r="182" spans="1:14" x14ac:dyDescent="0.25">
      <c r="A182" s="93"/>
      <c r="N182" s="93"/>
    </row>
    <row r="183" spans="1:14" x14ac:dyDescent="0.25">
      <c r="A183" s="93"/>
      <c r="N183" s="93"/>
    </row>
    <row r="184" spans="1:14" x14ac:dyDescent="0.25">
      <c r="A184" s="93"/>
    </row>
    <row r="185" spans="1:14" x14ac:dyDescent="0.25">
      <c r="A185" s="93"/>
    </row>
    <row r="186" spans="1:14" x14ac:dyDescent="0.25">
      <c r="A186" s="93"/>
    </row>
    <row r="187" spans="1:14" x14ac:dyDescent="0.25">
      <c r="A187" s="93"/>
    </row>
    <row r="188" spans="1:14" x14ac:dyDescent="0.25">
      <c r="A188" s="93"/>
    </row>
    <row r="189" spans="1:14" x14ac:dyDescent="0.25">
      <c r="A189" s="93"/>
    </row>
    <row r="190" spans="1:14" x14ac:dyDescent="0.25">
      <c r="A190" s="93"/>
    </row>
    <row r="191" spans="1:14" x14ac:dyDescent="0.25">
      <c r="A191" s="93"/>
    </row>
    <row r="192" spans="1:14"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sheetData>
  <mergeCells count="270">
    <mergeCell ref="A84:C84"/>
    <mergeCell ref="N84:P84"/>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Q65:S65"/>
    <mergeCell ref="T65:U65"/>
    <mergeCell ref="N73:P73"/>
    <mergeCell ref="N66:S66"/>
    <mergeCell ref="T66:U66"/>
    <mergeCell ref="A68:C68"/>
    <mergeCell ref="N68:P68"/>
    <mergeCell ref="A69:C69"/>
    <mergeCell ref="N69:P69"/>
    <mergeCell ref="A70:C70"/>
    <mergeCell ref="A71:C71"/>
    <mergeCell ref="N71:P71"/>
    <mergeCell ref="A72:C72"/>
    <mergeCell ref="N72:P72"/>
    <mergeCell ref="A73:C73"/>
    <mergeCell ref="A65:B65"/>
    <mergeCell ref="D65:G65"/>
    <mergeCell ref="N65:O65"/>
    <mergeCell ref="A81:C81"/>
    <mergeCell ref="N81:P81"/>
    <mergeCell ref="A82:C82"/>
    <mergeCell ref="N82:P82"/>
    <mergeCell ref="F74:H74"/>
    <mergeCell ref="N74:T74"/>
    <mergeCell ref="N75:T75"/>
    <mergeCell ref="A79:C79"/>
    <mergeCell ref="N79:P79"/>
    <mergeCell ref="A80:C80"/>
    <mergeCell ref="N78:P78"/>
    <mergeCell ref="N80:P80"/>
    <mergeCell ref="A77:C77"/>
    <mergeCell ref="N77:P77"/>
    <mergeCell ref="A78:C78"/>
    <mergeCell ref="A86:I86"/>
    <mergeCell ref="N86:U86"/>
    <mergeCell ref="C87:D87"/>
    <mergeCell ref="C88:D88"/>
    <mergeCell ref="N88:O88"/>
    <mergeCell ref="P88:Q88"/>
    <mergeCell ref="R88:U88"/>
    <mergeCell ref="C89:D89"/>
    <mergeCell ref="P89:Q89"/>
    <mergeCell ref="C90:D90"/>
    <mergeCell ref="P90:Q90"/>
    <mergeCell ref="C91:D91"/>
    <mergeCell ref="P91:Q91"/>
    <mergeCell ref="C92:D92"/>
    <mergeCell ref="P92:T92"/>
    <mergeCell ref="A93:I93"/>
    <mergeCell ref="N93:U93"/>
    <mergeCell ref="F95:I95"/>
    <mergeCell ref="N95:P95"/>
    <mergeCell ref="Q95:T95"/>
    <mergeCell ref="A98:B98"/>
    <mergeCell ref="N98:O98"/>
    <mergeCell ref="P98:R98"/>
    <mergeCell ref="A99:B99"/>
    <mergeCell ref="N99:O99"/>
    <mergeCell ref="P99:R99"/>
    <mergeCell ref="A102:C102"/>
    <mergeCell ref="F102:I102"/>
    <mergeCell ref="N102:U102"/>
    <mergeCell ref="C103:E103"/>
    <mergeCell ref="F104:G104"/>
    <mergeCell ref="A105:B105"/>
    <mergeCell ref="F105:G105"/>
    <mergeCell ref="N105:O105"/>
    <mergeCell ref="P105:Q105"/>
    <mergeCell ref="R105:S105"/>
    <mergeCell ref="R106:S106"/>
    <mergeCell ref="A107:B107"/>
    <mergeCell ref="F107:G107"/>
    <mergeCell ref="N107:O107"/>
    <mergeCell ref="P107:Q107"/>
    <mergeCell ref="R107:S107"/>
    <mergeCell ref="N109:O109"/>
    <mergeCell ref="A106:B106"/>
    <mergeCell ref="F106:G106"/>
    <mergeCell ref="N106:O106"/>
    <mergeCell ref="P106:Q106"/>
    <mergeCell ref="A109:B109"/>
    <mergeCell ref="N135:U135"/>
    <mergeCell ref="N115:U115"/>
    <mergeCell ref="N112:P112"/>
    <mergeCell ref="A112:C112"/>
    <mergeCell ref="F112:H112"/>
    <mergeCell ref="N113:T113"/>
    <mergeCell ref="A114:H114"/>
    <mergeCell ref="A115:G115"/>
    <mergeCell ref="A116:G116"/>
    <mergeCell ref="A111:C111"/>
    <mergeCell ref="F111:H111"/>
    <mergeCell ref="N111:P111"/>
    <mergeCell ref="N116:U116"/>
    <mergeCell ref="A108:B108"/>
    <mergeCell ref="F108:G108"/>
    <mergeCell ref="N108:O108"/>
    <mergeCell ref="P108:Q108"/>
    <mergeCell ref="R108:S108"/>
  </mergeCells>
  <pageMargins left="0.1" right="0.1" top="0.5" bottom="0.5" header="0" footer="0.1"/>
  <pageSetup scale="70" fitToHeight="3" orientation="portrait" r:id="rId1"/>
  <headerFooter alignWithMargins="0">
    <oddFooter>&amp;R&amp;P of &amp;N</oddFooter>
  </headerFooter>
  <rowBreaks count="1" manualBreakCount="1">
    <brk id="134" max="16383" man="1"/>
  </rowBreaks>
  <colBreaks count="1" manualBreakCount="1">
    <brk id="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15</vt:i4>
      </vt:variant>
    </vt:vector>
  </HeadingPairs>
  <TitlesOfParts>
    <vt:vector size="68" baseType="lpstr">
      <vt:lpstr>Net Payment</vt:lpstr>
      <vt:lpstr>Charter Schools</vt:lpstr>
      <vt:lpstr>Consolidated</vt:lpstr>
      <vt:lpstr>0664</vt:lpstr>
      <vt:lpstr>1461</vt:lpstr>
      <vt:lpstr>1571</vt:lpstr>
      <vt:lpstr>2521</vt:lpstr>
      <vt:lpstr>2531</vt:lpstr>
      <vt:lpstr>2791</vt:lpstr>
      <vt:lpstr>2801</vt:lpstr>
      <vt:lpstr>2911</vt:lpstr>
      <vt:lpstr>2941</vt:lpstr>
      <vt:lpstr>3083</vt:lpstr>
      <vt:lpstr>3345</vt:lpstr>
      <vt:lpstr>3381</vt:lpstr>
      <vt:lpstr>3382</vt:lpstr>
      <vt:lpstr>3385</vt:lpstr>
      <vt:lpstr>3386</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Virtual</vt:lpstr>
      <vt:lpstr>'0664'!Print_Area</vt:lpstr>
      <vt:lpstr>'2531'!Print_Area</vt:lpstr>
      <vt:lpstr>'2941'!Print_Area</vt:lpstr>
      <vt:lpstr>'4090'!Print_Area</vt:lpstr>
      <vt:lpstr>'4091'!Print_Area</vt:lpstr>
      <vt:lpstr>'4100'!Print_Area</vt:lpstr>
      <vt:lpstr>'4102'!Print_Area</vt:lpstr>
      <vt:lpstr>'4103'!Print_Area</vt:lpstr>
      <vt:lpstr>'4111'!Print_Area</vt:lpstr>
      <vt:lpstr>Consolidated!Print_Area</vt:lpstr>
      <vt:lpstr>'Net Payment'!Print_Area</vt:lpstr>
      <vt:lpstr>Virtual!Print_Area</vt:lpstr>
      <vt:lpstr>'0664'!Print_Titles</vt:lpstr>
      <vt:lpstr>Consolidated!Print_Titles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Richard Oglenski</cp:lastModifiedBy>
  <cp:lastPrinted>2022-12-06T17:32:59Z</cp:lastPrinted>
  <dcterms:created xsi:type="dcterms:W3CDTF">1998-02-12T20:21:54Z</dcterms:created>
  <dcterms:modified xsi:type="dcterms:W3CDTF">2022-12-07T13:52:23Z</dcterms:modified>
</cp:coreProperties>
</file>